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Önkormányzati és Szervezési Iroda\Nagy Ágnes\"/>
    </mc:Choice>
  </mc:AlternateContent>
  <bookViews>
    <workbookView xWindow="0" yWindow="0" windowWidth="19200" windowHeight="11595" activeTab="8"/>
  </bookViews>
  <sheets>
    <sheet name="össz 2" sheetId="14" r:id="rId1"/>
    <sheet name="Önk 2a" sheetId="15" r:id="rId2"/>
    <sheet name="PH 2b" sheetId="16" r:id="rId3"/>
    <sheet name="SZEI 2c" sheetId="13" r:id="rId4"/>
    <sheet name="PMK 2d" sheetId="10" r:id="rId5"/>
    <sheet name="FMC 2e" sheetId="11" r:id="rId6"/>
    <sheet name="Óvoda 2f" sheetId="12" r:id="rId7"/>
    <sheet name="Bölcsőde 2g" sheetId="8" r:id="rId8"/>
    <sheet name="Gondozási 2h" sheetId="9" r:id="rId9"/>
  </sheets>
  <externalReferences>
    <externalReference r:id="rId10"/>
    <externalReference r:id="rId11"/>
    <externalReference r:id="rId12"/>
  </externalReferences>
  <definedNames>
    <definedName name="_xlnm._FilterDatabase" localSheetId="1" hidden="1">'Önk 2a'!$A$1:$A$114</definedName>
    <definedName name="_xlnm.Print_Titles" localSheetId="1">'Önk 2a'!$1:$2</definedName>
    <definedName name="_xlnm.Print_Titles" localSheetId="0">'össz 2'!$1:$2</definedName>
    <definedName name="_xlnm.Print_Area" localSheetId="7">'Bölcsőde 2g'!$A$1:$P$84</definedName>
    <definedName name="_xlnm.Print_Area" localSheetId="5">'FMC 2e'!$A$1:$N$84</definedName>
    <definedName name="_xlnm.Print_Area" localSheetId="8">'Gondozási 2h'!$A$1:$O$84</definedName>
    <definedName name="_xlnm.Print_Area" localSheetId="6">'Óvoda 2f'!$A$1:$Q$84</definedName>
    <definedName name="_xlnm.Print_Area" localSheetId="1">'Önk 2a'!$A$1:$O$84</definedName>
    <definedName name="_xlnm.Print_Area" localSheetId="0">'össz 2'!$A$1:$N$84</definedName>
    <definedName name="_xlnm.Print_Area" localSheetId="2">'PH 2b'!$A$1:$K$84</definedName>
    <definedName name="_xlnm.Print_Area" localSheetId="4">'PMK 2d'!$A$1:$P$84</definedName>
    <definedName name="_xlnm.Print_Area" localSheetId="3">'SZEI 2c'!$A$1:$O$84</definedName>
  </definedNames>
  <calcPr calcId="152511"/>
</workbook>
</file>

<file path=xl/calcChain.xml><?xml version="1.0" encoding="utf-8"?>
<calcChain xmlns="http://schemas.openxmlformats.org/spreadsheetml/2006/main">
  <c r="L41" i="15" l="1"/>
  <c r="L48" i="15"/>
  <c r="N17" i="10" l="1"/>
  <c r="N18" i="10"/>
  <c r="N19" i="10"/>
  <c r="N20" i="10"/>
  <c r="N21" i="10"/>
  <c r="N22" i="10"/>
  <c r="N23" i="10"/>
  <c r="N24" i="10"/>
  <c r="N25" i="10"/>
  <c r="N26" i="10"/>
  <c r="N16" i="10"/>
  <c r="L45" i="11"/>
  <c r="K45" i="11"/>
  <c r="K68" i="14" l="1"/>
  <c r="K61" i="14"/>
  <c r="K59" i="14"/>
  <c r="K58" i="14"/>
  <c r="K44" i="14"/>
  <c r="K43" i="14"/>
  <c r="K42" i="14"/>
  <c r="K40" i="14"/>
  <c r="K39" i="14"/>
  <c r="K29" i="14"/>
  <c r="K28" i="14"/>
  <c r="K25" i="14"/>
  <c r="K24" i="14"/>
  <c r="K23" i="14"/>
  <c r="K22" i="14"/>
  <c r="K21" i="14"/>
  <c r="K19" i="14"/>
  <c r="K18" i="14"/>
  <c r="K16" i="14"/>
  <c r="K13" i="14"/>
  <c r="K12" i="14"/>
  <c r="K11" i="14"/>
  <c r="K10" i="14"/>
  <c r="K9" i="14"/>
  <c r="K60" i="14"/>
  <c r="L50" i="15" l="1"/>
  <c r="L37" i="15"/>
  <c r="L36" i="15"/>
  <c r="K36" i="14" s="1"/>
  <c r="L52" i="15"/>
  <c r="K52" i="14" s="1"/>
  <c r="L31" i="15"/>
  <c r="L32" i="15"/>
  <c r="K32" i="14" s="1"/>
  <c r="L51" i="15"/>
  <c r="K51" i="14" s="1"/>
  <c r="L70" i="15"/>
  <c r="K70" i="14" s="1"/>
  <c r="K67" i="14" s="1"/>
  <c r="K66" i="14" s="1"/>
  <c r="K80" i="14" s="1"/>
  <c r="L46" i="15"/>
  <c r="K48" i="14"/>
  <c r="L26" i="15"/>
  <c r="K26" i="14" s="1"/>
  <c r="L4" i="15"/>
  <c r="K4" i="14" s="1"/>
  <c r="L7" i="15"/>
  <c r="K7" i="14" s="1"/>
  <c r="J31" i="16"/>
  <c r="J17" i="16"/>
  <c r="K17" i="14" s="1"/>
  <c r="J14" i="16"/>
  <c r="K14" i="14" s="1"/>
  <c r="K8" i="14" s="1"/>
  <c r="L50" i="13"/>
  <c r="L41" i="13"/>
  <c r="L35" i="13"/>
  <c r="M70" i="13"/>
  <c r="M69" i="13"/>
  <c r="M68" i="13"/>
  <c r="M64" i="13"/>
  <c r="M61" i="13"/>
  <c r="M59" i="13"/>
  <c r="M58" i="13"/>
  <c r="M52" i="13"/>
  <c r="M49" i="13"/>
  <c r="M48" i="13"/>
  <c r="M46" i="13"/>
  <c r="M44" i="13"/>
  <c r="M43" i="13"/>
  <c r="M42" i="13"/>
  <c r="M41" i="13"/>
  <c r="M40" i="13"/>
  <c r="M39" i="13"/>
  <c r="M5" i="13"/>
  <c r="L79" i="13"/>
  <c r="L80" i="13"/>
  <c r="L67" i="13"/>
  <c r="L66" i="13" s="1"/>
  <c r="L60" i="13"/>
  <c r="L57" i="13" s="1"/>
  <c r="L56" i="13" s="1"/>
  <c r="L47" i="13"/>
  <c r="L45" i="13"/>
  <c r="L38" i="13"/>
  <c r="L27" i="13"/>
  <c r="L75" i="13" s="1"/>
  <c r="L15" i="13"/>
  <c r="L10" i="13"/>
  <c r="L8" i="13"/>
  <c r="L6" i="13"/>
  <c r="M41" i="10"/>
  <c r="M38" i="10" s="1"/>
  <c r="M50" i="10"/>
  <c r="M5" i="10"/>
  <c r="N5" i="10" s="1"/>
  <c r="N62" i="10"/>
  <c r="N61" i="10"/>
  <c r="N59" i="10"/>
  <c r="N58" i="10"/>
  <c r="N52" i="10"/>
  <c r="N51" i="10"/>
  <c r="N49" i="10"/>
  <c r="N48" i="10"/>
  <c r="N46" i="10"/>
  <c r="N44" i="10"/>
  <c r="N42" i="10"/>
  <c r="N40" i="10"/>
  <c r="N39" i="10"/>
  <c r="N36" i="10"/>
  <c r="N32" i="10"/>
  <c r="N31" i="10"/>
  <c r="N14" i="10"/>
  <c r="N13" i="10"/>
  <c r="N12" i="10"/>
  <c r="N11" i="10"/>
  <c r="N9" i="10"/>
  <c r="N7" i="10"/>
  <c r="M79" i="10"/>
  <c r="M80" i="10"/>
  <c r="M66" i="10"/>
  <c r="M60" i="10"/>
  <c r="M57" i="10" s="1"/>
  <c r="M56" i="10" s="1"/>
  <c r="M45" i="10"/>
  <c r="M34" i="10"/>
  <c r="M27" i="10"/>
  <c r="M75" i="10" s="1"/>
  <c r="M83" i="10" s="1"/>
  <c r="M15" i="10"/>
  <c r="M8" i="10"/>
  <c r="M64" i="11"/>
  <c r="K64" i="14" s="1"/>
  <c r="M50" i="11"/>
  <c r="M46" i="11"/>
  <c r="M45" i="11" s="1"/>
  <c r="M41" i="11"/>
  <c r="M31" i="11"/>
  <c r="N31" i="11" s="1"/>
  <c r="M30" i="11"/>
  <c r="M5" i="11"/>
  <c r="N61" i="11"/>
  <c r="N52" i="11"/>
  <c r="N46" i="11"/>
  <c r="N44" i="11"/>
  <c r="N43" i="11"/>
  <c r="N42" i="11"/>
  <c r="N40" i="11"/>
  <c r="N39" i="11"/>
  <c r="N36" i="11"/>
  <c r="N32" i="11"/>
  <c r="N29" i="11"/>
  <c r="N28" i="11"/>
  <c r="N26" i="11"/>
  <c r="N25" i="11"/>
  <c r="N24" i="11"/>
  <c r="N23" i="11"/>
  <c r="N22" i="11"/>
  <c r="N21" i="11"/>
  <c r="N20" i="11"/>
  <c r="N19" i="11"/>
  <c r="N18" i="11"/>
  <c r="N17" i="11"/>
  <c r="N16" i="11"/>
  <c r="N7" i="11"/>
  <c r="N4" i="11"/>
  <c r="M79" i="11"/>
  <c r="M67" i="11"/>
  <c r="M66" i="11" s="1"/>
  <c r="M80" i="11" s="1"/>
  <c r="L60" i="11"/>
  <c r="M60" i="11"/>
  <c r="M38" i="11"/>
  <c r="M34" i="11"/>
  <c r="M33" i="11" s="1"/>
  <c r="M27" i="11"/>
  <c r="M75" i="11" s="1"/>
  <c r="M83" i="11" s="1"/>
  <c r="M15" i="11"/>
  <c r="M10" i="11"/>
  <c r="M8" i="11"/>
  <c r="N50" i="12"/>
  <c r="N41" i="12"/>
  <c r="N5" i="12"/>
  <c r="N6" i="12" s="1"/>
  <c r="O63" i="12"/>
  <c r="O62" i="12"/>
  <c r="O61" i="12"/>
  <c r="O44" i="12"/>
  <c r="O43" i="12"/>
  <c r="O42" i="12"/>
  <c r="O41" i="12"/>
  <c r="O40" i="12"/>
  <c r="O39" i="12"/>
  <c r="O36" i="12"/>
  <c r="O32" i="12"/>
  <c r="O31" i="12"/>
  <c r="O26" i="12"/>
  <c r="O25" i="12"/>
  <c r="O24" i="12"/>
  <c r="O23" i="12"/>
  <c r="O21" i="12"/>
  <c r="O20" i="12"/>
  <c r="O19" i="12"/>
  <c r="O18" i="12"/>
  <c r="O17" i="12"/>
  <c r="O16" i="12"/>
  <c r="O14" i="12"/>
  <c r="O13" i="12"/>
  <c r="O12" i="12"/>
  <c r="O11" i="12"/>
  <c r="O9" i="12"/>
  <c r="O7" i="12"/>
  <c r="O5" i="12"/>
  <c r="O4" i="12"/>
  <c r="N79" i="12"/>
  <c r="N80" i="12"/>
  <c r="N67" i="12"/>
  <c r="N66" i="12" s="1"/>
  <c r="M60" i="12"/>
  <c r="N60" i="12"/>
  <c r="N57" i="12" s="1"/>
  <c r="N56" i="12" s="1"/>
  <c r="N47" i="12"/>
  <c r="N45" i="12"/>
  <c r="N38" i="12"/>
  <c r="N34" i="12"/>
  <c r="N27" i="12"/>
  <c r="N75" i="12" s="1"/>
  <c r="N83" i="12" s="1"/>
  <c r="N15" i="12"/>
  <c r="M8" i="12"/>
  <c r="N8" i="12"/>
  <c r="M50" i="8"/>
  <c r="M41" i="8"/>
  <c r="N41" i="8" s="1"/>
  <c r="N62" i="8"/>
  <c r="N61" i="8"/>
  <c r="N52" i="8"/>
  <c r="N51" i="8"/>
  <c r="N44" i="8"/>
  <c r="N43" i="8"/>
  <c r="N42" i="8"/>
  <c r="N40" i="8"/>
  <c r="N39" i="8"/>
  <c r="N36" i="8"/>
  <c r="N32" i="8"/>
  <c r="N31" i="8"/>
  <c r="N26" i="8"/>
  <c r="N23" i="8"/>
  <c r="N22" i="8"/>
  <c r="N18" i="8"/>
  <c r="N17" i="8"/>
  <c r="N16" i="8"/>
  <c r="N7" i="8"/>
  <c r="N5" i="8"/>
  <c r="N4" i="8"/>
  <c r="M72" i="8"/>
  <c r="M79" i="8"/>
  <c r="M84" i="8"/>
  <c r="M67" i="8"/>
  <c r="M66" i="8" s="1"/>
  <c r="M80" i="8" s="1"/>
  <c r="M60" i="8"/>
  <c r="M57" i="8"/>
  <c r="M56" i="8" s="1"/>
  <c r="M76" i="8" s="1"/>
  <c r="K47" i="8"/>
  <c r="L47" i="8"/>
  <c r="M47" i="8"/>
  <c r="M45" i="8"/>
  <c r="M38" i="8"/>
  <c r="M34" i="8"/>
  <c r="M27" i="8"/>
  <c r="M75" i="8" s="1"/>
  <c r="M83" i="8" s="1"/>
  <c r="M15" i="8"/>
  <c r="M10" i="8"/>
  <c r="M8" i="8"/>
  <c r="M6" i="8"/>
  <c r="L5" i="9"/>
  <c r="L6" i="9" s="1"/>
  <c r="L41" i="9"/>
  <c r="L37" i="9"/>
  <c r="L35" i="9"/>
  <c r="L20" i="9"/>
  <c r="K20" i="14" s="1"/>
  <c r="L79" i="9"/>
  <c r="L80" i="9"/>
  <c r="L67" i="9"/>
  <c r="L66" i="9" s="1"/>
  <c r="L60" i="9"/>
  <c r="L57" i="9"/>
  <c r="L56" i="9" s="1"/>
  <c r="L76" i="9" s="1"/>
  <c r="J47" i="9"/>
  <c r="K47" i="9"/>
  <c r="L47" i="9"/>
  <c r="L45" i="9" s="1"/>
  <c r="M45" i="9" s="1"/>
  <c r="L38" i="9"/>
  <c r="L34" i="9"/>
  <c r="J27" i="9"/>
  <c r="K27" i="9"/>
  <c r="L27" i="9"/>
  <c r="L75" i="9" s="1"/>
  <c r="L83" i="9" s="1"/>
  <c r="L15" i="9"/>
  <c r="M70" i="9"/>
  <c r="M65" i="9"/>
  <c r="M63" i="9"/>
  <c r="M62" i="9"/>
  <c r="M61" i="9"/>
  <c r="M58" i="9"/>
  <c r="M52" i="9"/>
  <c r="M51" i="9"/>
  <c r="M50" i="9"/>
  <c r="M46" i="9"/>
  <c r="M44" i="9"/>
  <c r="M43" i="9"/>
  <c r="M42" i="9"/>
  <c r="M41" i="9"/>
  <c r="M40" i="9"/>
  <c r="M39" i="9"/>
  <c r="M36" i="9"/>
  <c r="M31" i="9"/>
  <c r="M30" i="9"/>
  <c r="M29" i="9"/>
  <c r="M28" i="9"/>
  <c r="M26" i="9"/>
  <c r="M25" i="9"/>
  <c r="M24" i="9"/>
  <c r="M23" i="9"/>
  <c r="M22" i="9"/>
  <c r="M21" i="9"/>
  <c r="M20" i="9"/>
  <c r="M19" i="9"/>
  <c r="M18" i="9"/>
  <c r="M17" i="9"/>
  <c r="M16" i="9"/>
  <c r="M7" i="9"/>
  <c r="N72" i="12" l="1"/>
  <c r="N84" i="12" s="1"/>
  <c r="N76" i="12"/>
  <c r="M72" i="10"/>
  <c r="M84" i="10" s="1"/>
  <c r="M76" i="10"/>
  <c r="L72" i="13"/>
  <c r="L84" i="13" s="1"/>
  <c r="L76" i="13"/>
  <c r="L55" i="9"/>
  <c r="L72" i="9"/>
  <c r="L84" i="9" s="1"/>
  <c r="M74" i="8"/>
  <c r="O6" i="12"/>
  <c r="M6" i="10"/>
  <c r="M74" i="10" s="1"/>
  <c r="M82" i="10" s="1"/>
  <c r="M55" i="11"/>
  <c r="M6" i="11"/>
  <c r="N5" i="11"/>
  <c r="M78" i="10"/>
  <c r="L74" i="13"/>
  <c r="N55" i="12"/>
  <c r="L83" i="13"/>
  <c r="N74" i="12"/>
  <c r="N3" i="12"/>
  <c r="N73" i="12" s="1"/>
  <c r="K57" i="14"/>
  <c r="K56" i="14" s="1"/>
  <c r="K35" i="14"/>
  <c r="K34" i="14" s="1"/>
  <c r="K15" i="14"/>
  <c r="K46" i="14"/>
  <c r="K31" i="14"/>
  <c r="K41" i="14"/>
  <c r="K38" i="14" s="1"/>
  <c r="N54" i="12"/>
  <c r="M57" i="11"/>
  <c r="M56" i="11" s="1"/>
  <c r="N30" i="11"/>
  <c r="K30" i="14"/>
  <c r="K27" i="14" s="1"/>
  <c r="K75" i="14" s="1"/>
  <c r="K5" i="14"/>
  <c r="L34" i="13"/>
  <c r="L54" i="13" s="1"/>
  <c r="K47" i="14"/>
  <c r="K37" i="14"/>
  <c r="K50" i="14"/>
  <c r="M3" i="8"/>
  <c r="M73" i="8" s="1"/>
  <c r="M55" i="8"/>
  <c r="M78" i="8"/>
  <c r="M82" i="8" s="1"/>
  <c r="M74" i="11"/>
  <c r="M55" i="10"/>
  <c r="L55" i="13"/>
  <c r="L78" i="13"/>
  <c r="L82" i="13" s="1"/>
  <c r="L3" i="13"/>
  <c r="M54" i="10"/>
  <c r="M33" i="10"/>
  <c r="M77" i="10" s="1"/>
  <c r="M3" i="10"/>
  <c r="M54" i="11"/>
  <c r="M78" i="11"/>
  <c r="M82" i="11" s="1"/>
  <c r="M76" i="11"/>
  <c r="M72" i="11"/>
  <c r="M84" i="11" s="1"/>
  <c r="M3" i="11"/>
  <c r="M73" i="11" s="1"/>
  <c r="N78" i="12"/>
  <c r="N82" i="12" s="1"/>
  <c r="N33" i="12"/>
  <c r="M54" i="8"/>
  <c r="M33" i="8"/>
  <c r="M5" i="9"/>
  <c r="L33" i="9"/>
  <c r="L77" i="9" s="1"/>
  <c r="L78" i="9"/>
  <c r="L74" i="9"/>
  <c r="L54" i="9"/>
  <c r="L3" i="9"/>
  <c r="K6" i="14" l="1"/>
  <c r="K74" i="14" s="1"/>
  <c r="K55" i="14"/>
  <c r="K72" i="14"/>
  <c r="K76" i="14"/>
  <c r="K84" i="14" s="1"/>
  <c r="L33" i="13"/>
  <c r="L77" i="13" s="1"/>
  <c r="K79" i="14"/>
  <c r="K83" i="14" s="1"/>
  <c r="K45" i="14"/>
  <c r="L73" i="13"/>
  <c r="L53" i="13"/>
  <c r="M73" i="10"/>
  <c r="M81" i="10" s="1"/>
  <c r="M53" i="10"/>
  <c r="M77" i="11"/>
  <c r="M81" i="11" s="1"/>
  <c r="M53" i="11"/>
  <c r="N77" i="12"/>
  <c r="N81" i="12" s="1"/>
  <c r="N53" i="12"/>
  <c r="M77" i="8"/>
  <c r="M81" i="8" s="1"/>
  <c r="M53" i="8"/>
  <c r="L82" i="9"/>
  <c r="L73" i="9"/>
  <c r="L81" i="9" s="1"/>
  <c r="L53" i="9"/>
  <c r="K46" i="15"/>
  <c r="K54" i="14" l="1"/>
  <c r="K3" i="14"/>
  <c r="K78" i="14"/>
  <c r="K73" i="14"/>
  <c r="L81" i="13"/>
  <c r="K33" i="14"/>
  <c r="K77" i="14" s="1"/>
  <c r="K82" i="14"/>
  <c r="K48" i="15"/>
  <c r="K53" i="14" l="1"/>
  <c r="K81" i="14"/>
  <c r="K35" i="13"/>
  <c r="J68" i="14" l="1"/>
  <c r="J69" i="14"/>
  <c r="J71" i="14"/>
  <c r="J65" i="14"/>
  <c r="J61" i="14"/>
  <c r="J62" i="14"/>
  <c r="J63" i="14"/>
  <c r="J58" i="14"/>
  <c r="J39" i="14"/>
  <c r="J40" i="14"/>
  <c r="J42" i="14"/>
  <c r="J44" i="14"/>
  <c r="J28" i="14"/>
  <c r="J29" i="14"/>
  <c r="J30" i="14"/>
  <c r="J32" i="14"/>
  <c r="J16" i="14"/>
  <c r="J18" i="14"/>
  <c r="J19" i="14"/>
  <c r="J20" i="14"/>
  <c r="J21" i="14"/>
  <c r="J22" i="14"/>
  <c r="J23" i="14"/>
  <c r="J24" i="14"/>
  <c r="J25" i="14"/>
  <c r="J26" i="14"/>
  <c r="J11" i="14"/>
  <c r="J12" i="14"/>
  <c r="J13" i="14"/>
  <c r="J9" i="14"/>
  <c r="J7" i="14"/>
  <c r="I37" i="16"/>
  <c r="I64" i="16"/>
  <c r="L37" i="8"/>
  <c r="M64" i="12"/>
  <c r="M37" i="12"/>
  <c r="M35" i="12"/>
  <c r="O35" i="12" s="1"/>
  <c r="I35" i="16"/>
  <c r="L50" i="10"/>
  <c r="N50" i="10" s="1"/>
  <c r="L43" i="10"/>
  <c r="L37" i="10"/>
  <c r="L35" i="10"/>
  <c r="N35" i="10" s="1"/>
  <c r="L64" i="10"/>
  <c r="L41" i="10"/>
  <c r="K64" i="9"/>
  <c r="K37" i="9"/>
  <c r="K35" i="9"/>
  <c r="L35" i="8"/>
  <c r="N35" i="8" s="1"/>
  <c r="L64" i="8"/>
  <c r="L50" i="8"/>
  <c r="N50" i="8" s="1"/>
  <c r="I5" i="16"/>
  <c r="J5" i="14" s="1"/>
  <c r="I31" i="16"/>
  <c r="I17" i="16"/>
  <c r="J17" i="14" s="1"/>
  <c r="I14" i="16"/>
  <c r="J14" i="14" s="1"/>
  <c r="I36" i="16"/>
  <c r="J36" i="14" s="1"/>
  <c r="K31" i="13"/>
  <c r="M31" i="13" s="1"/>
  <c r="K50" i="13"/>
  <c r="M50" i="13" s="1"/>
  <c r="L64" i="11"/>
  <c r="L37" i="11"/>
  <c r="L35" i="11"/>
  <c r="N35" i="11" s="1"/>
  <c r="L41" i="11"/>
  <c r="N41" i="11" s="1"/>
  <c r="L51" i="11"/>
  <c r="N51" i="11" s="1"/>
  <c r="L50" i="11"/>
  <c r="K41" i="15"/>
  <c r="K50" i="15"/>
  <c r="K51" i="15"/>
  <c r="K52" i="15"/>
  <c r="K4" i="15"/>
  <c r="J4" i="14" s="1"/>
  <c r="J43" i="14" l="1"/>
  <c r="N43" i="10"/>
  <c r="J50" i="14"/>
  <c r="J41" i="14"/>
  <c r="J35" i="14"/>
  <c r="J37" i="14"/>
  <c r="J64" i="14"/>
  <c r="J31" i="14"/>
  <c r="O14" i="9"/>
  <c r="O13" i="9"/>
  <c r="O12" i="9"/>
  <c r="O11" i="9"/>
  <c r="O9" i="9"/>
  <c r="I44" i="14" l="1"/>
  <c r="I71" i="14"/>
  <c r="I68" i="14"/>
  <c r="I65" i="14"/>
  <c r="I63" i="14"/>
  <c r="I62" i="14"/>
  <c r="I58" i="14"/>
  <c r="I61" i="14"/>
  <c r="I52" i="14"/>
  <c r="J49" i="14"/>
  <c r="I49" i="14"/>
  <c r="J48" i="14"/>
  <c r="I48" i="14"/>
  <c r="J46" i="14"/>
  <c r="I46" i="14"/>
  <c r="I40" i="14"/>
  <c r="I42" i="14"/>
  <c r="I43" i="14"/>
  <c r="I39" i="14"/>
  <c r="I36" i="14"/>
  <c r="I47" i="14" l="1"/>
  <c r="J47" i="14"/>
  <c r="J60" i="14"/>
  <c r="J45" i="14"/>
  <c r="I45" i="14"/>
  <c r="J38" i="14"/>
  <c r="J34" i="14"/>
  <c r="M49" i="14"/>
  <c r="M48" i="14"/>
  <c r="M46" i="14"/>
  <c r="M40" i="14"/>
  <c r="M41" i="14"/>
  <c r="M42" i="14"/>
  <c r="M43" i="14"/>
  <c r="M39" i="14"/>
  <c r="M36" i="14"/>
  <c r="M35" i="14"/>
  <c r="M38" i="14" l="1"/>
  <c r="M34" i="14"/>
  <c r="N38" i="13"/>
  <c r="N34" i="13"/>
  <c r="I34" i="13"/>
  <c r="K34" i="13"/>
  <c r="J35" i="13"/>
  <c r="O38" i="10"/>
  <c r="O34" i="10"/>
  <c r="O38" i="11"/>
  <c r="O34" i="11"/>
  <c r="P38" i="12"/>
  <c r="P34" i="12"/>
  <c r="N38" i="9"/>
  <c r="I38" i="9"/>
  <c r="J38" i="9"/>
  <c r="K38" i="9"/>
  <c r="N34" i="9"/>
  <c r="I34" i="9"/>
  <c r="K34" i="9"/>
  <c r="J35" i="9"/>
  <c r="O41" i="9"/>
  <c r="O42" i="9"/>
  <c r="O43" i="9"/>
  <c r="O40" i="9"/>
  <c r="O39" i="9"/>
  <c r="O34" i="8"/>
  <c r="O38" i="8"/>
  <c r="L38" i="8"/>
  <c r="P40" i="8"/>
  <c r="P41" i="8"/>
  <c r="P42" i="8"/>
  <c r="P43" i="8"/>
  <c r="P39" i="8"/>
  <c r="J38" i="8"/>
  <c r="K38" i="8"/>
  <c r="I38" i="8"/>
  <c r="P35" i="8"/>
  <c r="L34" i="8"/>
  <c r="J34" i="8"/>
  <c r="K34" i="8"/>
  <c r="I34" i="8"/>
  <c r="K34" i="12"/>
  <c r="L34" i="12"/>
  <c r="M34" i="12"/>
  <c r="Q40" i="12"/>
  <c r="Q41" i="12"/>
  <c r="Q42" i="12"/>
  <c r="Q43" i="12"/>
  <c r="Q39" i="12"/>
  <c r="Q36" i="12"/>
  <c r="Q35" i="12"/>
  <c r="K38" i="12"/>
  <c r="L38" i="12"/>
  <c r="M38" i="12"/>
  <c r="O38" i="12"/>
  <c r="P41" i="11"/>
  <c r="P42" i="11"/>
  <c r="P43" i="11"/>
  <c r="P39" i="11"/>
  <c r="J38" i="11"/>
  <c r="K38" i="11"/>
  <c r="L38" i="11"/>
  <c r="P35" i="11"/>
  <c r="J34" i="11"/>
  <c r="K34" i="11"/>
  <c r="L34" i="11"/>
  <c r="L33" i="11" s="1"/>
  <c r="O40" i="13"/>
  <c r="O41" i="13"/>
  <c r="O42" i="13"/>
  <c r="O43" i="13"/>
  <c r="O39" i="13"/>
  <c r="K38" i="13"/>
  <c r="I38" i="13"/>
  <c r="J38" i="13"/>
  <c r="H38" i="13"/>
  <c r="L38" i="10"/>
  <c r="P43" i="10"/>
  <c r="P40" i="10"/>
  <c r="P42" i="10"/>
  <c r="P39" i="10"/>
  <c r="J38" i="10"/>
  <c r="K41" i="10"/>
  <c r="L34" i="10"/>
  <c r="P36" i="10"/>
  <c r="P35" i="10"/>
  <c r="K34" i="10"/>
  <c r="I41" i="14" l="1"/>
  <c r="I38" i="14" s="1"/>
  <c r="N41" i="10"/>
  <c r="J34" i="13"/>
  <c r="M35" i="13"/>
  <c r="M35" i="9"/>
  <c r="M34" i="9" s="1"/>
  <c r="N34" i="10"/>
  <c r="P34" i="10" s="1"/>
  <c r="N34" i="11"/>
  <c r="P34" i="11" s="1"/>
  <c r="P36" i="11"/>
  <c r="N34" i="8"/>
  <c r="P34" i="8" s="1"/>
  <c r="P36" i="8"/>
  <c r="M38" i="9"/>
  <c r="O38" i="9" s="1"/>
  <c r="Q38" i="12"/>
  <c r="K38" i="10"/>
  <c r="P41" i="10"/>
  <c r="M38" i="13"/>
  <c r="N38" i="11"/>
  <c r="P38" i="11" s="1"/>
  <c r="P40" i="11"/>
  <c r="O34" i="12"/>
  <c r="N38" i="8"/>
  <c r="P38" i="8" s="1"/>
  <c r="J34" i="9"/>
  <c r="O34" i="9"/>
  <c r="Q34" i="12"/>
  <c r="I35" i="14"/>
  <c r="I34" i="14" s="1"/>
  <c r="O38" i="13"/>
  <c r="J27" i="14"/>
  <c r="J75" i="14" s="1"/>
  <c r="I29" i="14"/>
  <c r="I30" i="14"/>
  <c r="I28" i="14"/>
  <c r="I17" i="14"/>
  <c r="I18" i="14"/>
  <c r="I19" i="14"/>
  <c r="I20" i="14"/>
  <c r="I21" i="14"/>
  <c r="I22" i="14"/>
  <c r="I23" i="14"/>
  <c r="I24" i="14"/>
  <c r="I25" i="14"/>
  <c r="I26" i="14"/>
  <c r="I16" i="14"/>
  <c r="I14" i="14"/>
  <c r="I13" i="14"/>
  <c r="I12" i="14"/>
  <c r="I11" i="14"/>
  <c r="I9" i="14"/>
  <c r="I7" i="14"/>
  <c r="I5" i="14"/>
  <c r="G71" i="14"/>
  <c r="G69" i="14"/>
  <c r="G68" i="14"/>
  <c r="F70" i="14"/>
  <c r="G63" i="14"/>
  <c r="G58" i="14"/>
  <c r="G62" i="14"/>
  <c r="G61" i="14"/>
  <c r="G50" i="14"/>
  <c r="G46" i="14"/>
  <c r="G49" i="14"/>
  <c r="G48" i="14"/>
  <c r="G44" i="14"/>
  <c r="G40" i="14"/>
  <c r="G41" i="14"/>
  <c r="G42" i="14"/>
  <c r="G43" i="14"/>
  <c r="G39" i="14"/>
  <c r="G36" i="14"/>
  <c r="G35" i="14"/>
  <c r="F69" i="14"/>
  <c r="F68" i="14"/>
  <c r="F65" i="14"/>
  <c r="F64" i="14"/>
  <c r="F59" i="14"/>
  <c r="F51" i="14"/>
  <c r="F52" i="14"/>
  <c r="F50" i="14"/>
  <c r="F44" i="14"/>
  <c r="F40" i="14"/>
  <c r="F41" i="14"/>
  <c r="F42" i="14"/>
  <c r="F43" i="14"/>
  <c r="F39" i="14"/>
  <c r="F36" i="14"/>
  <c r="F35" i="14"/>
  <c r="H38" i="9"/>
  <c r="H34" i="9"/>
  <c r="I49" i="15"/>
  <c r="F49" i="14" s="1"/>
  <c r="I62" i="15"/>
  <c r="F62" i="14" s="1"/>
  <c r="I63" i="15"/>
  <c r="F63" i="14" s="1"/>
  <c r="I61" i="15"/>
  <c r="F61" i="14" s="1"/>
  <c r="I58" i="15"/>
  <c r="F58" i="14" s="1"/>
  <c r="I4" i="15"/>
  <c r="I5" i="15"/>
  <c r="I9" i="15"/>
  <c r="I11" i="15"/>
  <c r="I12" i="15"/>
  <c r="I13" i="15"/>
  <c r="I14" i="15"/>
  <c r="I16" i="15"/>
  <c r="I17" i="15"/>
  <c r="I18" i="15"/>
  <c r="I19" i="15"/>
  <c r="I20" i="15"/>
  <c r="I21" i="15"/>
  <c r="I22" i="15"/>
  <c r="I23" i="15"/>
  <c r="I24" i="15"/>
  <c r="I25" i="15"/>
  <c r="I26" i="15"/>
  <c r="I28" i="15"/>
  <c r="I29" i="15"/>
  <c r="I30" i="15"/>
  <c r="I35" i="15"/>
  <c r="I36" i="15"/>
  <c r="I40" i="15"/>
  <c r="I41" i="15"/>
  <c r="I42" i="15"/>
  <c r="I43" i="15"/>
  <c r="I39" i="15"/>
  <c r="J38" i="12"/>
  <c r="J34" i="12"/>
  <c r="I38" i="11"/>
  <c r="I34" i="11"/>
  <c r="I38" i="10"/>
  <c r="I34" i="10"/>
  <c r="H34" i="13"/>
  <c r="H33" i="9" l="1"/>
  <c r="O35" i="9"/>
  <c r="F34" i="14"/>
  <c r="F38" i="14"/>
  <c r="N38" i="10"/>
  <c r="P38" i="10" s="1"/>
  <c r="G34" i="14"/>
  <c r="G38" i="14"/>
  <c r="I27" i="14"/>
  <c r="O35" i="13"/>
  <c r="M34" i="13"/>
  <c r="O34" i="13" s="1"/>
  <c r="I31" i="14"/>
  <c r="I32" i="14"/>
  <c r="J10" i="14"/>
  <c r="O20" i="9"/>
  <c r="I75" i="14" l="1"/>
  <c r="I10" i="14"/>
  <c r="I21" i="8"/>
  <c r="N21" i="8" s="1"/>
  <c r="I20" i="8"/>
  <c r="N20" i="8" s="1"/>
  <c r="M57" i="12" l="1"/>
  <c r="K47" i="12"/>
  <c r="L47" i="12"/>
  <c r="M47" i="12"/>
  <c r="O47" i="12"/>
  <c r="P47" i="12"/>
  <c r="K15" i="12"/>
  <c r="L15" i="12"/>
  <c r="M15" i="12"/>
  <c r="P15" i="12"/>
  <c r="P61" i="11"/>
  <c r="P51" i="11"/>
  <c r="P46" i="11"/>
  <c r="P7" i="11"/>
  <c r="P30" i="11"/>
  <c r="P17" i="11"/>
  <c r="P21" i="11"/>
  <c r="P16" i="11"/>
  <c r="P17" i="10"/>
  <c r="P21" i="10"/>
  <c r="P26" i="10"/>
  <c r="J10" i="10"/>
  <c r="K10" i="10"/>
  <c r="L10" i="10"/>
  <c r="O10" i="10"/>
  <c r="H60" i="13"/>
  <c r="I60" i="13"/>
  <c r="J60" i="13"/>
  <c r="K60" i="13"/>
  <c r="H47" i="15"/>
  <c r="N10" i="10" l="1"/>
  <c r="H45" i="15"/>
  <c r="G38" i="15"/>
  <c r="H38" i="15"/>
  <c r="I38" i="15"/>
  <c r="J38" i="15"/>
  <c r="K38" i="15"/>
  <c r="L38" i="15"/>
  <c r="G34" i="15" l="1"/>
  <c r="H34" i="15"/>
  <c r="I34" i="15"/>
  <c r="G27" i="15"/>
  <c r="H27" i="15"/>
  <c r="I27" i="15"/>
  <c r="G15" i="15"/>
  <c r="H15" i="15"/>
  <c r="I15" i="15"/>
  <c r="G10" i="15"/>
  <c r="H10" i="15"/>
  <c r="J10" i="15"/>
  <c r="K10" i="15"/>
  <c r="L10" i="15"/>
  <c r="H8" i="15"/>
  <c r="G6" i="15"/>
  <c r="H6" i="15"/>
  <c r="I6" i="15"/>
  <c r="K6" i="15"/>
  <c r="L6" i="15"/>
  <c r="F57" i="16"/>
  <c r="F56" i="16" s="1"/>
  <c r="G57" i="16"/>
  <c r="G56" i="16" s="1"/>
  <c r="F55" i="16"/>
  <c r="G55" i="16"/>
  <c r="I55" i="16"/>
  <c r="J55" i="16"/>
  <c r="I38" i="16"/>
  <c r="J38" i="16"/>
  <c r="H38" i="16"/>
  <c r="G38" i="16"/>
  <c r="F38" i="16"/>
  <c r="H34" i="16"/>
  <c r="I34" i="16"/>
  <c r="I33" i="16" s="1"/>
  <c r="J34" i="16"/>
  <c r="K7" i="16"/>
  <c r="F10" i="16"/>
  <c r="F8" i="16" s="1"/>
  <c r="G10" i="16"/>
  <c r="G8" i="16" s="1"/>
  <c r="H10" i="16"/>
  <c r="H8" i="16" s="1"/>
  <c r="I10" i="16"/>
  <c r="I8" i="16" s="1"/>
  <c r="J10" i="16"/>
  <c r="J8" i="16" s="1"/>
  <c r="G6" i="16"/>
  <c r="H6" i="16"/>
  <c r="I6" i="16"/>
  <c r="J6" i="16"/>
  <c r="L6" i="16"/>
  <c r="F6" i="16"/>
  <c r="K12" i="16"/>
  <c r="K13" i="16"/>
  <c r="K14" i="16"/>
  <c r="M14" i="16" s="1"/>
  <c r="K11" i="16"/>
  <c r="K9" i="16"/>
  <c r="K5" i="16"/>
  <c r="M5" i="16" s="1"/>
  <c r="K4" i="16"/>
  <c r="F15" i="16"/>
  <c r="G15" i="16"/>
  <c r="H15" i="16"/>
  <c r="I15" i="16"/>
  <c r="J15" i="16"/>
  <c r="K63" i="16"/>
  <c r="K62" i="16"/>
  <c r="K58" i="16"/>
  <c r="K59" i="16"/>
  <c r="K39" i="16"/>
  <c r="K40" i="16"/>
  <c r="M40" i="16" s="1"/>
  <c r="K41" i="16"/>
  <c r="M41" i="16" s="1"/>
  <c r="K42" i="16"/>
  <c r="M42" i="16" s="1"/>
  <c r="K43" i="16"/>
  <c r="M43" i="16" s="1"/>
  <c r="K44" i="16"/>
  <c r="M44" i="16" s="1"/>
  <c r="K45" i="16"/>
  <c r="K46" i="16"/>
  <c r="K47" i="16"/>
  <c r="K48" i="16"/>
  <c r="K49" i="16"/>
  <c r="K51" i="16"/>
  <c r="K52" i="16"/>
  <c r="K37" i="16"/>
  <c r="M37" i="16" s="1"/>
  <c r="F34" i="16"/>
  <c r="G34" i="16"/>
  <c r="G33" i="16" s="1"/>
  <c r="K36" i="16"/>
  <c r="M36" i="16" s="1"/>
  <c r="K35" i="16"/>
  <c r="K27" i="16"/>
  <c r="K28" i="16"/>
  <c r="K29" i="16"/>
  <c r="K30" i="16"/>
  <c r="K31" i="16"/>
  <c r="M31" i="16" s="1"/>
  <c r="K32" i="16"/>
  <c r="F79" i="16"/>
  <c r="F78" i="16"/>
  <c r="J33" i="16" l="1"/>
  <c r="F33" i="16"/>
  <c r="J3" i="16"/>
  <c r="H78" i="16"/>
  <c r="H3" i="15"/>
  <c r="I10" i="15"/>
  <c r="J53" i="16"/>
  <c r="K38" i="16"/>
  <c r="M39" i="16"/>
  <c r="I54" i="16"/>
  <c r="G54" i="16"/>
  <c r="K34" i="16"/>
  <c r="M35" i="16"/>
  <c r="F54" i="16"/>
  <c r="J54" i="16"/>
  <c r="H54" i="16"/>
  <c r="G8" i="15"/>
  <c r="G3" i="15" s="1"/>
  <c r="K6" i="16"/>
  <c r="M6" i="16" s="1"/>
  <c r="K10" i="16"/>
  <c r="K8" i="16" s="1"/>
  <c r="H3" i="16"/>
  <c r="I3" i="16"/>
  <c r="I53" i="16" s="1"/>
  <c r="G3" i="16"/>
  <c r="G73" i="16" s="1"/>
  <c r="F3" i="16"/>
  <c r="F53" i="16" s="1"/>
  <c r="F76" i="16"/>
  <c r="G76" i="16"/>
  <c r="F66" i="16"/>
  <c r="F77" i="16" s="1"/>
  <c r="G66" i="16"/>
  <c r="G77" i="16" s="1"/>
  <c r="H66" i="16"/>
  <c r="H80" i="16" s="1"/>
  <c r="I66" i="16"/>
  <c r="J66" i="16"/>
  <c r="J80" i="16" s="1"/>
  <c r="K66" i="16"/>
  <c r="K80" i="16" s="1"/>
  <c r="L79" i="16"/>
  <c r="I74" i="16"/>
  <c r="J74" i="16"/>
  <c r="I75" i="16"/>
  <c r="J75" i="16"/>
  <c r="K75" i="16"/>
  <c r="I77" i="16"/>
  <c r="I78" i="16"/>
  <c r="J78" i="16"/>
  <c r="I79" i="16"/>
  <c r="J79" i="16"/>
  <c r="I80" i="16"/>
  <c r="H74" i="16"/>
  <c r="H82" i="16" s="1"/>
  <c r="H75" i="16"/>
  <c r="G72" i="16"/>
  <c r="G74" i="16"/>
  <c r="G75" i="16"/>
  <c r="G78" i="16"/>
  <c r="G79" i="16"/>
  <c r="G80" i="16"/>
  <c r="G84" i="16" s="1"/>
  <c r="F75" i="16"/>
  <c r="F83" i="16" s="1"/>
  <c r="F74" i="16"/>
  <c r="F82" i="16" s="1"/>
  <c r="J77" i="16" l="1"/>
  <c r="F72" i="16"/>
  <c r="F73" i="16"/>
  <c r="J83" i="16"/>
  <c r="F80" i="16"/>
  <c r="F84" i="16" s="1"/>
  <c r="J82" i="16"/>
  <c r="G83" i="16"/>
  <c r="I83" i="16"/>
  <c r="I82" i="16"/>
  <c r="G53" i="16"/>
  <c r="G81" i="16"/>
  <c r="G82" i="16"/>
  <c r="F81" i="16"/>
  <c r="K78" i="16"/>
  <c r="M69" i="14"/>
  <c r="M70" i="14"/>
  <c r="M68" i="14"/>
  <c r="M58" i="14"/>
  <c r="M51" i="14"/>
  <c r="M52" i="14"/>
  <c r="M50" i="14"/>
  <c r="M44" i="14"/>
  <c r="M37" i="14"/>
  <c r="M31" i="14"/>
  <c r="M29" i="14"/>
  <c r="M30" i="14"/>
  <c r="M28" i="14"/>
  <c r="M17" i="14"/>
  <c r="M18" i="14"/>
  <c r="M19" i="14"/>
  <c r="M20" i="14"/>
  <c r="M21" i="14"/>
  <c r="M22" i="14"/>
  <c r="M23" i="14"/>
  <c r="M24" i="14"/>
  <c r="M25" i="14"/>
  <c r="M26" i="14"/>
  <c r="M16" i="14"/>
  <c r="M14" i="14"/>
  <c r="M13" i="14"/>
  <c r="M12" i="14"/>
  <c r="M11" i="14"/>
  <c r="M9" i="14"/>
  <c r="M7" i="14"/>
  <c r="M5" i="14"/>
  <c r="L45" i="12"/>
  <c r="M45" i="12"/>
  <c r="O45" i="12"/>
  <c r="P45" i="12"/>
  <c r="J45" i="10"/>
  <c r="J33" i="10" s="1"/>
  <c r="K45" i="10"/>
  <c r="L45" i="10"/>
  <c r="L33" i="10" s="1"/>
  <c r="L60" i="10"/>
  <c r="P61" i="10"/>
  <c r="P5" i="10"/>
  <c r="P50" i="10"/>
  <c r="K45" i="8"/>
  <c r="L45" i="8"/>
  <c r="N4" i="15"/>
  <c r="N60" i="10" l="1"/>
  <c r="M4" i="14"/>
  <c r="N79" i="9"/>
  <c r="N78" i="9"/>
  <c r="N67" i="9"/>
  <c r="N66" i="9" s="1"/>
  <c r="N80" i="9" s="1"/>
  <c r="N60" i="9"/>
  <c r="N47" i="9"/>
  <c r="N33" i="9"/>
  <c r="N27" i="9"/>
  <c r="N75" i="9" s="1"/>
  <c r="N15" i="9"/>
  <c r="N10" i="9"/>
  <c r="N8" i="9"/>
  <c r="N6" i="9"/>
  <c r="N3" i="9" s="1"/>
  <c r="O79" i="8"/>
  <c r="O67" i="8"/>
  <c r="O66" i="8" s="1"/>
  <c r="O80" i="8" s="1"/>
  <c r="O60" i="8"/>
  <c r="O47" i="8"/>
  <c r="O45" i="8" s="1"/>
  <c r="O78" i="8" s="1"/>
  <c r="O27" i="8"/>
  <c r="O75" i="8" s="1"/>
  <c r="O15" i="8"/>
  <c r="O10" i="8"/>
  <c r="O8" i="8"/>
  <c r="O6" i="8"/>
  <c r="P79" i="12"/>
  <c r="P78" i="12"/>
  <c r="P67" i="12"/>
  <c r="P66" i="12" s="1"/>
  <c r="P80" i="12" s="1"/>
  <c r="P60" i="12"/>
  <c r="P33" i="12"/>
  <c r="P27" i="12"/>
  <c r="P75" i="12" s="1"/>
  <c r="P10" i="12"/>
  <c r="P8" i="12"/>
  <c r="P6" i="12"/>
  <c r="O79" i="11"/>
  <c r="O67" i="11"/>
  <c r="O66" i="11" s="1"/>
  <c r="O80" i="11" s="1"/>
  <c r="O60" i="11"/>
  <c r="O47" i="11"/>
  <c r="O45" i="11" s="1"/>
  <c r="O27" i="11"/>
  <c r="O15" i="11"/>
  <c r="O10" i="11"/>
  <c r="O8" i="11"/>
  <c r="O6" i="11"/>
  <c r="O79" i="10"/>
  <c r="O67" i="10"/>
  <c r="O66" i="10" s="1"/>
  <c r="O60" i="10"/>
  <c r="O57" i="10" s="1"/>
  <c r="O47" i="10"/>
  <c r="O45" i="10" s="1"/>
  <c r="O33" i="10" s="1"/>
  <c r="O27" i="10"/>
  <c r="O75" i="10" s="1"/>
  <c r="O15" i="10"/>
  <c r="O8" i="10"/>
  <c r="O6" i="10"/>
  <c r="J47" i="13"/>
  <c r="J45" i="13" s="1"/>
  <c r="K47" i="13"/>
  <c r="K45" i="13" s="1"/>
  <c r="N47" i="13"/>
  <c r="N45" i="13" s="1"/>
  <c r="N67" i="13"/>
  <c r="N66" i="13" s="1"/>
  <c r="N80" i="13" s="1"/>
  <c r="N60" i="13"/>
  <c r="N27" i="13"/>
  <c r="N75" i="13" s="1"/>
  <c r="N15" i="13"/>
  <c r="N10" i="13"/>
  <c r="N8" i="13"/>
  <c r="N6" i="13"/>
  <c r="L67" i="16"/>
  <c r="L66" i="16" s="1"/>
  <c r="L80" i="16" s="1"/>
  <c r="L65" i="16"/>
  <c r="L63" i="16"/>
  <c r="L60" i="16"/>
  <c r="L59" i="16"/>
  <c r="L47" i="16"/>
  <c r="L45" i="16" s="1"/>
  <c r="L38" i="16"/>
  <c r="M38" i="16" s="1"/>
  <c r="L34" i="16"/>
  <c r="M34" i="16" s="1"/>
  <c r="L32" i="16"/>
  <c r="L27" i="16"/>
  <c r="L15" i="16"/>
  <c r="L10" i="16"/>
  <c r="L8" i="16" s="1"/>
  <c r="M8" i="16" s="1"/>
  <c r="O33" i="8" l="1"/>
  <c r="N74" i="9"/>
  <c r="P60" i="10"/>
  <c r="N57" i="13"/>
  <c r="O56" i="10"/>
  <c r="O72" i="10" s="1"/>
  <c r="O78" i="11"/>
  <c r="P55" i="12"/>
  <c r="O57" i="8"/>
  <c r="N57" i="9"/>
  <c r="M60" i="14"/>
  <c r="O78" i="10"/>
  <c r="O75" i="11"/>
  <c r="O57" i="11"/>
  <c r="P3" i="12"/>
  <c r="P57" i="12"/>
  <c r="O83" i="11"/>
  <c r="N55" i="9"/>
  <c r="L57" i="16"/>
  <c r="L56" i="16" s="1"/>
  <c r="L74" i="16"/>
  <c r="L78" i="16"/>
  <c r="L75" i="16"/>
  <c r="L83" i="16" s="1"/>
  <c r="M32" i="14"/>
  <c r="P77" i="12"/>
  <c r="O80" i="10"/>
  <c r="O77" i="10"/>
  <c r="O55" i="10"/>
  <c r="L33" i="16"/>
  <c r="P74" i="12"/>
  <c r="P83" i="12"/>
  <c r="N77" i="9"/>
  <c r="N54" i="9"/>
  <c r="N83" i="9"/>
  <c r="N82" i="9"/>
  <c r="O54" i="10"/>
  <c r="O3" i="10"/>
  <c r="O74" i="10"/>
  <c r="O83" i="10"/>
  <c r="O33" i="11"/>
  <c r="O3" i="11"/>
  <c r="O55" i="11"/>
  <c r="O74" i="11"/>
  <c r="N53" i="9"/>
  <c r="O74" i="8"/>
  <c r="O55" i="8"/>
  <c r="O3" i="8"/>
  <c r="O77" i="8"/>
  <c r="O54" i="8"/>
  <c r="O83" i="8"/>
  <c r="P53" i="12"/>
  <c r="P54" i="12"/>
  <c r="O54" i="11"/>
  <c r="O76" i="10"/>
  <c r="N74" i="13"/>
  <c r="N54" i="13"/>
  <c r="N3" i="13"/>
  <c r="N55" i="13"/>
  <c r="N33" i="13"/>
  <c r="L55" i="16"/>
  <c r="L3" i="16"/>
  <c r="L54" i="16"/>
  <c r="M47" i="14"/>
  <c r="M27" i="14"/>
  <c r="M15" i="14"/>
  <c r="M10" i="14"/>
  <c r="M6" i="14"/>
  <c r="N79" i="15"/>
  <c r="N47" i="15"/>
  <c r="N38" i="15"/>
  <c r="N34" i="15"/>
  <c r="N27" i="15"/>
  <c r="N15" i="15"/>
  <c r="N10" i="15"/>
  <c r="N6" i="15"/>
  <c r="O82" i="10" l="1"/>
  <c r="N8" i="15"/>
  <c r="N75" i="15"/>
  <c r="M8" i="14"/>
  <c r="O84" i="10"/>
  <c r="O53" i="8"/>
  <c r="O82" i="8"/>
  <c r="O77" i="11"/>
  <c r="O73" i="10"/>
  <c r="P82" i="12"/>
  <c r="O56" i="11"/>
  <c r="N56" i="9"/>
  <c r="O15" i="14"/>
  <c r="P15" i="14" s="1"/>
  <c r="M45" i="14"/>
  <c r="N77" i="13"/>
  <c r="O82" i="11"/>
  <c r="L77" i="16"/>
  <c r="L82" i="16"/>
  <c r="M78" i="16"/>
  <c r="P56" i="12"/>
  <c r="O56" i="8"/>
  <c r="N56" i="13"/>
  <c r="N73" i="13" s="1"/>
  <c r="L73" i="16"/>
  <c r="L81" i="16" s="1"/>
  <c r="L76" i="16"/>
  <c r="L72" i="16"/>
  <c r="O53" i="10"/>
  <c r="N83" i="15"/>
  <c r="O53" i="11"/>
  <c r="N53" i="13"/>
  <c r="L53" i="16"/>
  <c r="N45" i="15"/>
  <c r="N76" i="15"/>
  <c r="N74" i="15"/>
  <c r="N3" i="15"/>
  <c r="N55" i="15"/>
  <c r="N67" i="15"/>
  <c r="Q61" i="12"/>
  <c r="J70" i="8"/>
  <c r="J67" i="8" s="1"/>
  <c r="K70" i="8"/>
  <c r="L70" i="8"/>
  <c r="N70" i="8"/>
  <c r="N67" i="8" s="1"/>
  <c r="L67" i="8" l="1"/>
  <c r="J70" i="14"/>
  <c r="J67" i="14" s="1"/>
  <c r="J66" i="14" s="1"/>
  <c r="K67" i="8"/>
  <c r="I70" i="14"/>
  <c r="N66" i="15"/>
  <c r="N81" i="13"/>
  <c r="L84" i="16"/>
  <c r="N72" i="13"/>
  <c r="N76" i="13"/>
  <c r="O72" i="8"/>
  <c r="O76" i="8"/>
  <c r="O81" i="10"/>
  <c r="O73" i="8"/>
  <c r="P72" i="12"/>
  <c r="P76" i="12"/>
  <c r="P73" i="12"/>
  <c r="N76" i="9"/>
  <c r="N73" i="9"/>
  <c r="N72" i="9"/>
  <c r="O76" i="11"/>
  <c r="O73" i="11"/>
  <c r="O72" i="11"/>
  <c r="N33" i="15"/>
  <c r="N78" i="15"/>
  <c r="N54" i="15"/>
  <c r="N82" i="15"/>
  <c r="N77" i="15"/>
  <c r="J4" i="15"/>
  <c r="J51" i="15"/>
  <c r="I51" i="14" s="1"/>
  <c r="K64" i="11"/>
  <c r="J50" i="15"/>
  <c r="J69" i="15"/>
  <c r="I69" i="14" s="1"/>
  <c r="I67" i="14" s="1"/>
  <c r="I66" i="14" s="1"/>
  <c r="I80" i="14" s="1"/>
  <c r="H64" i="16"/>
  <c r="H50" i="16"/>
  <c r="K61" i="16"/>
  <c r="M61" i="16" s="1"/>
  <c r="K60" i="16"/>
  <c r="F85" i="16"/>
  <c r="G85" i="16"/>
  <c r="H85" i="16"/>
  <c r="K85" i="16"/>
  <c r="I85" i="16"/>
  <c r="J85" i="16"/>
  <c r="I60" i="16"/>
  <c r="J60" i="16"/>
  <c r="J57" i="16" s="1"/>
  <c r="J56" i="16" s="1"/>
  <c r="I57" i="16"/>
  <c r="I56" i="16" s="1"/>
  <c r="H60" i="16"/>
  <c r="K37" i="11"/>
  <c r="K50" i="11"/>
  <c r="K60" i="11"/>
  <c r="K57" i="11" s="1"/>
  <c r="K56" i="11" s="1"/>
  <c r="K60" i="10"/>
  <c r="K37" i="10"/>
  <c r="N37" i="10" s="1"/>
  <c r="K64" i="8"/>
  <c r="L60" i="12"/>
  <c r="O10" i="12"/>
  <c r="O8" i="12"/>
  <c r="O22" i="12"/>
  <c r="L64" i="12"/>
  <c r="L37" i="12"/>
  <c r="O37" i="12" s="1"/>
  <c r="L50" i="12"/>
  <c r="J51" i="12"/>
  <c r="O51" i="12" s="1"/>
  <c r="K51" i="12"/>
  <c r="K52" i="12" s="1"/>
  <c r="M51" i="12"/>
  <c r="J51" i="14" s="1"/>
  <c r="Q37" i="12"/>
  <c r="Q17" i="12"/>
  <c r="Q18" i="12"/>
  <c r="Q20" i="12"/>
  <c r="Q21" i="12"/>
  <c r="Q23" i="12"/>
  <c r="Q26" i="12"/>
  <c r="K37" i="8"/>
  <c r="P61" i="8"/>
  <c r="K60" i="8"/>
  <c r="K57" i="8" s="1"/>
  <c r="K56" i="8" s="1"/>
  <c r="K76" i="8" s="1"/>
  <c r="L60" i="8"/>
  <c r="P18" i="8"/>
  <c r="P22" i="8"/>
  <c r="P23" i="8"/>
  <c r="J37" i="9"/>
  <c r="M37" i="9" s="1"/>
  <c r="J64" i="9"/>
  <c r="O61" i="9"/>
  <c r="M60" i="9"/>
  <c r="O60" i="9" s="1"/>
  <c r="M79" i="9"/>
  <c r="O79" i="9" s="1"/>
  <c r="O50" i="9"/>
  <c r="O37" i="9"/>
  <c r="O5" i="9"/>
  <c r="O50" i="13"/>
  <c r="J37" i="13"/>
  <c r="M37" i="13" s="1"/>
  <c r="O64" i="13"/>
  <c r="O37" i="13"/>
  <c r="M26" i="13"/>
  <c r="O26" i="13" s="1"/>
  <c r="O5" i="13"/>
  <c r="K16" i="16"/>
  <c r="K17" i="16"/>
  <c r="M17" i="16" s="1"/>
  <c r="K18" i="16"/>
  <c r="K19" i="16"/>
  <c r="K20" i="16"/>
  <c r="K21" i="16"/>
  <c r="M21" i="16" s="1"/>
  <c r="K22" i="16"/>
  <c r="K23" i="16"/>
  <c r="K24" i="16"/>
  <c r="K25" i="16"/>
  <c r="K26" i="16"/>
  <c r="K67" i="15"/>
  <c r="K66" i="15" s="1"/>
  <c r="K80" i="15" s="1"/>
  <c r="L67" i="15"/>
  <c r="L66" i="15" s="1"/>
  <c r="L80" i="15" s="1"/>
  <c r="M68" i="15"/>
  <c r="O68" i="15" s="1"/>
  <c r="M70" i="15"/>
  <c r="O70" i="15" s="1"/>
  <c r="M61" i="15"/>
  <c r="O61" i="15" s="1"/>
  <c r="M62" i="15"/>
  <c r="O62" i="15" s="1"/>
  <c r="M63" i="15"/>
  <c r="N63" i="15" s="1"/>
  <c r="M63" i="14" s="1"/>
  <c r="M64" i="15"/>
  <c r="N64" i="15" s="1"/>
  <c r="M65" i="15"/>
  <c r="N65" i="15" s="1"/>
  <c r="M58" i="15"/>
  <c r="O58" i="15" s="1"/>
  <c r="M59" i="15"/>
  <c r="N59" i="15" s="1"/>
  <c r="M50" i="15"/>
  <c r="O50" i="15" s="1"/>
  <c r="M51" i="15"/>
  <c r="O51" i="15" s="1"/>
  <c r="M52" i="15"/>
  <c r="O52" i="15" s="1"/>
  <c r="M49" i="15"/>
  <c r="K47" i="15"/>
  <c r="K45" i="15" s="1"/>
  <c r="L47" i="15"/>
  <c r="M39" i="15"/>
  <c r="O39" i="15" s="1"/>
  <c r="M40" i="15"/>
  <c r="O40" i="15" s="1"/>
  <c r="M41" i="15"/>
  <c r="O41" i="15" s="1"/>
  <c r="M42" i="15"/>
  <c r="O42" i="15" s="1"/>
  <c r="M43" i="15"/>
  <c r="O43" i="15" s="1"/>
  <c r="M44" i="15"/>
  <c r="O44" i="15" s="1"/>
  <c r="M35" i="15"/>
  <c r="O35" i="15" s="1"/>
  <c r="M36" i="15"/>
  <c r="O36" i="15" s="1"/>
  <c r="M37" i="15"/>
  <c r="O37" i="15" s="1"/>
  <c r="K34" i="15"/>
  <c r="L34" i="15"/>
  <c r="J34" i="15"/>
  <c r="M28" i="15"/>
  <c r="M29" i="15"/>
  <c r="O29" i="15" s="1"/>
  <c r="M30" i="15"/>
  <c r="M31" i="15"/>
  <c r="O31" i="15" s="1"/>
  <c r="M32" i="15"/>
  <c r="O32" i="15" s="1"/>
  <c r="M16" i="15"/>
  <c r="M17" i="15"/>
  <c r="O17" i="15" s="1"/>
  <c r="M18" i="15"/>
  <c r="O18" i="15" s="1"/>
  <c r="M19" i="15"/>
  <c r="O19" i="15" s="1"/>
  <c r="M20" i="15"/>
  <c r="O20" i="15" s="1"/>
  <c r="M21" i="15"/>
  <c r="O21" i="15" s="1"/>
  <c r="M22" i="15"/>
  <c r="M23" i="15"/>
  <c r="M24" i="15"/>
  <c r="M25" i="15"/>
  <c r="M26" i="15"/>
  <c r="O26" i="15" s="1"/>
  <c r="M12" i="15"/>
  <c r="O12" i="15" s="1"/>
  <c r="M13" i="15"/>
  <c r="O13" i="15" s="1"/>
  <c r="M14" i="15"/>
  <c r="O14" i="15" s="1"/>
  <c r="M11" i="15"/>
  <c r="M9" i="15"/>
  <c r="O9" i="15" s="1"/>
  <c r="M7" i="15"/>
  <c r="O7" i="15" s="1"/>
  <c r="M5" i="15"/>
  <c r="O5" i="15" s="1"/>
  <c r="I60" i="14"/>
  <c r="H49" i="14"/>
  <c r="L49" i="14" s="1"/>
  <c r="H35" i="14"/>
  <c r="L35" i="14" s="1"/>
  <c r="H36" i="14"/>
  <c r="L36" i="14" s="1"/>
  <c r="G37" i="14"/>
  <c r="H37" i="14" s="1"/>
  <c r="G17" i="14"/>
  <c r="H17" i="14" s="1"/>
  <c r="L17" i="14" s="1"/>
  <c r="G18" i="14"/>
  <c r="H18" i="14" s="1"/>
  <c r="L18" i="14" s="1"/>
  <c r="G19" i="14"/>
  <c r="H19" i="14" s="1"/>
  <c r="L19" i="14" s="1"/>
  <c r="G22" i="14"/>
  <c r="H22" i="14" s="1"/>
  <c r="L22" i="14" s="1"/>
  <c r="G23" i="14"/>
  <c r="H23" i="14" s="1"/>
  <c r="L23" i="14" s="1"/>
  <c r="G24" i="14"/>
  <c r="H24" i="14" s="1"/>
  <c r="L24" i="14" s="1"/>
  <c r="G25" i="14"/>
  <c r="H25" i="14" s="1"/>
  <c r="L25" i="14" s="1"/>
  <c r="G28" i="14"/>
  <c r="H28" i="14" s="1"/>
  <c r="L28" i="14" s="1"/>
  <c r="G29" i="14"/>
  <c r="H29" i="14" s="1"/>
  <c r="L29" i="14" s="1"/>
  <c r="G30" i="14"/>
  <c r="H30" i="14" s="1"/>
  <c r="L30" i="14" s="1"/>
  <c r="J27" i="12"/>
  <c r="G31" i="14"/>
  <c r="H31" i="14" s="1"/>
  <c r="L31" i="14" s="1"/>
  <c r="G11" i="14"/>
  <c r="H11" i="14" s="1"/>
  <c r="L11" i="14" s="1"/>
  <c r="G12" i="14"/>
  <c r="H12" i="14" s="1"/>
  <c r="L12" i="14" s="1"/>
  <c r="G13" i="14"/>
  <c r="H13" i="14" s="1"/>
  <c r="L13" i="14" s="1"/>
  <c r="G14" i="14"/>
  <c r="H14" i="14" s="1"/>
  <c r="L14" i="14" s="1"/>
  <c r="G9" i="14"/>
  <c r="H9" i="14" s="1"/>
  <c r="L9" i="14" s="1"/>
  <c r="J6" i="14"/>
  <c r="J8" i="14"/>
  <c r="I15" i="14"/>
  <c r="J15" i="14"/>
  <c r="J57" i="13"/>
  <c r="J56" i="13" s="1"/>
  <c r="J76" i="13" s="1"/>
  <c r="J78" i="13"/>
  <c r="K78" i="13"/>
  <c r="K57" i="13"/>
  <c r="K56" i="13" s="1"/>
  <c r="K76" i="13" s="1"/>
  <c r="J8" i="13"/>
  <c r="K8" i="13"/>
  <c r="J10" i="13"/>
  <c r="K10" i="13"/>
  <c r="J15" i="13"/>
  <c r="K15" i="13"/>
  <c r="J27" i="13"/>
  <c r="J75" i="13" s="1"/>
  <c r="K27" i="13"/>
  <c r="K75" i="13" s="1"/>
  <c r="J6" i="13"/>
  <c r="J74" i="13" s="1"/>
  <c r="K6" i="13"/>
  <c r="K74" i="13" s="1"/>
  <c r="K57" i="10"/>
  <c r="K56" i="10" s="1"/>
  <c r="K6" i="10"/>
  <c r="K76" i="10"/>
  <c r="J78" i="10"/>
  <c r="K78" i="10"/>
  <c r="L78" i="10"/>
  <c r="J79" i="10"/>
  <c r="K79" i="10"/>
  <c r="L79" i="10"/>
  <c r="N79" i="10"/>
  <c r="P79" i="10" s="1"/>
  <c r="J66" i="10"/>
  <c r="J77" i="10" s="1"/>
  <c r="K66" i="10"/>
  <c r="L66" i="10"/>
  <c r="L77" i="10" s="1"/>
  <c r="N66" i="10"/>
  <c r="J57" i="10"/>
  <c r="J56" i="10" s="1"/>
  <c r="J72" i="10" s="1"/>
  <c r="J84" i="10" s="1"/>
  <c r="L57" i="10"/>
  <c r="L56" i="10" s="1"/>
  <c r="J27" i="10"/>
  <c r="J75" i="10" s="1"/>
  <c r="K27" i="10"/>
  <c r="K75" i="10" s="1"/>
  <c r="L27" i="10"/>
  <c r="L75" i="10" s="1"/>
  <c r="N27" i="10"/>
  <c r="N75" i="10" s="1"/>
  <c r="J15" i="10"/>
  <c r="K15" i="10"/>
  <c r="L15" i="10"/>
  <c r="N15" i="10"/>
  <c r="P15" i="10" s="1"/>
  <c r="J8" i="10"/>
  <c r="K8" i="10"/>
  <c r="K74" i="10" s="1"/>
  <c r="L8" i="10"/>
  <c r="N8" i="10"/>
  <c r="J6" i="10"/>
  <c r="J74" i="10" s="1"/>
  <c r="L6" i="10"/>
  <c r="N6" i="10"/>
  <c r="P6" i="10" s="1"/>
  <c r="K15" i="11"/>
  <c r="K75" i="11"/>
  <c r="K79" i="11"/>
  <c r="L79" i="11"/>
  <c r="K67" i="11"/>
  <c r="K66" i="11" s="1"/>
  <c r="K80" i="11" s="1"/>
  <c r="L67" i="11"/>
  <c r="L66" i="11" s="1"/>
  <c r="L80" i="11" s="1"/>
  <c r="K55" i="11"/>
  <c r="L57" i="11"/>
  <c r="L56" i="11" s="1"/>
  <c r="L78" i="11"/>
  <c r="K8" i="11"/>
  <c r="L8" i="11"/>
  <c r="K10" i="11"/>
  <c r="L10" i="11"/>
  <c r="L15" i="11"/>
  <c r="L27" i="11"/>
  <c r="L75" i="11" s="1"/>
  <c r="K6" i="11"/>
  <c r="L6" i="11"/>
  <c r="L67" i="12"/>
  <c r="L66" i="12" s="1"/>
  <c r="L80" i="12" s="1"/>
  <c r="M67" i="12"/>
  <c r="M66" i="12" s="1"/>
  <c r="M80" i="12" s="1"/>
  <c r="M56" i="12"/>
  <c r="L8" i="12"/>
  <c r="L10" i="12"/>
  <c r="M10" i="12"/>
  <c r="L27" i="12"/>
  <c r="L75" i="12" s="1"/>
  <c r="M27" i="12"/>
  <c r="M75" i="12" s="1"/>
  <c r="L57" i="8"/>
  <c r="L56" i="8" s="1"/>
  <c r="L76" i="8" s="1"/>
  <c r="K79" i="8"/>
  <c r="L79" i="8"/>
  <c r="K8" i="8"/>
  <c r="L8" i="8"/>
  <c r="K10" i="8"/>
  <c r="L10" i="8"/>
  <c r="K15" i="8"/>
  <c r="L15" i="8"/>
  <c r="K27" i="8"/>
  <c r="L27" i="8"/>
  <c r="J15" i="9"/>
  <c r="K15" i="9"/>
  <c r="J33" i="9"/>
  <c r="J78" i="9"/>
  <c r="J79" i="9"/>
  <c r="K79" i="9"/>
  <c r="J67" i="9"/>
  <c r="J66" i="9" s="1"/>
  <c r="K67" i="9"/>
  <c r="K66" i="9" s="1"/>
  <c r="J60" i="9"/>
  <c r="K60" i="9"/>
  <c r="J8" i="9"/>
  <c r="K8" i="9"/>
  <c r="J10" i="9"/>
  <c r="K10" i="9"/>
  <c r="J6" i="9"/>
  <c r="J54" i="9" s="1"/>
  <c r="K6" i="9"/>
  <c r="K74" i="9" s="1"/>
  <c r="L45" i="15"/>
  <c r="K79" i="15"/>
  <c r="L79" i="15"/>
  <c r="K60" i="15"/>
  <c r="K76" i="15" s="1"/>
  <c r="L60" i="15"/>
  <c r="L76" i="15" s="1"/>
  <c r="L57" i="15"/>
  <c r="L56" i="15" s="1"/>
  <c r="K27" i="15"/>
  <c r="K75" i="15" s="1"/>
  <c r="K83" i="15" s="1"/>
  <c r="L27" i="15"/>
  <c r="L55" i="15" s="1"/>
  <c r="K15" i="15"/>
  <c r="L15" i="15"/>
  <c r="K8" i="15"/>
  <c r="L8" i="15"/>
  <c r="L3" i="15" s="1"/>
  <c r="K74" i="15"/>
  <c r="M60" i="15"/>
  <c r="J15" i="15"/>
  <c r="J27" i="15"/>
  <c r="J55" i="15" s="1"/>
  <c r="J47" i="15"/>
  <c r="J45" i="15" s="1"/>
  <c r="J33" i="15" s="1"/>
  <c r="J60" i="15"/>
  <c r="J57" i="15" s="1"/>
  <c r="J56" i="15" s="1"/>
  <c r="J67" i="15"/>
  <c r="J66" i="15" s="1"/>
  <c r="J80" i="15" s="1"/>
  <c r="J8" i="15"/>
  <c r="G46" i="15"/>
  <c r="I8" i="15"/>
  <c r="I3" i="15" s="1"/>
  <c r="M67" i="9"/>
  <c r="M66" i="9" s="1"/>
  <c r="M80" i="9" s="1"/>
  <c r="M47" i="9"/>
  <c r="M15" i="9"/>
  <c r="O15" i="9" s="1"/>
  <c r="M10" i="9"/>
  <c r="O10" i="9" s="1"/>
  <c r="M8" i="9"/>
  <c r="N47" i="8"/>
  <c r="N45" i="8" s="1"/>
  <c r="N27" i="8"/>
  <c r="N10" i="8"/>
  <c r="N8" i="8"/>
  <c r="O27" i="12"/>
  <c r="N67" i="11"/>
  <c r="N66" i="11" s="1"/>
  <c r="N80" i="11" s="1"/>
  <c r="N60" i="11"/>
  <c r="P60" i="11" s="1"/>
  <c r="N47" i="11"/>
  <c r="N27" i="11"/>
  <c r="N15" i="11"/>
  <c r="P15" i="11" s="1"/>
  <c r="N10" i="11"/>
  <c r="N8" i="11"/>
  <c r="N6" i="11"/>
  <c r="M27" i="13"/>
  <c r="M75" i="13" s="1"/>
  <c r="M10" i="13"/>
  <c r="M8" i="13"/>
  <c r="J79" i="15"/>
  <c r="D74" i="15"/>
  <c r="E74" i="15"/>
  <c r="G74" i="15"/>
  <c r="H74" i="15"/>
  <c r="D75" i="15"/>
  <c r="E75" i="15"/>
  <c r="G75" i="15"/>
  <c r="H75" i="15"/>
  <c r="I75" i="15"/>
  <c r="D76" i="15"/>
  <c r="E76" i="15"/>
  <c r="G76" i="15"/>
  <c r="H76" i="15"/>
  <c r="I76" i="15"/>
  <c r="D78" i="15"/>
  <c r="D82" i="15" s="1"/>
  <c r="E78" i="15"/>
  <c r="H78" i="15"/>
  <c r="D79" i="15"/>
  <c r="E79" i="15"/>
  <c r="F79" i="15"/>
  <c r="G79" i="15"/>
  <c r="H79" i="15"/>
  <c r="I79" i="15"/>
  <c r="C76" i="15"/>
  <c r="C75" i="15"/>
  <c r="C74" i="15"/>
  <c r="F79" i="14"/>
  <c r="G48" i="15"/>
  <c r="H33" i="15"/>
  <c r="H53" i="15" s="1"/>
  <c r="F60" i="14"/>
  <c r="G60" i="14"/>
  <c r="G76" i="14" s="1"/>
  <c r="C60" i="14"/>
  <c r="C76" i="14" s="1"/>
  <c r="F27" i="14"/>
  <c r="C27" i="14"/>
  <c r="C55" i="14" s="1"/>
  <c r="F15" i="14"/>
  <c r="C15" i="14"/>
  <c r="F8" i="14"/>
  <c r="C8" i="14"/>
  <c r="F6" i="14"/>
  <c r="F74" i="14" s="1"/>
  <c r="C6" i="14"/>
  <c r="F67" i="14"/>
  <c r="F66" i="14" s="1"/>
  <c r="F80" i="14" s="1"/>
  <c r="C45" i="14"/>
  <c r="C33" i="14" s="1"/>
  <c r="C79" i="14"/>
  <c r="C67" i="14"/>
  <c r="C66" i="14" s="1"/>
  <c r="C80" i="14" s="1"/>
  <c r="D67" i="15"/>
  <c r="D66" i="15" s="1"/>
  <c r="E67" i="15"/>
  <c r="E66" i="15" s="1"/>
  <c r="E80" i="15" s="1"/>
  <c r="E84" i="15" s="1"/>
  <c r="F67" i="15"/>
  <c r="F66" i="15" s="1"/>
  <c r="F80" i="15" s="1"/>
  <c r="G67" i="15"/>
  <c r="H67" i="15"/>
  <c r="I67" i="15"/>
  <c r="I66" i="15" s="1"/>
  <c r="I80" i="15" s="1"/>
  <c r="C67" i="15"/>
  <c r="C66" i="15" s="1"/>
  <c r="C77" i="15" s="1"/>
  <c r="G66" i="15"/>
  <c r="G80" i="15" s="1"/>
  <c r="G84" i="15" s="1"/>
  <c r="H66" i="15"/>
  <c r="H80" i="15" s="1"/>
  <c r="H84" i="15" s="1"/>
  <c r="D56" i="15"/>
  <c r="D73" i="15" s="1"/>
  <c r="E56" i="15"/>
  <c r="E73" i="15" s="1"/>
  <c r="G56" i="15"/>
  <c r="G73" i="15" s="1"/>
  <c r="H56" i="15"/>
  <c r="H73" i="15" s="1"/>
  <c r="I56" i="15"/>
  <c r="H54" i="15"/>
  <c r="G55" i="15"/>
  <c r="H55" i="15"/>
  <c r="I55" i="15"/>
  <c r="C79" i="15"/>
  <c r="C83" i="15" s="1"/>
  <c r="C78" i="15"/>
  <c r="C56" i="15"/>
  <c r="E55" i="15"/>
  <c r="D55" i="15"/>
  <c r="C55" i="15"/>
  <c r="E54" i="15"/>
  <c r="D54" i="15"/>
  <c r="C54" i="15"/>
  <c r="E53" i="15"/>
  <c r="D53" i="15"/>
  <c r="C3" i="15"/>
  <c r="C80" i="15"/>
  <c r="E77" i="15"/>
  <c r="F55" i="14"/>
  <c r="I72" i="15"/>
  <c r="C79" i="13"/>
  <c r="J64" i="12"/>
  <c r="I6" i="12"/>
  <c r="G67" i="9"/>
  <c r="G66" i="9" s="1"/>
  <c r="G80" i="9" s="1"/>
  <c r="G79" i="9"/>
  <c r="G60" i="9"/>
  <c r="G57" i="9" s="1"/>
  <c r="G56" i="9" s="1"/>
  <c r="G47" i="9"/>
  <c r="G45" i="9" s="1"/>
  <c r="G27" i="9"/>
  <c r="G75" i="9" s="1"/>
  <c r="G15" i="9"/>
  <c r="G8" i="9"/>
  <c r="G6" i="9"/>
  <c r="H79" i="8"/>
  <c r="H66" i="8"/>
  <c r="H80" i="8" s="1"/>
  <c r="H60" i="8"/>
  <c r="H57" i="8" s="1"/>
  <c r="H56" i="8" s="1"/>
  <c r="H47" i="8"/>
  <c r="H45" i="8" s="1"/>
  <c r="H33" i="8" s="1"/>
  <c r="H27" i="8"/>
  <c r="H75" i="8" s="1"/>
  <c r="H15" i="8"/>
  <c r="H8" i="8"/>
  <c r="H6" i="8"/>
  <c r="I67" i="12"/>
  <c r="I66" i="12" s="1"/>
  <c r="I80" i="12" s="1"/>
  <c r="I79" i="12"/>
  <c r="I60" i="12"/>
  <c r="I57" i="12" s="1"/>
  <c r="I56" i="12" s="1"/>
  <c r="I47" i="12"/>
  <c r="I45" i="12" s="1"/>
  <c r="I78" i="12" s="1"/>
  <c r="I27" i="12"/>
  <c r="I75" i="12" s="1"/>
  <c r="I15" i="12"/>
  <c r="I8" i="12"/>
  <c r="H79" i="11"/>
  <c r="H66" i="11"/>
  <c r="H80" i="11" s="1"/>
  <c r="H60" i="11"/>
  <c r="H57" i="11" s="1"/>
  <c r="H56" i="11" s="1"/>
  <c r="H45" i="11"/>
  <c r="H33" i="11"/>
  <c r="H77" i="11" s="1"/>
  <c r="H27" i="11"/>
  <c r="H55" i="11" s="1"/>
  <c r="H15" i="11"/>
  <c r="H8" i="11"/>
  <c r="H6" i="11"/>
  <c r="H54" i="11" s="1"/>
  <c r="H79" i="10"/>
  <c r="H66" i="10"/>
  <c r="H80" i="10" s="1"/>
  <c r="H60" i="10"/>
  <c r="H57" i="10" s="1"/>
  <c r="H56" i="10" s="1"/>
  <c r="H45" i="10"/>
  <c r="H33" i="10" s="1"/>
  <c r="H27" i="10"/>
  <c r="H75" i="10" s="1"/>
  <c r="H15" i="10"/>
  <c r="H8" i="10"/>
  <c r="H6" i="10"/>
  <c r="G79" i="13"/>
  <c r="G66" i="13"/>
  <c r="G80" i="13" s="1"/>
  <c r="G60" i="13"/>
  <c r="G57" i="13" s="1"/>
  <c r="G56" i="13" s="1"/>
  <c r="G47" i="13"/>
  <c r="G45" i="13" s="1"/>
  <c r="G27" i="13"/>
  <c r="G75" i="13" s="1"/>
  <c r="G15" i="13"/>
  <c r="G8" i="13"/>
  <c r="G6" i="13"/>
  <c r="H78" i="11"/>
  <c r="G55" i="9"/>
  <c r="F47" i="15"/>
  <c r="F45" i="15" s="1"/>
  <c r="F38" i="15"/>
  <c r="F60" i="15"/>
  <c r="F57" i="15" s="1"/>
  <c r="F56" i="15" s="1"/>
  <c r="F72" i="15" s="1"/>
  <c r="F34" i="15"/>
  <c r="F27" i="15"/>
  <c r="F55" i="15" s="1"/>
  <c r="F15" i="15"/>
  <c r="F10" i="15"/>
  <c r="F8" i="15" s="1"/>
  <c r="F4" i="15"/>
  <c r="F6" i="15" s="1"/>
  <c r="F75" i="15"/>
  <c r="F83" i="15" s="1"/>
  <c r="H64" i="9"/>
  <c r="I64" i="10"/>
  <c r="N64" i="10" s="1"/>
  <c r="D69" i="14"/>
  <c r="E69" i="14" s="1"/>
  <c r="D70" i="14"/>
  <c r="E70" i="14" s="1"/>
  <c r="D71" i="14"/>
  <c r="E71" i="14" s="1"/>
  <c r="D68" i="14"/>
  <c r="E68" i="14" s="1"/>
  <c r="D63" i="14"/>
  <c r="E63" i="14" s="1"/>
  <c r="D62" i="14"/>
  <c r="E62" i="14" s="1"/>
  <c r="D61" i="14"/>
  <c r="E61" i="14" s="1"/>
  <c r="D59" i="14"/>
  <c r="E59" i="14" s="1"/>
  <c r="D58" i="14"/>
  <c r="E58" i="14" s="1"/>
  <c r="D52" i="14"/>
  <c r="E52" i="14" s="1"/>
  <c r="D51" i="14"/>
  <c r="D50" i="14"/>
  <c r="E50" i="14" s="1"/>
  <c r="D46" i="14"/>
  <c r="E46" i="14" s="1"/>
  <c r="D44" i="14"/>
  <c r="E44" i="14" s="1"/>
  <c r="D38" i="14"/>
  <c r="E38" i="14" s="1"/>
  <c r="D37" i="14"/>
  <c r="E37" i="14" s="1"/>
  <c r="D34" i="14"/>
  <c r="E34" i="14" s="1"/>
  <c r="D29" i="14"/>
  <c r="E29" i="14" s="1"/>
  <c r="D30" i="14"/>
  <c r="E30" i="14" s="1"/>
  <c r="D31" i="14"/>
  <c r="E31" i="14" s="1"/>
  <c r="D32" i="14"/>
  <c r="E32" i="14" s="1"/>
  <c r="D28" i="14"/>
  <c r="E28" i="14" s="1"/>
  <c r="D18" i="14"/>
  <c r="E18" i="14" s="1"/>
  <c r="D19" i="14"/>
  <c r="E19" i="14" s="1"/>
  <c r="D20" i="14"/>
  <c r="E20" i="14" s="1"/>
  <c r="D21" i="14"/>
  <c r="E21" i="14" s="1"/>
  <c r="D22" i="14"/>
  <c r="E22" i="14" s="1"/>
  <c r="D23" i="14"/>
  <c r="E23" i="14" s="1"/>
  <c r="D24" i="14"/>
  <c r="E24" i="14" s="1"/>
  <c r="D25" i="14"/>
  <c r="E25" i="14" s="1"/>
  <c r="D26" i="14"/>
  <c r="E26" i="14" s="1"/>
  <c r="D16" i="14"/>
  <c r="E16" i="14" s="1"/>
  <c r="D11" i="14"/>
  <c r="E11" i="14" s="1"/>
  <c r="D12" i="14"/>
  <c r="E12" i="14" s="1"/>
  <c r="D13" i="14"/>
  <c r="E13" i="14" s="1"/>
  <c r="D14" i="14"/>
  <c r="E14" i="14" s="1"/>
  <c r="D9" i="14"/>
  <c r="E9" i="14" s="1"/>
  <c r="D5" i="14"/>
  <c r="E5" i="14" s="1"/>
  <c r="D4" i="14"/>
  <c r="E4" i="14" s="1"/>
  <c r="I64" i="8"/>
  <c r="H58" i="14"/>
  <c r="L58" i="14" s="1"/>
  <c r="H61" i="14"/>
  <c r="L61" i="14" s="1"/>
  <c r="H62" i="14"/>
  <c r="L62" i="14" s="1"/>
  <c r="H68" i="14"/>
  <c r="G65" i="14"/>
  <c r="H65" i="14" s="1"/>
  <c r="M65" i="14" s="1"/>
  <c r="I79" i="9"/>
  <c r="H79" i="9"/>
  <c r="I67" i="9"/>
  <c r="I66" i="9" s="1"/>
  <c r="I80" i="9" s="1"/>
  <c r="H67" i="9"/>
  <c r="H66" i="9" s="1"/>
  <c r="I60" i="9"/>
  <c r="H60" i="9"/>
  <c r="I47" i="9"/>
  <c r="H47" i="9"/>
  <c r="I78" i="9"/>
  <c r="I27" i="9"/>
  <c r="I32" i="9" s="1"/>
  <c r="H27" i="9"/>
  <c r="I15" i="9"/>
  <c r="H15" i="9"/>
  <c r="I10" i="9"/>
  <c r="H10" i="9"/>
  <c r="I8" i="9"/>
  <c r="H8" i="9"/>
  <c r="I6" i="9"/>
  <c r="H6" i="9"/>
  <c r="E79" i="9"/>
  <c r="C79" i="9"/>
  <c r="F71" i="9"/>
  <c r="F70" i="9"/>
  <c r="F69" i="9"/>
  <c r="F68" i="9"/>
  <c r="E67" i="9"/>
  <c r="E66" i="9" s="1"/>
  <c r="E80" i="9" s="1"/>
  <c r="D67" i="9"/>
  <c r="D66" i="9" s="1"/>
  <c r="D80" i="9" s="1"/>
  <c r="C67" i="9"/>
  <c r="C66" i="9" s="1"/>
  <c r="C80" i="9" s="1"/>
  <c r="F65" i="9"/>
  <c r="D64" i="9"/>
  <c r="F64" i="9" s="1"/>
  <c r="F63" i="9"/>
  <c r="F62" i="9"/>
  <c r="F61" i="9"/>
  <c r="E60" i="9"/>
  <c r="E57" i="9" s="1"/>
  <c r="E56" i="9" s="1"/>
  <c r="D60" i="9"/>
  <c r="C60" i="9"/>
  <c r="C57" i="9" s="1"/>
  <c r="C56" i="9" s="1"/>
  <c r="F59" i="9"/>
  <c r="F58" i="9"/>
  <c r="F52" i="9"/>
  <c r="F51" i="9"/>
  <c r="D50" i="9"/>
  <c r="F49" i="9"/>
  <c r="F48" i="9"/>
  <c r="E47" i="9"/>
  <c r="E45" i="9" s="1"/>
  <c r="E33" i="9" s="1"/>
  <c r="E77" i="9" s="1"/>
  <c r="D47" i="9"/>
  <c r="D45" i="9" s="1"/>
  <c r="C47" i="9"/>
  <c r="C45" i="9" s="1"/>
  <c r="C78" i="9" s="1"/>
  <c r="F46" i="9"/>
  <c r="F44" i="9"/>
  <c r="D38" i="9"/>
  <c r="F38" i="9" s="1"/>
  <c r="D37" i="9"/>
  <c r="F37" i="9" s="1"/>
  <c r="D34" i="9"/>
  <c r="F34" i="9" s="1"/>
  <c r="D32" i="9"/>
  <c r="F32" i="9" s="1"/>
  <c r="F31" i="9"/>
  <c r="F30" i="9"/>
  <c r="F29" i="9"/>
  <c r="F28" i="9"/>
  <c r="E27" i="9"/>
  <c r="D27" i="9"/>
  <c r="C27" i="9"/>
  <c r="C55" i="9" s="1"/>
  <c r="F26" i="9"/>
  <c r="F24" i="9"/>
  <c r="F23" i="9"/>
  <c r="F22" i="9"/>
  <c r="F21" i="9"/>
  <c r="F20" i="9"/>
  <c r="F19" i="9"/>
  <c r="D18" i="9"/>
  <c r="F18" i="9" s="1"/>
  <c r="F17" i="9"/>
  <c r="F16" i="9"/>
  <c r="E15" i="9"/>
  <c r="C15" i="9"/>
  <c r="F14" i="9"/>
  <c r="F13" i="9"/>
  <c r="F12" i="9"/>
  <c r="F11" i="9"/>
  <c r="E10" i="9"/>
  <c r="E8" i="9" s="1"/>
  <c r="C10" i="9"/>
  <c r="C8" i="9" s="1"/>
  <c r="F9" i="9"/>
  <c r="D8" i="9"/>
  <c r="F7" i="9"/>
  <c r="E6" i="9"/>
  <c r="D6" i="9"/>
  <c r="C6" i="9"/>
  <c r="F5" i="9"/>
  <c r="F4" i="9"/>
  <c r="J79" i="8"/>
  <c r="I79" i="8"/>
  <c r="J60" i="8"/>
  <c r="J57" i="8" s="1"/>
  <c r="J56" i="8" s="1"/>
  <c r="J76" i="8" s="1"/>
  <c r="I60" i="8"/>
  <c r="J47" i="8"/>
  <c r="J45" i="8" s="1"/>
  <c r="I47" i="8"/>
  <c r="I45" i="8" s="1"/>
  <c r="I33" i="8" s="1"/>
  <c r="J27" i="8"/>
  <c r="I27" i="8"/>
  <c r="J15" i="8"/>
  <c r="J10" i="8"/>
  <c r="I10" i="8"/>
  <c r="J8" i="8"/>
  <c r="I8" i="8"/>
  <c r="F79" i="8"/>
  <c r="E79" i="8"/>
  <c r="C79" i="8"/>
  <c r="E78" i="8"/>
  <c r="E75" i="8"/>
  <c r="E83" i="8" s="1"/>
  <c r="G71" i="8"/>
  <c r="G70" i="8"/>
  <c r="G69" i="8"/>
  <c r="G68" i="8"/>
  <c r="F67" i="8"/>
  <c r="F66" i="8" s="1"/>
  <c r="F80" i="8" s="1"/>
  <c r="D67" i="8"/>
  <c r="D66" i="8" s="1"/>
  <c r="C67" i="8"/>
  <c r="C66" i="8" s="1"/>
  <c r="C80" i="8" s="1"/>
  <c r="E66" i="8"/>
  <c r="E80" i="8" s="1"/>
  <c r="G65" i="8"/>
  <c r="D64" i="8"/>
  <c r="G64" i="8" s="1"/>
  <c r="G63" i="8"/>
  <c r="G62" i="8"/>
  <c r="G61" i="8"/>
  <c r="F60" i="8"/>
  <c r="F57" i="8" s="1"/>
  <c r="F56" i="8" s="1"/>
  <c r="D60" i="8"/>
  <c r="C60" i="8"/>
  <c r="C57" i="8" s="1"/>
  <c r="C56" i="8" s="1"/>
  <c r="C76" i="8" s="1"/>
  <c r="G59" i="8"/>
  <c r="G58" i="8"/>
  <c r="E57" i="8"/>
  <c r="E56" i="8" s="1"/>
  <c r="E76" i="8" s="1"/>
  <c r="E55" i="8"/>
  <c r="G52" i="8"/>
  <c r="G51" i="8"/>
  <c r="D50" i="8"/>
  <c r="D79" i="8" s="1"/>
  <c r="G49" i="8"/>
  <c r="G48" i="8"/>
  <c r="F47" i="8"/>
  <c r="F45" i="8" s="1"/>
  <c r="D47" i="8"/>
  <c r="C47" i="8"/>
  <c r="C45" i="8" s="1"/>
  <c r="D46" i="8"/>
  <c r="G46" i="8" s="1"/>
  <c r="D38" i="8"/>
  <c r="G38" i="8" s="1"/>
  <c r="D37" i="8"/>
  <c r="G37" i="8" s="1"/>
  <c r="D34" i="8"/>
  <c r="G34" i="8" s="1"/>
  <c r="E33" i="8"/>
  <c r="G32" i="8"/>
  <c r="G31" i="8"/>
  <c r="G30" i="8"/>
  <c r="G29" i="8"/>
  <c r="G28" i="8"/>
  <c r="F27" i="8"/>
  <c r="F75" i="8" s="1"/>
  <c r="D27" i="8"/>
  <c r="D75" i="8" s="1"/>
  <c r="C27" i="8"/>
  <c r="C55" i="8" s="1"/>
  <c r="G26" i="8"/>
  <c r="G24" i="8"/>
  <c r="G23" i="8"/>
  <c r="G22" i="8"/>
  <c r="G21" i="8"/>
  <c r="D20" i="8"/>
  <c r="G20" i="8" s="1"/>
  <c r="G19" i="8"/>
  <c r="D18" i="8"/>
  <c r="G18" i="8" s="1"/>
  <c r="G17" i="8"/>
  <c r="G16" i="8"/>
  <c r="F15" i="8"/>
  <c r="E15" i="8"/>
  <c r="E74" i="8" s="1"/>
  <c r="C15" i="8"/>
  <c r="G14" i="8"/>
  <c r="G13" i="8"/>
  <c r="G12" i="8"/>
  <c r="G11" i="8"/>
  <c r="F10" i="8"/>
  <c r="F8" i="8" s="1"/>
  <c r="C10" i="8"/>
  <c r="C8" i="8" s="1"/>
  <c r="G9" i="8"/>
  <c r="D8" i="8"/>
  <c r="G7" i="8"/>
  <c r="F6" i="8"/>
  <c r="D6" i="8"/>
  <c r="C6" i="8"/>
  <c r="G5" i="8"/>
  <c r="G4" i="8"/>
  <c r="K67" i="12"/>
  <c r="K66" i="12" s="1"/>
  <c r="K80" i="12" s="1"/>
  <c r="J67" i="12"/>
  <c r="J66" i="12" s="1"/>
  <c r="J80" i="12" s="1"/>
  <c r="K45" i="12"/>
  <c r="J47" i="12"/>
  <c r="J45" i="12" s="1"/>
  <c r="J75" i="12"/>
  <c r="K10" i="12"/>
  <c r="J10" i="12"/>
  <c r="H78" i="9"/>
  <c r="I33" i="9"/>
  <c r="E80" i="12"/>
  <c r="G79" i="12"/>
  <c r="F79" i="12"/>
  <c r="E79" i="12"/>
  <c r="D79" i="12"/>
  <c r="C79" i="12"/>
  <c r="E78" i="12"/>
  <c r="E75" i="12"/>
  <c r="E83" i="12" s="1"/>
  <c r="E74" i="12"/>
  <c r="H71" i="12"/>
  <c r="H70" i="12"/>
  <c r="H69" i="12"/>
  <c r="H68" i="12"/>
  <c r="G67" i="12"/>
  <c r="G66" i="12" s="1"/>
  <c r="F67" i="12"/>
  <c r="F66" i="12" s="1"/>
  <c r="D67" i="12"/>
  <c r="D66" i="12" s="1"/>
  <c r="C67" i="12"/>
  <c r="C66" i="12" s="1"/>
  <c r="C80" i="12" s="1"/>
  <c r="H65" i="12"/>
  <c r="D64" i="12"/>
  <c r="H64" i="12" s="1"/>
  <c r="H63" i="12"/>
  <c r="H62" i="12"/>
  <c r="H61" i="12"/>
  <c r="H60" i="12" s="1"/>
  <c r="G60" i="12"/>
  <c r="G57" i="12" s="1"/>
  <c r="G56" i="12" s="1"/>
  <c r="F60" i="12"/>
  <c r="F57" i="12" s="1"/>
  <c r="F56" i="12" s="1"/>
  <c r="F76" i="12" s="1"/>
  <c r="D60" i="12"/>
  <c r="C60" i="12"/>
  <c r="C57" i="12" s="1"/>
  <c r="C56" i="12" s="1"/>
  <c r="C76" i="12" s="1"/>
  <c r="H59" i="12"/>
  <c r="H58" i="12"/>
  <c r="E57" i="12"/>
  <c r="E56" i="12"/>
  <c r="E76" i="12" s="1"/>
  <c r="E84" i="12" s="1"/>
  <c r="E55" i="12"/>
  <c r="E54" i="12"/>
  <c r="H52" i="12"/>
  <c r="H51" i="12"/>
  <c r="H50" i="12"/>
  <c r="H49" i="12"/>
  <c r="H48" i="12"/>
  <c r="G47" i="12"/>
  <c r="G45" i="12" s="1"/>
  <c r="F47" i="12"/>
  <c r="D47" i="12"/>
  <c r="D45" i="12" s="1"/>
  <c r="C47" i="12"/>
  <c r="C45" i="12" s="1"/>
  <c r="H46" i="12"/>
  <c r="F45" i="12"/>
  <c r="F78" i="12" s="1"/>
  <c r="D38" i="12"/>
  <c r="H38" i="12" s="1"/>
  <c r="D37" i="12"/>
  <c r="H37" i="12" s="1"/>
  <c r="D34" i="12"/>
  <c r="H34" i="12" s="1"/>
  <c r="E33" i="12"/>
  <c r="E77" i="12" s="1"/>
  <c r="H32" i="12"/>
  <c r="H31" i="12"/>
  <c r="H30" i="12"/>
  <c r="H29" i="12"/>
  <c r="H28" i="12"/>
  <c r="G27" i="12"/>
  <c r="G55" i="12" s="1"/>
  <c r="F27" i="12"/>
  <c r="F75" i="12" s="1"/>
  <c r="D27" i="12"/>
  <c r="D75" i="12" s="1"/>
  <c r="D83" i="12" s="1"/>
  <c r="C27" i="12"/>
  <c r="C55" i="12" s="1"/>
  <c r="H26" i="12"/>
  <c r="H24" i="12"/>
  <c r="H23" i="12"/>
  <c r="H22" i="12"/>
  <c r="H21" i="12"/>
  <c r="D20" i="12"/>
  <c r="H20" i="12" s="1"/>
  <c r="H19" i="12"/>
  <c r="H18" i="12"/>
  <c r="H17" i="12"/>
  <c r="H16" i="12"/>
  <c r="G15" i="12"/>
  <c r="F15" i="12"/>
  <c r="C15" i="12"/>
  <c r="H14" i="12"/>
  <c r="H13" i="12"/>
  <c r="H12" i="12"/>
  <c r="H11" i="12"/>
  <c r="G10" i="12"/>
  <c r="F10" i="12"/>
  <c r="D10" i="12"/>
  <c r="C10" i="12"/>
  <c r="H9" i="12"/>
  <c r="G8" i="12"/>
  <c r="G3" i="12" s="1"/>
  <c r="F8" i="12"/>
  <c r="D8" i="12"/>
  <c r="C8" i="12"/>
  <c r="H7" i="12"/>
  <c r="G6" i="12"/>
  <c r="F6" i="12"/>
  <c r="D6" i="12"/>
  <c r="C6" i="12"/>
  <c r="H5" i="12"/>
  <c r="H4" i="12"/>
  <c r="E3" i="12"/>
  <c r="J79" i="11"/>
  <c r="I79" i="11"/>
  <c r="J67" i="11"/>
  <c r="I67" i="11"/>
  <c r="I66" i="11" s="1"/>
  <c r="I80" i="11" s="1"/>
  <c r="J66" i="11"/>
  <c r="J80" i="11" s="1"/>
  <c r="J60" i="11"/>
  <c r="I60" i="11"/>
  <c r="I57" i="11" s="1"/>
  <c r="I56" i="11" s="1"/>
  <c r="J57" i="11"/>
  <c r="J56" i="11" s="1"/>
  <c r="J47" i="11"/>
  <c r="J45" i="11" s="1"/>
  <c r="I47" i="11"/>
  <c r="I45" i="11" s="1"/>
  <c r="J27" i="11"/>
  <c r="J75" i="11" s="1"/>
  <c r="I27" i="11"/>
  <c r="I75" i="11" s="1"/>
  <c r="J15" i="11"/>
  <c r="I15" i="11"/>
  <c r="J10" i="11"/>
  <c r="I10" i="11"/>
  <c r="I8" i="11" s="1"/>
  <c r="J8" i="11"/>
  <c r="J6" i="11"/>
  <c r="I6" i="11"/>
  <c r="F79" i="11"/>
  <c r="D79" i="11"/>
  <c r="C79" i="11"/>
  <c r="G71" i="11"/>
  <c r="G70" i="11"/>
  <c r="G69" i="11"/>
  <c r="G68" i="11"/>
  <c r="F67" i="11"/>
  <c r="F66" i="11" s="1"/>
  <c r="E67" i="11"/>
  <c r="E66" i="11" s="1"/>
  <c r="E80" i="11" s="1"/>
  <c r="D67" i="11"/>
  <c r="D66" i="11" s="1"/>
  <c r="D80" i="11" s="1"/>
  <c r="C67" i="11"/>
  <c r="C66" i="11" s="1"/>
  <c r="G65" i="11"/>
  <c r="E64" i="11"/>
  <c r="E57" i="11" s="1"/>
  <c r="E56" i="11" s="1"/>
  <c r="D64" i="11"/>
  <c r="G63" i="11"/>
  <c r="G62" i="11"/>
  <c r="G61" i="11"/>
  <c r="G60" i="11" s="1"/>
  <c r="F60" i="11"/>
  <c r="F57" i="11" s="1"/>
  <c r="F56" i="11" s="1"/>
  <c r="F76" i="11" s="1"/>
  <c r="D60" i="11"/>
  <c r="C60" i="11"/>
  <c r="C57" i="11" s="1"/>
  <c r="C56" i="11" s="1"/>
  <c r="C76" i="11" s="1"/>
  <c r="G59" i="11"/>
  <c r="G58" i="11"/>
  <c r="G52" i="11"/>
  <c r="E51" i="11"/>
  <c r="G51" i="11" s="1"/>
  <c r="E50" i="11"/>
  <c r="G50" i="11" s="1"/>
  <c r="G49" i="11"/>
  <c r="G48" i="11"/>
  <c r="F47" i="11"/>
  <c r="D47" i="11"/>
  <c r="D45" i="11" s="1"/>
  <c r="C47" i="11"/>
  <c r="C45" i="11" s="1"/>
  <c r="G46" i="11"/>
  <c r="F45" i="11"/>
  <c r="F78" i="11" s="1"/>
  <c r="G44" i="11"/>
  <c r="E38" i="11"/>
  <c r="G38" i="11" s="1"/>
  <c r="D37" i="11"/>
  <c r="G37" i="11" s="1"/>
  <c r="D34" i="11"/>
  <c r="G34" i="11" s="1"/>
  <c r="G32" i="11"/>
  <c r="G31" i="11"/>
  <c r="G30" i="11"/>
  <c r="G29" i="11"/>
  <c r="G28" i="11"/>
  <c r="F27" i="11"/>
  <c r="F75" i="11" s="1"/>
  <c r="E27" i="11"/>
  <c r="D27" i="11"/>
  <c r="D75" i="11" s="1"/>
  <c r="D83" i="11" s="1"/>
  <c r="C27" i="11"/>
  <c r="G26" i="11"/>
  <c r="G24" i="11"/>
  <c r="G23" i="11"/>
  <c r="G22" i="11"/>
  <c r="G21" i="11"/>
  <c r="G20" i="11"/>
  <c r="G19" i="11"/>
  <c r="G18" i="11"/>
  <c r="C17" i="11"/>
  <c r="G17" i="11" s="1"/>
  <c r="G16" i="11"/>
  <c r="F15" i="11"/>
  <c r="E15" i="11"/>
  <c r="D15" i="11"/>
  <c r="G14" i="11"/>
  <c r="G13" i="11"/>
  <c r="G12" i="11"/>
  <c r="G11" i="11"/>
  <c r="F10" i="11"/>
  <c r="F8" i="11" s="1"/>
  <c r="C10" i="11"/>
  <c r="C8" i="11" s="1"/>
  <c r="G9" i="11"/>
  <c r="D8" i="11"/>
  <c r="E7" i="11"/>
  <c r="C7" i="11"/>
  <c r="D7" i="14" s="1"/>
  <c r="E7" i="14" s="1"/>
  <c r="F6" i="11"/>
  <c r="E6" i="11"/>
  <c r="E74" i="11" s="1"/>
  <c r="D6" i="11"/>
  <c r="C6" i="11"/>
  <c r="G5" i="11"/>
  <c r="G4" i="11"/>
  <c r="G6" i="11"/>
  <c r="I79" i="10"/>
  <c r="I67" i="10"/>
  <c r="I66" i="10" s="1"/>
  <c r="I60" i="10"/>
  <c r="I57" i="10" s="1"/>
  <c r="I56" i="10" s="1"/>
  <c r="I76" i="10" s="1"/>
  <c r="I47" i="10"/>
  <c r="I27" i="10"/>
  <c r="I55" i="10" s="1"/>
  <c r="I15" i="10"/>
  <c r="I10" i="10"/>
  <c r="I8" i="10" s="1"/>
  <c r="I6" i="10"/>
  <c r="F79" i="10"/>
  <c r="E79" i="10"/>
  <c r="C79" i="10"/>
  <c r="E75" i="10"/>
  <c r="E83" i="10" s="1"/>
  <c r="E74" i="10"/>
  <c r="G71" i="10"/>
  <c r="G70" i="10"/>
  <c r="G69" i="10"/>
  <c r="G68" i="10"/>
  <c r="F67" i="10"/>
  <c r="F66" i="10" s="1"/>
  <c r="F80" i="10" s="1"/>
  <c r="D67" i="10"/>
  <c r="D66" i="10" s="1"/>
  <c r="D80" i="10" s="1"/>
  <c r="C67" i="10"/>
  <c r="C66" i="10" s="1"/>
  <c r="C80" i="10" s="1"/>
  <c r="E66" i="10"/>
  <c r="E80" i="10" s="1"/>
  <c r="G65" i="10"/>
  <c r="E64" i="10"/>
  <c r="D64" i="10"/>
  <c r="G63" i="10"/>
  <c r="G62" i="10"/>
  <c r="G61" i="10"/>
  <c r="F60" i="10"/>
  <c r="F57" i="10" s="1"/>
  <c r="F56" i="10" s="1"/>
  <c r="D60" i="10"/>
  <c r="C60" i="10"/>
  <c r="C57" i="10" s="1"/>
  <c r="C56" i="10" s="1"/>
  <c r="G59" i="10"/>
  <c r="G58" i="10"/>
  <c r="E57" i="10"/>
  <c r="E56" i="10" s="1"/>
  <c r="E55" i="10"/>
  <c r="G52" i="10"/>
  <c r="G51" i="10"/>
  <c r="D50" i="10"/>
  <c r="D79" i="10" s="1"/>
  <c r="G49" i="10"/>
  <c r="G48" i="10"/>
  <c r="F47" i="10"/>
  <c r="F45" i="10" s="1"/>
  <c r="D47" i="10"/>
  <c r="D45" i="10" s="1"/>
  <c r="C47" i="10"/>
  <c r="C45" i="10" s="1"/>
  <c r="G46" i="10"/>
  <c r="G44" i="10"/>
  <c r="E38" i="10"/>
  <c r="D38" i="10"/>
  <c r="E37" i="10"/>
  <c r="D37" i="10"/>
  <c r="E34" i="10"/>
  <c r="E78" i="10" s="1"/>
  <c r="E82" i="10" s="1"/>
  <c r="D34" i="10"/>
  <c r="G32" i="10"/>
  <c r="G31" i="10"/>
  <c r="G30" i="10"/>
  <c r="G29" i="10"/>
  <c r="G28" i="10"/>
  <c r="F27" i="10"/>
  <c r="F55" i="10" s="1"/>
  <c r="D27" i="10"/>
  <c r="D75" i="10" s="1"/>
  <c r="C27" i="10"/>
  <c r="C75" i="10" s="1"/>
  <c r="G26" i="10"/>
  <c r="G24" i="10"/>
  <c r="G23" i="10"/>
  <c r="G22" i="10"/>
  <c r="G21" i="10"/>
  <c r="G20" i="10"/>
  <c r="G19" i="10"/>
  <c r="G18" i="10"/>
  <c r="C17" i="10"/>
  <c r="G16" i="10"/>
  <c r="F15" i="10"/>
  <c r="D15" i="10"/>
  <c r="G14" i="10"/>
  <c r="G13" i="10"/>
  <c r="G12" i="10"/>
  <c r="G11" i="10"/>
  <c r="F10" i="10"/>
  <c r="F8" i="10" s="1"/>
  <c r="C10" i="10"/>
  <c r="C8" i="10" s="1"/>
  <c r="G9" i="10"/>
  <c r="D8" i="10"/>
  <c r="G7" i="10"/>
  <c r="F6" i="10"/>
  <c r="D6" i="10"/>
  <c r="D3" i="10" s="1"/>
  <c r="C6" i="10"/>
  <c r="G5" i="10"/>
  <c r="G4" i="10"/>
  <c r="E3" i="10"/>
  <c r="H57" i="13"/>
  <c r="H56" i="13" s="1"/>
  <c r="H76" i="13" s="1"/>
  <c r="I57" i="13"/>
  <c r="I56" i="13" s="1"/>
  <c r="I76" i="13" s="1"/>
  <c r="I47" i="13"/>
  <c r="I45" i="13" s="1"/>
  <c r="I78" i="13" s="1"/>
  <c r="H47" i="13"/>
  <c r="H45" i="13" s="1"/>
  <c r="I27" i="13"/>
  <c r="I75" i="13" s="1"/>
  <c r="H27" i="13"/>
  <c r="I15" i="13"/>
  <c r="H15" i="13"/>
  <c r="I10" i="13"/>
  <c r="H10" i="13"/>
  <c r="H8" i="13" s="1"/>
  <c r="I8" i="13"/>
  <c r="I6" i="13"/>
  <c r="I74" i="13" s="1"/>
  <c r="H6" i="13"/>
  <c r="F25" i="13"/>
  <c r="E79" i="13"/>
  <c r="D79" i="13"/>
  <c r="F71" i="13"/>
  <c r="F70" i="13"/>
  <c r="F69" i="13"/>
  <c r="F68" i="13"/>
  <c r="F67" i="13" s="1"/>
  <c r="E67" i="13"/>
  <c r="E66" i="13" s="1"/>
  <c r="E80" i="13" s="1"/>
  <c r="D67" i="13"/>
  <c r="D66" i="13" s="1"/>
  <c r="C67" i="13"/>
  <c r="C66" i="13" s="1"/>
  <c r="C80" i="13" s="1"/>
  <c r="F65" i="13"/>
  <c r="F64" i="13"/>
  <c r="F63" i="13"/>
  <c r="F62" i="13"/>
  <c r="F61" i="13"/>
  <c r="E60" i="13"/>
  <c r="E57" i="13" s="1"/>
  <c r="E56" i="13" s="1"/>
  <c r="C60" i="13"/>
  <c r="F59" i="13"/>
  <c r="F58" i="13"/>
  <c r="D57" i="13"/>
  <c r="D56" i="13" s="1"/>
  <c r="D76" i="13" s="1"/>
  <c r="C57" i="13"/>
  <c r="C56" i="13" s="1"/>
  <c r="C76" i="13" s="1"/>
  <c r="F52" i="13"/>
  <c r="F51" i="13"/>
  <c r="F50" i="13"/>
  <c r="F49" i="13"/>
  <c r="F48" i="13"/>
  <c r="E47" i="13"/>
  <c r="D47" i="13"/>
  <c r="D45" i="13" s="1"/>
  <c r="C47" i="13"/>
  <c r="C45" i="13" s="1"/>
  <c r="F46" i="13"/>
  <c r="E45" i="13"/>
  <c r="E33" i="13" s="1"/>
  <c r="F44" i="13"/>
  <c r="D38" i="13"/>
  <c r="F38" i="13" s="1"/>
  <c r="F37" i="13"/>
  <c r="F34" i="13"/>
  <c r="F32" i="13"/>
  <c r="D31" i="13"/>
  <c r="F31" i="13" s="1"/>
  <c r="F30" i="13"/>
  <c r="F29" i="13"/>
  <c r="F28" i="13"/>
  <c r="E27" i="13"/>
  <c r="E75" i="13" s="1"/>
  <c r="E83" i="13" s="1"/>
  <c r="D27" i="13"/>
  <c r="C27" i="13"/>
  <c r="C75" i="13" s="1"/>
  <c r="C83" i="13" s="1"/>
  <c r="F26" i="13"/>
  <c r="F24" i="13"/>
  <c r="F23" i="13"/>
  <c r="F22" i="13"/>
  <c r="F21" i="13"/>
  <c r="F20" i="13"/>
  <c r="F19" i="13"/>
  <c r="F18" i="13"/>
  <c r="D17" i="13"/>
  <c r="F17" i="13" s="1"/>
  <c r="F16" i="13"/>
  <c r="E15" i="13"/>
  <c r="C15" i="13"/>
  <c r="F14" i="13"/>
  <c r="F13" i="13"/>
  <c r="F12" i="13"/>
  <c r="F11" i="13"/>
  <c r="E10" i="13"/>
  <c r="E8" i="13" s="1"/>
  <c r="C10" i="13"/>
  <c r="C8" i="13" s="1"/>
  <c r="F9" i="13"/>
  <c r="D8" i="13"/>
  <c r="D7" i="13"/>
  <c r="E6" i="13"/>
  <c r="D6" i="13"/>
  <c r="C6" i="13"/>
  <c r="F5" i="13"/>
  <c r="F4" i="13"/>
  <c r="E55" i="11"/>
  <c r="H67" i="12"/>
  <c r="H66" i="12" s="1"/>
  <c r="H80" i="12" s="1"/>
  <c r="H47" i="12"/>
  <c r="H45" i="12" s="1"/>
  <c r="F74" i="12"/>
  <c r="F82" i="12" s="1"/>
  <c r="D55" i="12"/>
  <c r="E72" i="12"/>
  <c r="G74" i="12"/>
  <c r="C75" i="12"/>
  <c r="C83" i="12" s="1"/>
  <c r="J55" i="11"/>
  <c r="F33" i="11"/>
  <c r="C75" i="11"/>
  <c r="C83" i="11" s="1"/>
  <c r="G50" i="10"/>
  <c r="C55" i="10"/>
  <c r="D65" i="14"/>
  <c r="E65" i="14" s="1"/>
  <c r="D49" i="14"/>
  <c r="D48" i="14"/>
  <c r="E48" i="14" s="1"/>
  <c r="D40" i="14"/>
  <c r="E40" i="14" s="1"/>
  <c r="D42" i="14"/>
  <c r="E42" i="14" s="1"/>
  <c r="D39" i="14"/>
  <c r="E39" i="14" s="1"/>
  <c r="E64" i="14"/>
  <c r="E36" i="14"/>
  <c r="E35" i="14"/>
  <c r="E51" i="14"/>
  <c r="D43" i="14"/>
  <c r="E43" i="14" s="1"/>
  <c r="D41" i="14"/>
  <c r="E41" i="14" s="1"/>
  <c r="H42" i="14"/>
  <c r="L42" i="14" s="1"/>
  <c r="H39" i="14"/>
  <c r="L39" i="14" s="1"/>
  <c r="H41" i="14"/>
  <c r="L41" i="14" s="1"/>
  <c r="H43" i="14"/>
  <c r="L43" i="14" s="1"/>
  <c r="H40" i="14"/>
  <c r="L40" i="14" s="1"/>
  <c r="H71" i="14"/>
  <c r="H69" i="14"/>
  <c r="H50" i="14"/>
  <c r="I51" i="13"/>
  <c r="I54" i="13" s="1"/>
  <c r="H55" i="13"/>
  <c r="J33" i="13"/>
  <c r="J79" i="13"/>
  <c r="J55" i="13"/>
  <c r="K33" i="13"/>
  <c r="K79" i="13"/>
  <c r="K55" i="13"/>
  <c r="J59" i="9"/>
  <c r="L6" i="12"/>
  <c r="L3" i="12" s="1"/>
  <c r="M6" i="12"/>
  <c r="M3" i="12" s="1"/>
  <c r="L33" i="12"/>
  <c r="L78" i="12"/>
  <c r="H78" i="13" l="1"/>
  <c r="H51" i="13"/>
  <c r="H80" i="9"/>
  <c r="H77" i="9"/>
  <c r="J78" i="11"/>
  <c r="J33" i="11"/>
  <c r="O67" i="12"/>
  <c r="O66" i="12" s="1"/>
  <c r="O80" i="12" s="1"/>
  <c r="O70" i="12"/>
  <c r="G67" i="8"/>
  <c r="F6" i="9"/>
  <c r="F67" i="9"/>
  <c r="F66" i="9" s="1"/>
  <c r="F80" i="9" s="1"/>
  <c r="P45" i="11"/>
  <c r="N45" i="11"/>
  <c r="O50" i="12"/>
  <c r="Q50" i="12" s="1"/>
  <c r="P37" i="11"/>
  <c r="N37" i="11"/>
  <c r="K33" i="11"/>
  <c r="F66" i="13"/>
  <c r="F80" i="13" s="1"/>
  <c r="I82" i="13"/>
  <c r="N47" i="10"/>
  <c r="N45" i="10" s="1"/>
  <c r="P64" i="8"/>
  <c r="N64" i="8"/>
  <c r="K57" i="15"/>
  <c r="K56" i="15" s="1"/>
  <c r="N37" i="8"/>
  <c r="P37" i="8" s="1"/>
  <c r="H57" i="16"/>
  <c r="H56" i="16" s="1"/>
  <c r="F79" i="13"/>
  <c r="G67" i="11"/>
  <c r="G66" i="11" s="1"/>
  <c r="G80" i="11" s="1"/>
  <c r="J54" i="11"/>
  <c r="H10" i="12"/>
  <c r="E82" i="12"/>
  <c r="H74" i="9"/>
  <c r="O64" i="9"/>
  <c r="M64" i="9"/>
  <c r="O64" i="12"/>
  <c r="Q64" i="12" s="1"/>
  <c r="G83" i="15"/>
  <c r="P64" i="11"/>
  <c r="N64" i="11"/>
  <c r="D75" i="13"/>
  <c r="D33" i="13"/>
  <c r="D77" i="13" s="1"/>
  <c r="C83" i="10"/>
  <c r="I77" i="9"/>
  <c r="E82" i="8"/>
  <c r="D75" i="9"/>
  <c r="I74" i="9"/>
  <c r="H55" i="10"/>
  <c r="I74" i="12"/>
  <c r="H72" i="15"/>
  <c r="E82" i="15"/>
  <c r="N50" i="11"/>
  <c r="N79" i="11" s="1"/>
  <c r="P79" i="11" s="1"/>
  <c r="M38" i="15"/>
  <c r="O38" i="15" s="1"/>
  <c r="E81" i="15"/>
  <c r="C73" i="15"/>
  <c r="L72" i="15"/>
  <c r="L84" i="15"/>
  <c r="M27" i="9"/>
  <c r="I55" i="11"/>
  <c r="D55" i="10"/>
  <c r="I73" i="15"/>
  <c r="M15" i="15"/>
  <c r="O15" i="15" s="1"/>
  <c r="M15" i="13"/>
  <c r="O15" i="13" s="1"/>
  <c r="M55" i="13"/>
  <c r="K83" i="13"/>
  <c r="K3" i="13"/>
  <c r="K73" i="13" s="1"/>
  <c r="I75" i="10"/>
  <c r="I83" i="10" s="1"/>
  <c r="E3" i="11"/>
  <c r="F55" i="12"/>
  <c r="D15" i="12"/>
  <c r="D3" i="12" s="1"/>
  <c r="C3" i="12"/>
  <c r="F54" i="12"/>
  <c r="I55" i="12"/>
  <c r="I57" i="8"/>
  <c r="I56" i="8" s="1"/>
  <c r="I76" i="8" s="1"/>
  <c r="H74" i="8"/>
  <c r="D79" i="14"/>
  <c r="C84" i="8"/>
  <c r="E78" i="9"/>
  <c r="C33" i="9"/>
  <c r="C77" i="9" s="1"/>
  <c r="D3" i="11"/>
  <c r="J83" i="13"/>
  <c r="J54" i="13"/>
  <c r="E78" i="13"/>
  <c r="D74" i="10"/>
  <c r="E75" i="11"/>
  <c r="F55" i="11"/>
  <c r="G75" i="12"/>
  <c r="G83" i="12" s="1"/>
  <c r="C74" i="12"/>
  <c r="H8" i="12"/>
  <c r="E53" i="12"/>
  <c r="G6" i="10"/>
  <c r="G60" i="10"/>
  <c r="F74" i="11"/>
  <c r="F82" i="11" s="1"/>
  <c r="J83" i="11"/>
  <c r="E73" i="12"/>
  <c r="F83" i="12"/>
  <c r="H27" i="12"/>
  <c r="H55" i="12" s="1"/>
  <c r="D55" i="8"/>
  <c r="D15" i="9"/>
  <c r="D74" i="9" s="1"/>
  <c r="K79" i="12"/>
  <c r="F76" i="15"/>
  <c r="G3" i="9"/>
  <c r="M6" i="9"/>
  <c r="O6" i="9" s="1"/>
  <c r="L83" i="11"/>
  <c r="J3" i="10"/>
  <c r="J73" i="10" s="1"/>
  <c r="J81" i="10" s="1"/>
  <c r="L74" i="10"/>
  <c r="L82" i="10" s="1"/>
  <c r="L72" i="10"/>
  <c r="L84" i="10" s="1"/>
  <c r="E72" i="9"/>
  <c r="E76" i="9"/>
  <c r="E84" i="9" s="1"/>
  <c r="G33" i="9"/>
  <c r="G78" i="9"/>
  <c r="G74" i="9"/>
  <c r="I54" i="9"/>
  <c r="F10" i="9"/>
  <c r="F8" i="9" s="1"/>
  <c r="F60" i="9"/>
  <c r="F57" i="9" s="1"/>
  <c r="H54" i="9"/>
  <c r="G27" i="14"/>
  <c r="C75" i="8"/>
  <c r="C83" i="8" s="1"/>
  <c r="E54" i="8"/>
  <c r="F83" i="8"/>
  <c r="E77" i="8"/>
  <c r="E72" i="8"/>
  <c r="G33" i="12"/>
  <c r="G78" i="12"/>
  <c r="G82" i="12" s="1"/>
  <c r="C78" i="12"/>
  <c r="C54" i="12"/>
  <c r="F80" i="12"/>
  <c r="F84" i="12" s="1"/>
  <c r="F72" i="12"/>
  <c r="E81" i="12"/>
  <c r="I82" i="12"/>
  <c r="H6" i="12"/>
  <c r="F3" i="12"/>
  <c r="F33" i="12"/>
  <c r="F77" i="12" s="1"/>
  <c r="I54" i="12"/>
  <c r="F80" i="11"/>
  <c r="F72" i="11"/>
  <c r="F77" i="11"/>
  <c r="D74" i="11"/>
  <c r="D17" i="14"/>
  <c r="E17" i="14" s="1"/>
  <c r="E15" i="14" s="1"/>
  <c r="G10" i="11"/>
  <c r="G8" i="11" s="1"/>
  <c r="C15" i="11"/>
  <c r="C74" i="11" s="1"/>
  <c r="G47" i="11"/>
  <c r="G45" i="11" s="1"/>
  <c r="K74" i="11"/>
  <c r="K83" i="11"/>
  <c r="C76" i="10"/>
  <c r="C72" i="10"/>
  <c r="F76" i="10"/>
  <c r="F72" i="10"/>
  <c r="G34" i="10"/>
  <c r="G47" i="10"/>
  <c r="G45" i="10" s="1"/>
  <c r="G64" i="10"/>
  <c r="J82" i="10"/>
  <c r="H3" i="10"/>
  <c r="H53" i="10" s="1"/>
  <c r="F6" i="13"/>
  <c r="F10" i="13"/>
  <c r="E54" i="13"/>
  <c r="C84" i="13"/>
  <c r="E77" i="13"/>
  <c r="L69" i="14"/>
  <c r="N29" i="14"/>
  <c r="N62" i="14"/>
  <c r="C72" i="15"/>
  <c r="E83" i="15"/>
  <c r="I83" i="15"/>
  <c r="J74" i="14"/>
  <c r="L68" i="14"/>
  <c r="N68" i="14" s="1"/>
  <c r="C81" i="15"/>
  <c r="C84" i="15"/>
  <c r="N43" i="14"/>
  <c r="K82" i="10"/>
  <c r="H82" i="9"/>
  <c r="N36" i="14"/>
  <c r="F3" i="10"/>
  <c r="F73" i="10" s="1"/>
  <c r="H74" i="10"/>
  <c r="N3" i="11"/>
  <c r="P3" i="11" s="1"/>
  <c r="L74" i="11"/>
  <c r="L82" i="11" s="1"/>
  <c r="N23" i="14"/>
  <c r="N19" i="14"/>
  <c r="N17" i="14"/>
  <c r="G53" i="12"/>
  <c r="N22" i="14"/>
  <c r="N18" i="14"/>
  <c r="J80" i="14"/>
  <c r="M33" i="9"/>
  <c r="O33" i="9" s="1"/>
  <c r="K72" i="15"/>
  <c r="D57" i="10"/>
  <c r="D56" i="10" s="1"/>
  <c r="C33" i="10"/>
  <c r="C77" i="10" s="1"/>
  <c r="C78" i="10"/>
  <c r="E76" i="10"/>
  <c r="E84" i="10" s="1"/>
  <c r="E72" i="10"/>
  <c r="H38" i="14"/>
  <c r="C84" i="10"/>
  <c r="F84" i="10"/>
  <c r="E75" i="9"/>
  <c r="E83" i="9" s="1"/>
  <c r="E55" i="9"/>
  <c r="D79" i="9"/>
  <c r="D83" i="9" s="1"/>
  <c r="F50" i="9"/>
  <c r="F79" i="9" s="1"/>
  <c r="J57" i="9"/>
  <c r="J56" i="9" s="1"/>
  <c r="J76" i="9" s="1"/>
  <c r="I59" i="14"/>
  <c r="C73" i="12"/>
  <c r="F75" i="10"/>
  <c r="F83" i="10" s="1"/>
  <c r="E54" i="10"/>
  <c r="G79" i="10"/>
  <c r="D55" i="11"/>
  <c r="E54" i="11"/>
  <c r="G7" i="11"/>
  <c r="C72" i="12"/>
  <c r="G54" i="12"/>
  <c r="D83" i="13"/>
  <c r="F60" i="13"/>
  <c r="H74" i="13"/>
  <c r="E73" i="10"/>
  <c r="E33" i="10"/>
  <c r="G37" i="10"/>
  <c r="G38" i="10"/>
  <c r="D83" i="10"/>
  <c r="G67" i="10"/>
  <c r="G66" i="10" s="1"/>
  <c r="J3" i="11"/>
  <c r="J53" i="11" s="1"/>
  <c r="I83" i="11"/>
  <c r="H57" i="12"/>
  <c r="H56" i="12" s="1"/>
  <c r="H76" i="12" s="1"/>
  <c r="H84" i="12" s="1"/>
  <c r="C75" i="9"/>
  <c r="C83" i="9" s="1"/>
  <c r="C76" i="9"/>
  <c r="C84" i="9" s="1"/>
  <c r="C72" i="9"/>
  <c r="G64" i="14"/>
  <c r="H64" i="14" s="1"/>
  <c r="D77" i="15"/>
  <c r="D81" i="15" s="1"/>
  <c r="D80" i="15"/>
  <c r="D84" i="15" s="1"/>
  <c r="D72" i="15"/>
  <c r="G64" i="11"/>
  <c r="G57" i="11" s="1"/>
  <c r="G56" i="11" s="1"/>
  <c r="G76" i="11" s="1"/>
  <c r="G84" i="11" s="1"/>
  <c r="H79" i="12"/>
  <c r="C84" i="12"/>
  <c r="G6" i="8"/>
  <c r="F74" i="8"/>
  <c r="G66" i="8"/>
  <c r="G80" i="8" s="1"/>
  <c r="F84" i="15"/>
  <c r="I48" i="15"/>
  <c r="F48" i="14" s="1"/>
  <c r="F47" i="14" s="1"/>
  <c r="G47" i="15"/>
  <c r="G45" i="15" s="1"/>
  <c r="I46" i="15"/>
  <c r="M57" i="15"/>
  <c r="M56" i="15" s="1"/>
  <c r="O60" i="15"/>
  <c r="J74" i="9"/>
  <c r="J82" i="9" s="1"/>
  <c r="N35" i="14"/>
  <c r="H34" i="14"/>
  <c r="O64" i="15"/>
  <c r="M64" i="14"/>
  <c r="M76" i="14" s="1"/>
  <c r="M60" i="13"/>
  <c r="O61" i="13"/>
  <c r="N79" i="8"/>
  <c r="P79" i="8" s="1"/>
  <c r="P50" i="8"/>
  <c r="M52" i="12"/>
  <c r="M33" i="12"/>
  <c r="L57" i="12"/>
  <c r="L56" i="12" s="1"/>
  <c r="L76" i="12" s="1"/>
  <c r="K33" i="10"/>
  <c r="P37" i="10"/>
  <c r="M60" i="16"/>
  <c r="H55" i="16"/>
  <c r="K50" i="16"/>
  <c r="H79" i="16"/>
  <c r="H83" i="16" s="1"/>
  <c r="H33" i="16"/>
  <c r="I4" i="14"/>
  <c r="J6" i="15"/>
  <c r="J54" i="15" s="1"/>
  <c r="O81" i="11"/>
  <c r="N81" i="9"/>
  <c r="P81" i="12"/>
  <c r="P84" i="12"/>
  <c r="O84" i="8"/>
  <c r="I3" i="12"/>
  <c r="I73" i="12" s="1"/>
  <c r="H54" i="8"/>
  <c r="H54" i="10"/>
  <c r="H78" i="10"/>
  <c r="G83" i="13"/>
  <c r="H74" i="11"/>
  <c r="H82" i="11" s="1"/>
  <c r="I83" i="12"/>
  <c r="G72" i="15"/>
  <c r="H77" i="15"/>
  <c r="C53" i="15"/>
  <c r="C82" i="15"/>
  <c r="E72" i="15"/>
  <c r="F75" i="14"/>
  <c r="F83" i="14" s="1"/>
  <c r="D83" i="15"/>
  <c r="M78" i="9"/>
  <c r="O78" i="9" s="1"/>
  <c r="N55" i="11"/>
  <c r="P55" i="11" s="1"/>
  <c r="P27" i="11"/>
  <c r="N57" i="11"/>
  <c r="O75" i="12"/>
  <c r="M79" i="15"/>
  <c r="O79" i="15" s="1"/>
  <c r="M34" i="15"/>
  <c r="O34" i="15" s="1"/>
  <c r="K84" i="15"/>
  <c r="K78" i="9"/>
  <c r="K82" i="9" s="1"/>
  <c r="K33" i="9"/>
  <c r="K77" i="9" s="1"/>
  <c r="L79" i="12"/>
  <c r="L83" i="12" s="1"/>
  <c r="K3" i="11"/>
  <c r="K73" i="11" s="1"/>
  <c r="K78" i="11"/>
  <c r="K82" i="11" s="1"/>
  <c r="L83" i="10"/>
  <c r="J83" i="10"/>
  <c r="K77" i="10"/>
  <c r="M6" i="13"/>
  <c r="J54" i="14"/>
  <c r="M4" i="15"/>
  <c r="M10" i="15"/>
  <c r="O10" i="15" s="1"/>
  <c r="O11" i="15"/>
  <c r="N57" i="15"/>
  <c r="M59" i="14"/>
  <c r="M69" i="15"/>
  <c r="O69" i="15" s="1"/>
  <c r="I37" i="14"/>
  <c r="I64" i="14"/>
  <c r="K64" i="16"/>
  <c r="M64" i="16" s="1"/>
  <c r="I50" i="14"/>
  <c r="N53" i="15"/>
  <c r="O84" i="11"/>
  <c r="N84" i="9"/>
  <c r="O81" i="8"/>
  <c r="N84" i="13"/>
  <c r="N80" i="15"/>
  <c r="C57" i="14"/>
  <c r="C56" i="14" s="1"/>
  <c r="C72" i="14" s="1"/>
  <c r="K82" i="13"/>
  <c r="H15" i="12"/>
  <c r="H3" i="12" s="1"/>
  <c r="G27" i="10"/>
  <c r="G55" i="10" s="1"/>
  <c r="G27" i="11"/>
  <c r="G55" i="11" s="1"/>
  <c r="D57" i="11"/>
  <c r="D56" i="11" s="1"/>
  <c r="F27" i="9"/>
  <c r="F75" i="9" s="1"/>
  <c r="F83" i="9" s="1"/>
  <c r="G15" i="11"/>
  <c r="D6" i="14"/>
  <c r="O15" i="12"/>
  <c r="E6" i="14"/>
  <c r="C3" i="14"/>
  <c r="C53" i="14" s="1"/>
  <c r="D47" i="14"/>
  <c r="D45" i="14" s="1"/>
  <c r="D78" i="14" s="1"/>
  <c r="C75" i="14"/>
  <c r="C83" i="14" s="1"/>
  <c r="F47" i="9"/>
  <c r="F45" i="9" s="1"/>
  <c r="G83" i="9"/>
  <c r="F47" i="13"/>
  <c r="F45" i="13" s="1"/>
  <c r="F78" i="13" s="1"/>
  <c r="K33" i="15"/>
  <c r="K77" i="15" s="1"/>
  <c r="L33" i="15"/>
  <c r="C77" i="14"/>
  <c r="E60" i="14"/>
  <c r="E57" i="14" s="1"/>
  <c r="E56" i="14" s="1"/>
  <c r="H72" i="16"/>
  <c r="H76" i="16"/>
  <c r="H84" i="16" s="1"/>
  <c r="H73" i="16"/>
  <c r="J72" i="16"/>
  <c r="J73" i="16"/>
  <c r="J81" i="16" s="1"/>
  <c r="J76" i="16"/>
  <c r="J84" i="16" s="1"/>
  <c r="N41" i="14"/>
  <c r="H63" i="14"/>
  <c r="L63" i="14" s="1"/>
  <c r="D27" i="14"/>
  <c r="D75" i="14" s="1"/>
  <c r="D83" i="14" s="1"/>
  <c r="E49" i="14"/>
  <c r="E79" i="14" s="1"/>
  <c r="D60" i="14"/>
  <c r="D57" i="14" s="1"/>
  <c r="D56" i="14" s="1"/>
  <c r="I76" i="16"/>
  <c r="I84" i="16" s="1"/>
  <c r="I72" i="16"/>
  <c r="I73" i="16"/>
  <c r="I81" i="16" s="1"/>
  <c r="I82" i="9"/>
  <c r="D78" i="9"/>
  <c r="D33" i="9"/>
  <c r="D77" i="9" s="1"/>
  <c r="J77" i="9"/>
  <c r="D15" i="13"/>
  <c r="D54" i="13" s="1"/>
  <c r="M72" i="12"/>
  <c r="M84" i="12" s="1"/>
  <c r="M73" i="12"/>
  <c r="N74" i="11"/>
  <c r="P74" i="11" s="1"/>
  <c r="N83" i="10"/>
  <c r="P83" i="10" s="1"/>
  <c r="K83" i="10"/>
  <c r="J72" i="15"/>
  <c r="J77" i="15"/>
  <c r="F33" i="15"/>
  <c r="F77" i="15" s="1"/>
  <c r="L75" i="15"/>
  <c r="L83" i="15" s="1"/>
  <c r="M27" i="15"/>
  <c r="M55" i="15" s="1"/>
  <c r="O55" i="15" s="1"/>
  <c r="F74" i="15"/>
  <c r="F3" i="15"/>
  <c r="H81" i="15"/>
  <c r="K3" i="15"/>
  <c r="K73" i="15" s="1"/>
  <c r="H83" i="15"/>
  <c r="K78" i="15"/>
  <c r="K82" i="15" s="1"/>
  <c r="L78" i="15"/>
  <c r="F78" i="15"/>
  <c r="D55" i="13"/>
  <c r="D57" i="8"/>
  <c r="D56" i="8" s="1"/>
  <c r="D76" i="8" s="1"/>
  <c r="D55" i="9"/>
  <c r="D57" i="9"/>
  <c r="D56" i="9" s="1"/>
  <c r="D76" i="9" s="1"/>
  <c r="D84" i="9" s="1"/>
  <c r="D15" i="8"/>
  <c r="D3" i="8" s="1"/>
  <c r="F15" i="9"/>
  <c r="D76" i="10"/>
  <c r="D84" i="10" s="1"/>
  <c r="D73" i="10"/>
  <c r="D72" i="10"/>
  <c r="H72" i="12"/>
  <c r="F7" i="13"/>
  <c r="H78" i="12"/>
  <c r="D57" i="12"/>
  <c r="D56" i="12" s="1"/>
  <c r="D76" i="12" s="1"/>
  <c r="G15" i="8"/>
  <c r="H82" i="15"/>
  <c r="L74" i="15"/>
  <c r="I74" i="15"/>
  <c r="J75" i="15"/>
  <c r="J83" i="15" s="1"/>
  <c r="K15" i="16"/>
  <c r="M15" i="16" s="1"/>
  <c r="C78" i="14"/>
  <c r="C84" i="14"/>
  <c r="M77" i="9"/>
  <c r="O77" i="9" s="1"/>
  <c r="C72" i="8"/>
  <c r="L77" i="12"/>
  <c r="J77" i="11"/>
  <c r="L77" i="11"/>
  <c r="L72" i="11"/>
  <c r="L84" i="11" s="1"/>
  <c r="K77" i="11"/>
  <c r="K72" i="11"/>
  <c r="K84" i="11" s="1"/>
  <c r="I80" i="10"/>
  <c r="I72" i="10"/>
  <c r="I84" i="10" s="1"/>
  <c r="K72" i="10"/>
  <c r="K84" i="10" s="1"/>
  <c r="G74" i="13"/>
  <c r="I55" i="13"/>
  <c r="C55" i="13"/>
  <c r="G3" i="13"/>
  <c r="G73" i="13" s="1"/>
  <c r="G55" i="13"/>
  <c r="C3" i="9"/>
  <c r="C54" i="9"/>
  <c r="C74" i="9"/>
  <c r="C82" i="9" s="1"/>
  <c r="E74" i="9"/>
  <c r="E82" i="9" s="1"/>
  <c r="E3" i="9"/>
  <c r="E54" i="9"/>
  <c r="D10" i="14"/>
  <c r="D8" i="14" s="1"/>
  <c r="C3" i="11"/>
  <c r="C73" i="11" s="1"/>
  <c r="F54" i="11"/>
  <c r="H3" i="11"/>
  <c r="H73" i="11" s="1"/>
  <c r="H81" i="11" s="1"/>
  <c r="I74" i="10"/>
  <c r="I3" i="10"/>
  <c r="I73" i="10" s="1"/>
  <c r="G10" i="10"/>
  <c r="G8" i="10" s="1"/>
  <c r="N3" i="10"/>
  <c r="P3" i="10" s="1"/>
  <c r="N58" i="14"/>
  <c r="F3" i="14"/>
  <c r="M47" i="13"/>
  <c r="M45" i="13" s="1"/>
  <c r="K54" i="13"/>
  <c r="F15" i="13"/>
  <c r="E55" i="13"/>
  <c r="F78" i="10"/>
  <c r="F33" i="10"/>
  <c r="F77" i="10" s="1"/>
  <c r="I45" i="10"/>
  <c r="H83" i="10"/>
  <c r="F83" i="11"/>
  <c r="H75" i="11"/>
  <c r="H83" i="11" s="1"/>
  <c r="D80" i="8"/>
  <c r="E84" i="8"/>
  <c r="N12" i="14"/>
  <c r="D67" i="14"/>
  <c r="D66" i="14" s="1"/>
  <c r="D80" i="14" s="1"/>
  <c r="E27" i="14"/>
  <c r="E75" i="14" s="1"/>
  <c r="C74" i="8"/>
  <c r="C3" i="8"/>
  <c r="C54" i="8"/>
  <c r="C78" i="8"/>
  <c r="C33" i="8"/>
  <c r="C77" i="8" s="1"/>
  <c r="F76" i="8"/>
  <c r="F72" i="8"/>
  <c r="F55" i="8"/>
  <c r="G50" i="8"/>
  <c r="G79" i="8" s="1"/>
  <c r="D45" i="8"/>
  <c r="D33" i="8" s="1"/>
  <c r="D77" i="8" s="1"/>
  <c r="E3" i="8"/>
  <c r="G27" i="8"/>
  <c r="G47" i="8"/>
  <c r="G45" i="8" s="1"/>
  <c r="G78" i="8" s="1"/>
  <c r="G60" i="8"/>
  <c r="G57" i="8" s="1"/>
  <c r="G56" i="8" s="1"/>
  <c r="D83" i="8"/>
  <c r="F84" i="8"/>
  <c r="G47" i="14"/>
  <c r="G45" i="14" s="1"/>
  <c r="G10" i="14"/>
  <c r="G8" i="14" s="1"/>
  <c r="H3" i="8"/>
  <c r="H53" i="8" s="1"/>
  <c r="H78" i="8"/>
  <c r="H83" i="8"/>
  <c r="N60" i="8"/>
  <c r="I33" i="13"/>
  <c r="H33" i="13"/>
  <c r="N79" i="13"/>
  <c r="N78" i="13"/>
  <c r="F8" i="13"/>
  <c r="E10" i="14"/>
  <c r="E8" i="14" s="1"/>
  <c r="I8" i="14"/>
  <c r="C74" i="13"/>
  <c r="N9" i="14"/>
  <c r="N14" i="14"/>
  <c r="C3" i="13"/>
  <c r="C73" i="13" s="1"/>
  <c r="F27" i="13"/>
  <c r="I3" i="13"/>
  <c r="I73" i="13" s="1"/>
  <c r="M3" i="13"/>
  <c r="N31" i="14"/>
  <c r="N74" i="10"/>
  <c r="P74" i="10" s="1"/>
  <c r="J3" i="14"/>
  <c r="L53" i="12"/>
  <c r="C73" i="8"/>
  <c r="F3" i="8"/>
  <c r="F73" i="8" s="1"/>
  <c r="N13" i="14"/>
  <c r="E67" i="14"/>
  <c r="E66" i="14" s="1"/>
  <c r="E80" i="14" s="1"/>
  <c r="I79" i="13"/>
  <c r="I83" i="13" s="1"/>
  <c r="H54" i="13"/>
  <c r="H79" i="13"/>
  <c r="C72" i="13"/>
  <c r="G72" i="11"/>
  <c r="C33" i="13"/>
  <c r="C78" i="13"/>
  <c r="C54" i="13"/>
  <c r="E76" i="13"/>
  <c r="E72" i="13"/>
  <c r="D80" i="13"/>
  <c r="D84" i="13" s="1"/>
  <c r="D72" i="13"/>
  <c r="H82" i="13"/>
  <c r="F54" i="10"/>
  <c r="F74" i="10"/>
  <c r="G80" i="10"/>
  <c r="C78" i="11"/>
  <c r="C33" i="11"/>
  <c r="C77" i="11" s="1"/>
  <c r="C54" i="11"/>
  <c r="G79" i="11"/>
  <c r="F84" i="11"/>
  <c r="D76" i="11"/>
  <c r="D84" i="11" s="1"/>
  <c r="E76" i="11"/>
  <c r="E72" i="11"/>
  <c r="E73" i="11"/>
  <c r="I72" i="11"/>
  <c r="I84" i="11" s="1"/>
  <c r="I76" i="11"/>
  <c r="D33" i="12"/>
  <c r="D77" i="12" s="1"/>
  <c r="D78" i="12"/>
  <c r="G76" i="12"/>
  <c r="G72" i="12"/>
  <c r="G73" i="12"/>
  <c r="E3" i="13"/>
  <c r="E74" i="13"/>
  <c r="E82" i="13" s="1"/>
  <c r="D78" i="13"/>
  <c r="D78" i="10"/>
  <c r="D54" i="10"/>
  <c r="D33" i="10"/>
  <c r="D54" i="11"/>
  <c r="D33" i="11"/>
  <c r="D78" i="11"/>
  <c r="C80" i="11"/>
  <c r="C84" i="11" s="1"/>
  <c r="C72" i="11"/>
  <c r="I3" i="11"/>
  <c r="I54" i="11"/>
  <c r="I74" i="11"/>
  <c r="I33" i="11"/>
  <c r="I77" i="11" s="1"/>
  <c r="I78" i="11"/>
  <c r="J76" i="11"/>
  <c r="J72" i="11"/>
  <c r="J84" i="11" s="1"/>
  <c r="D80" i="12"/>
  <c r="G80" i="12"/>
  <c r="G77" i="12"/>
  <c r="F78" i="8"/>
  <c r="F33" i="8"/>
  <c r="F77" i="8" s="1"/>
  <c r="F54" i="8"/>
  <c r="H33" i="12"/>
  <c r="H77" i="12" s="1"/>
  <c r="H3" i="13"/>
  <c r="H75" i="13"/>
  <c r="N42" i="14"/>
  <c r="C15" i="10"/>
  <c r="C54" i="10" s="1"/>
  <c r="G17" i="10"/>
  <c r="G15" i="10" s="1"/>
  <c r="F3" i="11"/>
  <c r="C55" i="11"/>
  <c r="E33" i="11"/>
  <c r="E78" i="11"/>
  <c r="E79" i="11"/>
  <c r="E83" i="11" s="1"/>
  <c r="J74" i="11"/>
  <c r="J82" i="11" s="1"/>
  <c r="C33" i="12"/>
  <c r="C77" i="12" s="1"/>
  <c r="G10" i="8"/>
  <c r="G8" i="8" s="1"/>
  <c r="G77" i="9"/>
  <c r="G33" i="13"/>
  <c r="G77" i="13" s="1"/>
  <c r="G78" i="13"/>
  <c r="G82" i="13" s="1"/>
  <c r="G54" i="13"/>
  <c r="H77" i="10"/>
  <c r="H77" i="8"/>
  <c r="H72" i="8"/>
  <c r="H84" i="8" s="1"/>
  <c r="H76" i="8"/>
  <c r="G72" i="9"/>
  <c r="G84" i="9" s="1"/>
  <c r="G76" i="9"/>
  <c r="N40" i="14"/>
  <c r="F73" i="15"/>
  <c r="G72" i="13"/>
  <c r="G84" i="13" s="1"/>
  <c r="G76" i="13"/>
  <c r="H72" i="10"/>
  <c r="H84" i="10" s="1"/>
  <c r="H76" i="10"/>
  <c r="H76" i="11"/>
  <c r="H72" i="11"/>
  <c r="H84" i="11" s="1"/>
  <c r="I76" i="12"/>
  <c r="I72" i="12"/>
  <c r="I84" i="12" s="1"/>
  <c r="H60" i="14"/>
  <c r="F54" i="15"/>
  <c r="G54" i="9"/>
  <c r="I33" i="12"/>
  <c r="H55" i="8"/>
  <c r="P21" i="8"/>
  <c r="G21" i="14"/>
  <c r="H21" i="14" s="1"/>
  <c r="L21" i="14" s="1"/>
  <c r="C74" i="14"/>
  <c r="C54" i="14"/>
  <c r="F76" i="14"/>
  <c r="F84" i="14" s="1"/>
  <c r="F57" i="14"/>
  <c r="F56" i="14" s="1"/>
  <c r="F72" i="14" s="1"/>
  <c r="I84" i="15"/>
  <c r="N33" i="11"/>
  <c r="P33" i="11" s="1"/>
  <c r="N54" i="11"/>
  <c r="P54" i="11" s="1"/>
  <c r="N78" i="11"/>
  <c r="H32" i="9"/>
  <c r="M32" i="9" s="1"/>
  <c r="G20" i="14"/>
  <c r="H20" i="14" s="1"/>
  <c r="L20" i="14" s="1"/>
  <c r="P20" i="8"/>
  <c r="J74" i="15"/>
  <c r="N75" i="11"/>
  <c r="J78" i="15"/>
  <c r="J76" i="15"/>
  <c r="J84" i="15" s="1"/>
  <c r="M76" i="15"/>
  <c r="K55" i="15"/>
  <c r="K54" i="15"/>
  <c r="J80" i="9"/>
  <c r="L55" i="12"/>
  <c r="M76" i="12"/>
  <c r="L3" i="11"/>
  <c r="K54" i="11"/>
  <c r="K76" i="11"/>
  <c r="L3" i="10"/>
  <c r="L55" i="10"/>
  <c r="J55" i="10"/>
  <c r="L54" i="10"/>
  <c r="J54" i="10"/>
  <c r="L80" i="10"/>
  <c r="J80" i="10"/>
  <c r="L76" i="10"/>
  <c r="J76" i="10"/>
  <c r="K3" i="10"/>
  <c r="L54" i="15"/>
  <c r="L73" i="15"/>
  <c r="K54" i="9"/>
  <c r="K80" i="9"/>
  <c r="M55" i="12"/>
  <c r="L55" i="11"/>
  <c r="L54" i="11"/>
  <c r="L76" i="11"/>
  <c r="N55" i="10"/>
  <c r="K55" i="10"/>
  <c r="K54" i="10"/>
  <c r="N80" i="10"/>
  <c r="K80" i="10"/>
  <c r="J82" i="13"/>
  <c r="J3" i="13"/>
  <c r="H10" i="14"/>
  <c r="H27" i="14"/>
  <c r="J78" i="14"/>
  <c r="J52" i="12"/>
  <c r="G78" i="15" l="1"/>
  <c r="G82" i="15" s="1"/>
  <c r="G33" i="15"/>
  <c r="G54" i="15"/>
  <c r="G52" i="14"/>
  <c r="O52" i="12"/>
  <c r="G57" i="10"/>
  <c r="G56" i="10" s="1"/>
  <c r="G51" i="14"/>
  <c r="H51" i="14" s="1"/>
  <c r="L51" i="14" s="1"/>
  <c r="M51" i="13"/>
  <c r="M79" i="13" s="1"/>
  <c r="M83" i="13" s="1"/>
  <c r="H75" i="12"/>
  <c r="H83" i="12" s="1"/>
  <c r="G82" i="9"/>
  <c r="P50" i="11"/>
  <c r="M8" i="15"/>
  <c r="L64" i="14"/>
  <c r="L50" i="14"/>
  <c r="N50" i="14" s="1"/>
  <c r="H73" i="10"/>
  <c r="L37" i="14"/>
  <c r="N37" i="14" s="1"/>
  <c r="M74" i="9"/>
  <c r="O74" i="9" s="1"/>
  <c r="D82" i="11"/>
  <c r="C81" i="11"/>
  <c r="G75" i="11"/>
  <c r="D73" i="11"/>
  <c r="J53" i="10"/>
  <c r="F53" i="15"/>
  <c r="K53" i="13"/>
  <c r="C73" i="14"/>
  <c r="H82" i="10"/>
  <c r="C82" i="12"/>
  <c r="D74" i="12"/>
  <c r="D54" i="12"/>
  <c r="H82" i="8"/>
  <c r="H73" i="8"/>
  <c r="H81" i="8" s="1"/>
  <c r="C81" i="8"/>
  <c r="D84" i="8"/>
  <c r="D33" i="14"/>
  <c r="D77" i="14" s="1"/>
  <c r="J72" i="9"/>
  <c r="J84" i="9" s="1"/>
  <c r="D54" i="9"/>
  <c r="D3" i="9"/>
  <c r="D53" i="9" s="1"/>
  <c r="D82" i="9"/>
  <c r="F55" i="9"/>
  <c r="M54" i="9"/>
  <c r="O54" i="9" s="1"/>
  <c r="G53" i="9"/>
  <c r="L34" i="14"/>
  <c r="N34" i="14" s="1"/>
  <c r="G78" i="11"/>
  <c r="G33" i="11"/>
  <c r="G77" i="11" s="1"/>
  <c r="G76" i="10"/>
  <c r="G72" i="10"/>
  <c r="F3" i="9"/>
  <c r="G53" i="13"/>
  <c r="G73" i="9"/>
  <c r="G81" i="9" s="1"/>
  <c r="C81" i="12"/>
  <c r="J73" i="11"/>
  <c r="D72" i="8"/>
  <c r="L82" i="15"/>
  <c r="D74" i="13"/>
  <c r="D82" i="13" s="1"/>
  <c r="D3" i="13"/>
  <c r="D73" i="13" s="1"/>
  <c r="D81" i="13" s="1"/>
  <c r="D76" i="14"/>
  <c r="D84" i="14" s="1"/>
  <c r="D15" i="14"/>
  <c r="D3" i="14" s="1"/>
  <c r="D73" i="14" s="1"/>
  <c r="M79" i="12"/>
  <c r="M83" i="12" s="1"/>
  <c r="J52" i="14"/>
  <c r="F73" i="12"/>
  <c r="F81" i="12" s="1"/>
  <c r="F53" i="12"/>
  <c r="G83" i="11"/>
  <c r="G54" i="11"/>
  <c r="G74" i="10"/>
  <c r="F81" i="10"/>
  <c r="F53" i="10"/>
  <c r="H48" i="14"/>
  <c r="D55" i="14"/>
  <c r="E76" i="14"/>
  <c r="E55" i="14"/>
  <c r="D72" i="14"/>
  <c r="N64" i="14"/>
  <c r="F73" i="14"/>
  <c r="M82" i="9"/>
  <c r="O82" i="9" s="1"/>
  <c r="N21" i="14"/>
  <c r="N20" i="14"/>
  <c r="G3" i="11"/>
  <c r="G73" i="11" s="1"/>
  <c r="G81" i="11" s="1"/>
  <c r="K53" i="15"/>
  <c r="H74" i="12"/>
  <c r="H82" i="12" s="1"/>
  <c r="F74" i="13"/>
  <c r="F82" i="13" s="1"/>
  <c r="G33" i="10"/>
  <c r="G77" i="10" s="1"/>
  <c r="J82" i="14"/>
  <c r="D84" i="12"/>
  <c r="H54" i="12"/>
  <c r="G84" i="10"/>
  <c r="D74" i="8"/>
  <c r="G78" i="10"/>
  <c r="F33" i="9"/>
  <c r="F77" i="9" s="1"/>
  <c r="F78" i="9"/>
  <c r="O76" i="15"/>
  <c r="N83" i="11"/>
  <c r="P83" i="11" s="1"/>
  <c r="P75" i="11"/>
  <c r="C53" i="11"/>
  <c r="O3" i="13"/>
  <c r="N83" i="13"/>
  <c r="O83" i="13" s="1"/>
  <c r="O79" i="13"/>
  <c r="O8" i="15"/>
  <c r="N56" i="15"/>
  <c r="O57" i="15"/>
  <c r="H77" i="16"/>
  <c r="H81" i="16" s="1"/>
  <c r="H53" i="16"/>
  <c r="M50" i="16"/>
  <c r="K55" i="16"/>
  <c r="M55" i="16" s="1"/>
  <c r="K79" i="16"/>
  <c r="K33" i="16"/>
  <c r="P64" i="10"/>
  <c r="N57" i="10"/>
  <c r="F57" i="13"/>
  <c r="F56" i="13" s="1"/>
  <c r="L27" i="14"/>
  <c r="N30" i="14"/>
  <c r="L10" i="14"/>
  <c r="N10" i="14" s="1"/>
  <c r="N11" i="14"/>
  <c r="K53" i="11"/>
  <c r="J3" i="15"/>
  <c r="J73" i="15" s="1"/>
  <c r="J81" i="15" s="1"/>
  <c r="N82" i="11"/>
  <c r="P82" i="11" s="1"/>
  <c r="P78" i="11"/>
  <c r="M48" i="15"/>
  <c r="C82" i="14"/>
  <c r="H53" i="11"/>
  <c r="F81" i="15"/>
  <c r="D82" i="12"/>
  <c r="D72" i="11"/>
  <c r="F82" i="10"/>
  <c r="E84" i="14"/>
  <c r="L72" i="12"/>
  <c r="L84" i="12" s="1"/>
  <c r="C53" i="8"/>
  <c r="N82" i="13"/>
  <c r="N57" i="8"/>
  <c r="P60" i="8"/>
  <c r="G74" i="11"/>
  <c r="K81" i="11"/>
  <c r="M67" i="14"/>
  <c r="N69" i="14"/>
  <c r="M75" i="15"/>
  <c r="O27" i="15"/>
  <c r="L60" i="14"/>
  <c r="N60" i="14" s="1"/>
  <c r="N61" i="14"/>
  <c r="K81" i="15"/>
  <c r="G75" i="10"/>
  <c r="G83" i="10" s="1"/>
  <c r="Q15" i="12"/>
  <c r="N84" i="15"/>
  <c r="M57" i="14"/>
  <c r="O4" i="15"/>
  <c r="M6" i="15"/>
  <c r="O6" i="15" s="1"/>
  <c r="M74" i="13"/>
  <c r="O74" i="13" s="1"/>
  <c r="O6" i="13"/>
  <c r="M67" i="15"/>
  <c r="N56" i="11"/>
  <c r="P57" i="11"/>
  <c r="K57" i="16"/>
  <c r="M57" i="13"/>
  <c r="O60" i="13"/>
  <c r="I47" i="15"/>
  <c r="I45" i="15" s="1"/>
  <c r="E77" i="10"/>
  <c r="E81" i="10" s="1"/>
  <c r="E53" i="10"/>
  <c r="L73" i="12"/>
  <c r="L81" i="12" s="1"/>
  <c r="J81" i="11"/>
  <c r="C81" i="14"/>
  <c r="F74" i="9"/>
  <c r="D54" i="8"/>
  <c r="E47" i="14"/>
  <c r="E45" i="14" s="1"/>
  <c r="E54" i="14" s="1"/>
  <c r="E83" i="14"/>
  <c r="F82" i="15"/>
  <c r="F54" i="9"/>
  <c r="D53" i="8"/>
  <c r="D73" i="8"/>
  <c r="D81" i="8" s="1"/>
  <c r="D72" i="9"/>
  <c r="D72" i="12"/>
  <c r="D73" i="12"/>
  <c r="F56" i="9"/>
  <c r="D53" i="12"/>
  <c r="K3" i="16"/>
  <c r="M3" i="16" s="1"/>
  <c r="K74" i="16"/>
  <c r="K54" i="16"/>
  <c r="M54" i="16" s="1"/>
  <c r="E73" i="9"/>
  <c r="E81" i="9" s="1"/>
  <c r="E53" i="9"/>
  <c r="C73" i="9"/>
  <c r="C81" i="9" s="1"/>
  <c r="C53" i="9"/>
  <c r="H83" i="13"/>
  <c r="F54" i="13"/>
  <c r="F3" i="13"/>
  <c r="E3" i="14"/>
  <c r="E73" i="14" s="1"/>
  <c r="E74" i="14"/>
  <c r="I78" i="10"/>
  <c r="I82" i="10" s="1"/>
  <c r="I33" i="10"/>
  <c r="I54" i="10"/>
  <c r="G33" i="8"/>
  <c r="G77" i="8" s="1"/>
  <c r="I57" i="14"/>
  <c r="I56" i="14" s="1"/>
  <c r="G55" i="8"/>
  <c r="G75" i="8"/>
  <c r="G83" i="8" s="1"/>
  <c r="D78" i="8"/>
  <c r="D82" i="8" s="1"/>
  <c r="C82" i="8"/>
  <c r="E53" i="8"/>
  <c r="E73" i="8"/>
  <c r="E81" i="8" s="1"/>
  <c r="F33" i="13"/>
  <c r="N51" i="14"/>
  <c r="M74" i="14"/>
  <c r="I53" i="13"/>
  <c r="F75" i="13"/>
  <c r="F83" i="13" s="1"/>
  <c r="F55" i="13"/>
  <c r="G3" i="10"/>
  <c r="G73" i="10" s="1"/>
  <c r="G54" i="10"/>
  <c r="G81" i="12"/>
  <c r="F53" i="8"/>
  <c r="E72" i="14"/>
  <c r="G81" i="13"/>
  <c r="J79" i="12"/>
  <c r="J83" i="12" s="1"/>
  <c r="J55" i="12"/>
  <c r="J73" i="13"/>
  <c r="J53" i="13"/>
  <c r="G53" i="15"/>
  <c r="G77" i="15"/>
  <c r="G81" i="15" s="1"/>
  <c r="N77" i="11"/>
  <c r="N53" i="11"/>
  <c r="P53" i="11" s="1"/>
  <c r="M78" i="13"/>
  <c r="M82" i="13" s="1"/>
  <c r="M54" i="13"/>
  <c r="O54" i="13" s="1"/>
  <c r="M33" i="13"/>
  <c r="O33" i="13" s="1"/>
  <c r="G76" i="8"/>
  <c r="G84" i="8" s="1"/>
  <c r="G72" i="8"/>
  <c r="F73" i="11"/>
  <c r="F81" i="11" s="1"/>
  <c r="F53" i="11"/>
  <c r="H73" i="13"/>
  <c r="H53" i="13"/>
  <c r="I82" i="11"/>
  <c r="I53" i="11"/>
  <c r="I73" i="11"/>
  <c r="I81" i="11" s="1"/>
  <c r="D77" i="11"/>
  <c r="D81" i="11" s="1"/>
  <c r="D53" i="11"/>
  <c r="E73" i="13"/>
  <c r="E53" i="13"/>
  <c r="G84" i="12"/>
  <c r="H53" i="12"/>
  <c r="H73" i="12"/>
  <c r="H81" i="12" s="1"/>
  <c r="C82" i="11"/>
  <c r="C74" i="10"/>
  <c r="C82" i="10" s="1"/>
  <c r="C82" i="13"/>
  <c r="G53" i="11"/>
  <c r="H8" i="14"/>
  <c r="K73" i="10"/>
  <c r="K81" i="10" s="1"/>
  <c r="K53" i="10"/>
  <c r="L73" i="10"/>
  <c r="L81" i="10" s="1"/>
  <c r="L53" i="10"/>
  <c r="L73" i="11"/>
  <c r="L81" i="11" s="1"/>
  <c r="L53" i="11"/>
  <c r="L77" i="15"/>
  <c r="L81" i="15" s="1"/>
  <c r="L53" i="15"/>
  <c r="M46" i="15"/>
  <c r="F46" i="14"/>
  <c r="J82" i="15"/>
  <c r="G26" i="14"/>
  <c r="H26" i="14" s="1"/>
  <c r="L26" i="14" s="1"/>
  <c r="N15" i="8"/>
  <c r="P15" i="8" s="1"/>
  <c r="I15" i="8"/>
  <c r="G32" i="14"/>
  <c r="H32" i="14" s="1"/>
  <c r="L32" i="14" s="1"/>
  <c r="H47" i="14"/>
  <c r="L47" i="14" s="1"/>
  <c r="I53" i="12"/>
  <c r="I77" i="12"/>
  <c r="I81" i="12" s="1"/>
  <c r="H81" i="10"/>
  <c r="G3" i="8"/>
  <c r="G54" i="8"/>
  <c r="G74" i="8"/>
  <c r="G82" i="8" s="1"/>
  <c r="E77" i="11"/>
  <c r="E53" i="11"/>
  <c r="C3" i="10"/>
  <c r="F81" i="8"/>
  <c r="D53" i="10"/>
  <c r="D77" i="10"/>
  <c r="D81" i="10" s="1"/>
  <c r="D82" i="10"/>
  <c r="F82" i="8"/>
  <c r="E81" i="11"/>
  <c r="E84" i="11"/>
  <c r="E82" i="11"/>
  <c r="E84" i="13"/>
  <c r="C77" i="13"/>
  <c r="C53" i="13"/>
  <c r="C53" i="12"/>
  <c r="I79" i="14"/>
  <c r="L48" i="14" l="1"/>
  <c r="N48" i="14" s="1"/>
  <c r="G82" i="10"/>
  <c r="J53" i="15"/>
  <c r="D53" i="13"/>
  <c r="E33" i="14"/>
  <c r="E77" i="14" s="1"/>
  <c r="E81" i="14" s="1"/>
  <c r="D73" i="9"/>
  <c r="D81" i="9" s="1"/>
  <c r="G82" i="11"/>
  <c r="G81" i="10"/>
  <c r="M74" i="15"/>
  <c r="O74" i="15" s="1"/>
  <c r="D74" i="14"/>
  <c r="D82" i="14" s="1"/>
  <c r="D54" i="14"/>
  <c r="D81" i="14"/>
  <c r="J79" i="14"/>
  <c r="J83" i="14" s="1"/>
  <c r="J55" i="14"/>
  <c r="J33" i="14"/>
  <c r="F73" i="13"/>
  <c r="E78" i="14"/>
  <c r="E82" i="14" s="1"/>
  <c r="D53" i="14"/>
  <c r="N47" i="14"/>
  <c r="I72" i="14"/>
  <c r="I76" i="14"/>
  <c r="I84" i="14" s="1"/>
  <c r="N27" i="14"/>
  <c r="N26" i="14"/>
  <c r="F53" i="9"/>
  <c r="L8" i="14"/>
  <c r="N8" i="14" s="1"/>
  <c r="O78" i="13"/>
  <c r="F82" i="9"/>
  <c r="I54" i="15"/>
  <c r="I33" i="15"/>
  <c r="I53" i="15" s="1"/>
  <c r="I78" i="15"/>
  <c r="I82" i="15" s="1"/>
  <c r="M56" i="13"/>
  <c r="O57" i="13"/>
  <c r="P56" i="11"/>
  <c r="N73" i="11"/>
  <c r="P73" i="11" s="1"/>
  <c r="N72" i="11"/>
  <c r="N76" i="11"/>
  <c r="P76" i="11" s="1"/>
  <c r="O75" i="15"/>
  <c r="M83" i="15"/>
  <c r="O83" i="15" s="1"/>
  <c r="M66" i="14"/>
  <c r="K77" i="16"/>
  <c r="M77" i="16" s="1"/>
  <c r="M33" i="16"/>
  <c r="O56" i="15"/>
  <c r="N72" i="15"/>
  <c r="N73" i="15"/>
  <c r="O46" i="15"/>
  <c r="G53" i="10"/>
  <c r="P77" i="11"/>
  <c r="M56" i="14"/>
  <c r="K82" i="16"/>
  <c r="M82" i="16" s="1"/>
  <c r="M74" i="16"/>
  <c r="K56" i="16"/>
  <c r="M57" i="16"/>
  <c r="O67" i="15"/>
  <c r="M66" i="15"/>
  <c r="N56" i="8"/>
  <c r="P57" i="8"/>
  <c r="O82" i="13"/>
  <c r="M47" i="15"/>
  <c r="O47" i="15" s="1"/>
  <c r="O48" i="15"/>
  <c r="F76" i="13"/>
  <c r="F72" i="13"/>
  <c r="N56" i="10"/>
  <c r="P57" i="10"/>
  <c r="K83" i="16"/>
  <c r="M83" i="16" s="1"/>
  <c r="M79" i="16"/>
  <c r="M3" i="15"/>
  <c r="D81" i="12"/>
  <c r="F72" i="9"/>
  <c r="F76" i="9"/>
  <c r="F84" i="9" s="1"/>
  <c r="F73" i="9"/>
  <c r="F81" i="9" s="1"/>
  <c r="K53" i="16"/>
  <c r="M53" i="16" s="1"/>
  <c r="F53" i="13"/>
  <c r="I77" i="10"/>
  <c r="I81" i="10" s="1"/>
  <c r="I53" i="10"/>
  <c r="N33" i="10"/>
  <c r="P33" i="10" s="1"/>
  <c r="N78" i="10"/>
  <c r="N54" i="10"/>
  <c r="P54" i="10" s="1"/>
  <c r="N32" i="14"/>
  <c r="F77" i="13"/>
  <c r="C81" i="13"/>
  <c r="C73" i="10"/>
  <c r="C81" i="10" s="1"/>
  <c r="C53" i="10"/>
  <c r="G73" i="8"/>
  <c r="G81" i="8" s="1"/>
  <c r="G53" i="8"/>
  <c r="E81" i="13"/>
  <c r="H52" i="14"/>
  <c r="L52" i="14" s="1"/>
  <c r="G79" i="14"/>
  <c r="H46" i="14"/>
  <c r="L46" i="14" s="1"/>
  <c r="F45" i="14"/>
  <c r="F78" i="14" s="1"/>
  <c r="M53" i="13"/>
  <c r="O53" i="13" s="1"/>
  <c r="O79" i="12"/>
  <c r="O55" i="12"/>
  <c r="I77" i="15" l="1"/>
  <c r="I81" i="15" s="1"/>
  <c r="E53" i="14"/>
  <c r="F81" i="13"/>
  <c r="N81" i="11"/>
  <c r="J77" i="14"/>
  <c r="J53" i="14"/>
  <c r="H45" i="14"/>
  <c r="M45" i="15"/>
  <c r="M33" i="15" s="1"/>
  <c r="O33" i="15" s="1"/>
  <c r="O83" i="12"/>
  <c r="Q83" i="12" s="1"/>
  <c r="Q79" i="12"/>
  <c r="M73" i="15"/>
  <c r="O73" i="15" s="1"/>
  <c r="O3" i="15"/>
  <c r="N72" i="10"/>
  <c r="P56" i="10"/>
  <c r="N73" i="10"/>
  <c r="P73" i="10" s="1"/>
  <c r="N76" i="10"/>
  <c r="P76" i="10" s="1"/>
  <c r="N76" i="8"/>
  <c r="P76" i="8" s="1"/>
  <c r="P56" i="8"/>
  <c r="M56" i="16"/>
  <c r="K76" i="16"/>
  <c r="K72" i="16"/>
  <c r="M72" i="16" s="1"/>
  <c r="M72" i="14"/>
  <c r="N81" i="15"/>
  <c r="M80" i="14"/>
  <c r="N84" i="11"/>
  <c r="P84" i="11" s="1"/>
  <c r="P72" i="11"/>
  <c r="M76" i="13"/>
  <c r="O76" i="13" s="1"/>
  <c r="O56" i="13"/>
  <c r="M73" i="13"/>
  <c r="O73" i="13" s="1"/>
  <c r="N82" i="10"/>
  <c r="P82" i="10" s="1"/>
  <c r="P78" i="10"/>
  <c r="K73" i="16"/>
  <c r="F84" i="13"/>
  <c r="M80" i="15"/>
  <c r="O66" i="15"/>
  <c r="M72" i="15"/>
  <c r="O72" i="15" s="1"/>
  <c r="N77" i="10"/>
  <c r="N53" i="10"/>
  <c r="P53" i="10" s="1"/>
  <c r="M75" i="14"/>
  <c r="M3" i="14"/>
  <c r="F82" i="14"/>
  <c r="F54" i="14"/>
  <c r="F33" i="14"/>
  <c r="F77" i="14" s="1"/>
  <c r="H79" i="14"/>
  <c r="O45" i="15" l="1"/>
  <c r="M54" i="15"/>
  <c r="O54" i="15" s="1"/>
  <c r="M78" i="15"/>
  <c r="M53" i="15"/>
  <c r="O53" i="15" s="1"/>
  <c r="M73" i="14"/>
  <c r="O6" i="14"/>
  <c r="K81" i="16"/>
  <c r="M73" i="16"/>
  <c r="N84" i="10"/>
  <c r="P84" i="10" s="1"/>
  <c r="P72" i="10"/>
  <c r="L79" i="14"/>
  <c r="N52" i="14"/>
  <c r="L45" i="14"/>
  <c r="N46" i="14"/>
  <c r="M77" i="15"/>
  <c r="N81" i="10"/>
  <c r="P77" i="10"/>
  <c r="M84" i="15"/>
  <c r="O84" i="15" s="1"/>
  <c r="O80" i="15"/>
  <c r="M84" i="14"/>
  <c r="K84" i="16"/>
  <c r="M84" i="16" s="1"/>
  <c r="M76" i="16"/>
  <c r="F81" i="14"/>
  <c r="F53" i="14"/>
  <c r="N45" i="14" l="1"/>
  <c r="O78" i="15"/>
  <c r="M82" i="15"/>
  <c r="O82" i="15" s="1"/>
  <c r="M81" i="15"/>
  <c r="O77" i="15"/>
  <c r="M79" i="14"/>
  <c r="M55" i="14"/>
  <c r="M83" i="14" l="1"/>
  <c r="N79" i="14"/>
  <c r="J67" i="13" l="1"/>
  <c r="J66" i="13" s="1"/>
  <c r="J80" i="13" s="1"/>
  <c r="J72" i="13" l="1"/>
  <c r="J84" i="13" s="1"/>
  <c r="J77" i="13"/>
  <c r="J81" i="13" s="1"/>
  <c r="H67" i="13"/>
  <c r="H66" i="13"/>
  <c r="H80" i="13" s="1"/>
  <c r="H77" i="13" l="1"/>
  <c r="H81" i="13" s="1"/>
  <c r="H72" i="13"/>
  <c r="H84" i="13" s="1"/>
  <c r="K67" i="13"/>
  <c r="K66" i="13" s="1"/>
  <c r="K80" i="13" l="1"/>
  <c r="K77" i="13"/>
  <c r="K81" i="13" s="1"/>
  <c r="K72" i="13"/>
  <c r="K84" i="13" s="1"/>
  <c r="K55" i="9" l="1"/>
  <c r="K75" i="9"/>
  <c r="K83" i="9" s="1"/>
  <c r="K3" i="9"/>
  <c r="K53" i="9" s="1"/>
  <c r="N66" i="8"/>
  <c r="N72" i="8" l="1"/>
  <c r="N80" i="8"/>
  <c r="L66" i="8"/>
  <c r="N84" i="8" l="1"/>
  <c r="P84" i="8" s="1"/>
  <c r="P72" i="8"/>
  <c r="L80" i="8"/>
  <c r="L72" i="8"/>
  <c r="L84" i="8" s="1"/>
  <c r="K66" i="8"/>
  <c r="K80" i="8" l="1"/>
  <c r="K72" i="8"/>
  <c r="K84" i="8" s="1"/>
  <c r="J66" i="8"/>
  <c r="J80" i="8" l="1"/>
  <c r="J72" i="8"/>
  <c r="J84" i="8" s="1"/>
  <c r="I70" i="8"/>
  <c r="I67" i="8" l="1"/>
  <c r="I66" i="8" s="1"/>
  <c r="I72" i="8" s="1"/>
  <c r="I84" i="8" s="1"/>
  <c r="G70" i="14"/>
  <c r="G16" i="14"/>
  <c r="G15" i="14" s="1"/>
  <c r="J15" i="12"/>
  <c r="I80" i="8" l="1"/>
  <c r="H70" i="14"/>
  <c r="L70" i="14" s="1"/>
  <c r="G67" i="14"/>
  <c r="G66" i="14" s="1"/>
  <c r="G80" i="14" s="1"/>
  <c r="G84" i="14" s="1"/>
  <c r="P16" i="14"/>
  <c r="Q16" i="14" s="1"/>
  <c r="Q15" i="14"/>
  <c r="H16" i="14"/>
  <c r="L16" i="14" s="1"/>
  <c r="K74" i="12"/>
  <c r="L54" i="12"/>
  <c r="L74" i="12"/>
  <c r="L82" i="12" s="1"/>
  <c r="M74" i="12"/>
  <c r="I67" i="13"/>
  <c r="I66" i="13" s="1"/>
  <c r="H15" i="14" l="1"/>
  <c r="H67" i="14"/>
  <c r="H66" i="14" s="1"/>
  <c r="I80" i="13"/>
  <c r="I72" i="13"/>
  <c r="I84" i="13" s="1"/>
  <c r="I77" i="13"/>
  <c r="I81" i="13" s="1"/>
  <c r="M67" i="13"/>
  <c r="M66" i="13" s="1"/>
  <c r="H80" i="14" l="1"/>
  <c r="L15" i="14"/>
  <c r="N16" i="14"/>
  <c r="N70" i="14"/>
  <c r="L67" i="14"/>
  <c r="M77" i="13"/>
  <c r="M80" i="13"/>
  <c r="M72" i="13"/>
  <c r="O60" i="12"/>
  <c r="N15" i="14" l="1"/>
  <c r="O57" i="12"/>
  <c r="Q57" i="12" s="1"/>
  <c r="Q60" i="12"/>
  <c r="L66" i="14"/>
  <c r="N67" i="14"/>
  <c r="M84" i="13"/>
  <c r="O84" i="13" s="1"/>
  <c r="O72" i="13"/>
  <c r="M81" i="13"/>
  <c r="O77" i="13"/>
  <c r="J60" i="12"/>
  <c r="J57" i="12" s="1"/>
  <c r="J56" i="12" s="1"/>
  <c r="K60" i="12"/>
  <c r="K57" i="12" s="1"/>
  <c r="K56" i="12" s="1"/>
  <c r="L80" i="14" l="1"/>
  <c r="N80" i="14" s="1"/>
  <c r="N66" i="14"/>
  <c r="O56" i="12"/>
  <c r="J72" i="12"/>
  <c r="J84" i="12" s="1"/>
  <c r="J76" i="12"/>
  <c r="K76" i="12"/>
  <c r="K72" i="12"/>
  <c r="K84" i="12" s="1"/>
  <c r="J6" i="12"/>
  <c r="J74" i="12" s="1"/>
  <c r="Q56" i="12" l="1"/>
  <c r="O72" i="12"/>
  <c r="O76" i="12"/>
  <c r="Q76" i="12" s="1"/>
  <c r="J3" i="12"/>
  <c r="O84" i="12" l="1"/>
  <c r="Q84" i="12" s="1"/>
  <c r="Q72" i="12"/>
  <c r="J73" i="12"/>
  <c r="O3" i="12"/>
  <c r="I6" i="14"/>
  <c r="I74" i="14" s="1"/>
  <c r="G4" i="14"/>
  <c r="H4" i="14" s="1"/>
  <c r="L4" i="14" s="1"/>
  <c r="I6" i="8"/>
  <c r="G5" i="14"/>
  <c r="H5" i="14" s="1"/>
  <c r="L5" i="14" s="1"/>
  <c r="N4" i="14" l="1"/>
  <c r="Q3" i="12"/>
  <c r="O73" i="12"/>
  <c r="Q73" i="12" s="1"/>
  <c r="O74" i="12"/>
  <c r="Q74" i="12" s="1"/>
  <c r="N5" i="14"/>
  <c r="I74" i="8"/>
  <c r="L6" i="14"/>
  <c r="G6" i="14"/>
  <c r="H6" i="14"/>
  <c r="H74" i="14" s="1"/>
  <c r="N6" i="14" l="1"/>
  <c r="L74" i="14"/>
  <c r="G74" i="14"/>
  <c r="J6" i="8"/>
  <c r="N74" i="14" l="1"/>
  <c r="J74" i="8"/>
  <c r="K6" i="8"/>
  <c r="K74" i="8" l="1"/>
  <c r="L6" i="8"/>
  <c r="L74" i="8" l="1"/>
  <c r="N6" i="8"/>
  <c r="N74" i="8" l="1"/>
  <c r="P74" i="8" s="1"/>
  <c r="I54" i="8"/>
  <c r="K54" i="8"/>
  <c r="K78" i="8"/>
  <c r="K82" i="8" s="1"/>
  <c r="N54" i="8"/>
  <c r="P54" i="8" s="1"/>
  <c r="J54" i="8"/>
  <c r="N33" i="8"/>
  <c r="N78" i="8"/>
  <c r="P78" i="8" s="1"/>
  <c r="I77" i="8"/>
  <c r="I78" i="8"/>
  <c r="I82" i="8" s="1"/>
  <c r="L54" i="8"/>
  <c r="L33" i="8"/>
  <c r="L77" i="8" s="1"/>
  <c r="L78" i="8"/>
  <c r="L82" i="8" s="1"/>
  <c r="J33" i="8"/>
  <c r="J77" i="8" s="1"/>
  <c r="J78" i="8"/>
  <c r="J82" i="8" s="1"/>
  <c r="K33" i="8"/>
  <c r="K77" i="8" s="1"/>
  <c r="M54" i="12"/>
  <c r="J54" i="12"/>
  <c r="K54" i="12"/>
  <c r="M78" i="12"/>
  <c r="M82" i="12" s="1"/>
  <c r="M53" i="12"/>
  <c r="J78" i="12"/>
  <c r="J82" i="12" s="1"/>
  <c r="K78" i="12"/>
  <c r="K82" i="12" s="1"/>
  <c r="I54" i="14"/>
  <c r="G33" i="14"/>
  <c r="G77" i="14" s="1"/>
  <c r="K33" i="12"/>
  <c r="J33" i="12"/>
  <c r="O33" i="12"/>
  <c r="Q33" i="12" s="1"/>
  <c r="O78" i="12" l="1"/>
  <c r="O82" i="12" s="1"/>
  <c r="Q82" i="12" s="1"/>
  <c r="L38" i="14"/>
  <c r="N39" i="14"/>
  <c r="N77" i="8"/>
  <c r="P77" i="8" s="1"/>
  <c r="P33" i="8"/>
  <c r="N82" i="8"/>
  <c r="P82" i="8" s="1"/>
  <c r="K77" i="12"/>
  <c r="G78" i="14"/>
  <c r="G82" i="14" s="1"/>
  <c r="J53" i="12"/>
  <c r="J77" i="12"/>
  <c r="J81" i="12" s="1"/>
  <c r="O54" i="12"/>
  <c r="Q54" i="12" s="1"/>
  <c r="I33" i="14"/>
  <c r="I77" i="14" s="1"/>
  <c r="H44" i="14"/>
  <c r="L44" i="14" s="1"/>
  <c r="M77" i="12"/>
  <c r="M81" i="12" s="1"/>
  <c r="I78" i="14"/>
  <c r="I82" i="14" s="1"/>
  <c r="G54" i="14"/>
  <c r="Q78" i="12" l="1"/>
  <c r="L78" i="14"/>
  <c r="H78" i="14"/>
  <c r="H82" i="14" s="1"/>
  <c r="N38" i="14"/>
  <c r="H54" i="14"/>
  <c r="H33" i="14"/>
  <c r="H77" i="14" s="1"/>
  <c r="O77" i="12"/>
  <c r="O53" i="12"/>
  <c r="Q53" i="12" s="1"/>
  <c r="N44" i="14" l="1"/>
  <c r="O81" i="12"/>
  <c r="Q77" i="12"/>
  <c r="M54" i="14"/>
  <c r="M78" i="14"/>
  <c r="M33" i="14"/>
  <c r="L33" i="14"/>
  <c r="L77" i="14" s="1"/>
  <c r="L54" i="14"/>
  <c r="H55" i="9"/>
  <c r="H75" i="9"/>
  <c r="H83" i="9" s="1"/>
  <c r="H3" i="9"/>
  <c r="L82" i="14" l="1"/>
  <c r="M82" i="14"/>
  <c r="N78" i="14"/>
  <c r="N33" i="14"/>
  <c r="N54" i="14"/>
  <c r="M53" i="14"/>
  <c r="M77" i="14"/>
  <c r="H53" i="9"/>
  <c r="I55" i="9"/>
  <c r="I75" i="9"/>
  <c r="I83" i="9" s="1"/>
  <c r="I3" i="9"/>
  <c r="I53" i="9" s="1"/>
  <c r="J55" i="9"/>
  <c r="J75" i="9"/>
  <c r="J83" i="9" s="1"/>
  <c r="J3" i="9"/>
  <c r="J53" i="9" s="1"/>
  <c r="N82" i="14" l="1"/>
  <c r="M81" i="14"/>
  <c r="O77" i="14"/>
  <c r="N77" i="14"/>
  <c r="J73" i="9"/>
  <c r="J81" i="9" s="1"/>
  <c r="M55" i="9"/>
  <c r="M3" i="9"/>
  <c r="M75" i="9"/>
  <c r="M83" i="9" s="1"/>
  <c r="O83" i="9" s="1"/>
  <c r="H59" i="9"/>
  <c r="G59" i="14" l="1"/>
  <c r="G57" i="14" s="1"/>
  <c r="G56" i="14" s="1"/>
  <c r="G72" i="14" s="1"/>
  <c r="H57" i="9"/>
  <c r="H56" i="9" s="1"/>
  <c r="H73" i="9" s="1"/>
  <c r="H81" i="9" s="1"/>
  <c r="M53" i="9"/>
  <c r="O53" i="9" s="1"/>
  <c r="O3" i="9"/>
  <c r="I59" i="9"/>
  <c r="I57" i="9" s="1"/>
  <c r="I56" i="9" s="1"/>
  <c r="I76" i="9" s="1"/>
  <c r="H59" i="14" l="1"/>
  <c r="H57" i="14" s="1"/>
  <c r="H56" i="14" s="1"/>
  <c r="M59" i="9"/>
  <c r="H72" i="9"/>
  <c r="H84" i="9" s="1"/>
  <c r="H76" i="9"/>
  <c r="I72" i="9"/>
  <c r="I84" i="9" s="1"/>
  <c r="I73" i="9"/>
  <c r="I81" i="9" s="1"/>
  <c r="K59" i="9"/>
  <c r="K57" i="9"/>
  <c r="K56" i="9" s="1"/>
  <c r="K76" i="9" s="1"/>
  <c r="J59" i="14" l="1"/>
  <c r="L59" i="14" s="1"/>
  <c r="H72" i="14"/>
  <c r="H76" i="14"/>
  <c r="H84" i="14" s="1"/>
  <c r="M57" i="9"/>
  <c r="K72" i="9"/>
  <c r="K84" i="9" s="1"/>
  <c r="K73" i="9"/>
  <c r="K81" i="9" s="1"/>
  <c r="I55" i="8"/>
  <c r="I75" i="8"/>
  <c r="I83" i="8" s="1"/>
  <c r="I55" i="14"/>
  <c r="I3" i="8"/>
  <c r="I53" i="8" s="1"/>
  <c r="G7" i="14"/>
  <c r="J57" i="14" l="1"/>
  <c r="J56" i="14" s="1"/>
  <c r="L57" i="14"/>
  <c r="G55" i="14"/>
  <c r="G75" i="14"/>
  <c r="G83" i="14" s="1"/>
  <c r="M56" i="9"/>
  <c r="O57" i="9"/>
  <c r="H7" i="14"/>
  <c r="L7" i="14" s="1"/>
  <c r="I73" i="8"/>
  <c r="I81" i="8" s="1"/>
  <c r="I83" i="14"/>
  <c r="G3" i="14"/>
  <c r="G73" i="14" s="1"/>
  <c r="I3" i="14"/>
  <c r="I73" i="14" s="1"/>
  <c r="N57" i="14" l="1"/>
  <c r="L56" i="14"/>
  <c r="J76" i="14"/>
  <c r="J84" i="14" s="1"/>
  <c r="J72" i="14"/>
  <c r="J73" i="14"/>
  <c r="J81" i="14" s="1"/>
  <c r="L75" i="14"/>
  <c r="H75" i="14"/>
  <c r="H83" i="14" s="1"/>
  <c r="M76" i="9"/>
  <c r="O76" i="9" s="1"/>
  <c r="O56" i="9"/>
  <c r="M73" i="9"/>
  <c r="M72" i="9"/>
  <c r="H3" i="14"/>
  <c r="H73" i="14" s="1"/>
  <c r="H81" i="14" s="1"/>
  <c r="H55" i="14"/>
  <c r="I53" i="14"/>
  <c r="I81" i="14"/>
  <c r="G53" i="14"/>
  <c r="G81" i="14"/>
  <c r="L76" i="14" l="1"/>
  <c r="N56" i="14"/>
  <c r="L72" i="14"/>
  <c r="N7" i="14"/>
  <c r="M84" i="9"/>
  <c r="O84" i="9" s="1"/>
  <c r="O72" i="9"/>
  <c r="M81" i="9"/>
  <c r="O73" i="9"/>
  <c r="L83" i="14"/>
  <c r="N83" i="14" s="1"/>
  <c r="L3" i="14"/>
  <c r="L55" i="14"/>
  <c r="N55" i="14" s="1"/>
  <c r="H53" i="14"/>
  <c r="N76" i="14" l="1"/>
  <c r="L84" i="14"/>
  <c r="N84" i="14"/>
  <c r="N72" i="14"/>
  <c r="N3" i="14"/>
  <c r="L73" i="14"/>
  <c r="N75" i="14"/>
  <c r="L53" i="14"/>
  <c r="N53" i="14" s="1"/>
  <c r="J55" i="8"/>
  <c r="J75" i="8"/>
  <c r="J83" i="8" s="1"/>
  <c r="J3" i="8"/>
  <c r="J53" i="8" s="1"/>
  <c r="L81" i="14" l="1"/>
  <c r="N73" i="14"/>
  <c r="J73" i="8"/>
  <c r="J81" i="8" s="1"/>
  <c r="K75" i="8"/>
  <c r="K83" i="8" s="1"/>
  <c r="K55" i="8"/>
  <c r="K3" i="8"/>
  <c r="K53" i="8" s="1"/>
  <c r="L55" i="8"/>
  <c r="L3" i="8"/>
  <c r="L73" i="8" s="1"/>
  <c r="L81" i="8" s="1"/>
  <c r="L75" i="8"/>
  <c r="L83" i="8" s="1"/>
  <c r="K73" i="8" l="1"/>
  <c r="K81" i="8" s="1"/>
  <c r="L53" i="8"/>
  <c r="N55" i="8"/>
  <c r="N3" i="8"/>
  <c r="N75" i="8"/>
  <c r="N83" i="8" s="1"/>
  <c r="P83" i="8" s="1"/>
  <c r="N53" i="8" l="1"/>
  <c r="P53" i="8" s="1"/>
  <c r="P3" i="8"/>
  <c r="N73" i="8"/>
  <c r="K27" i="12"/>
  <c r="K75" i="12" l="1"/>
  <c r="K83" i="12" s="1"/>
  <c r="K3" i="12"/>
  <c r="N81" i="8"/>
  <c r="P73" i="8"/>
  <c r="K55" i="12"/>
  <c r="K73" i="12" l="1"/>
  <c r="K81" i="12" s="1"/>
  <c r="K53" i="12"/>
</calcChain>
</file>

<file path=xl/sharedStrings.xml><?xml version="1.0" encoding="utf-8"?>
<sst xmlns="http://schemas.openxmlformats.org/spreadsheetml/2006/main" count="1451" uniqueCount="196">
  <si>
    <t>I.</t>
  </si>
  <si>
    <t>Személyi juttatások</t>
  </si>
  <si>
    <t>Munkaadókat terhelő járulékok és szociális hozzájárulási adó</t>
  </si>
  <si>
    <t>Dologi kiadások</t>
  </si>
  <si>
    <t>Közhatalmi bevételek</t>
  </si>
  <si>
    <t>Működési célú átvett pénzeszköz</t>
  </si>
  <si>
    <t>II.</t>
  </si>
  <si>
    <t>Felhalmozási célú átvett pénzeszköz</t>
  </si>
  <si>
    <t>Kötelező feladatok</t>
  </si>
  <si>
    <t>Nem kötelező feladatok</t>
  </si>
  <si>
    <t>Mindösszesen</t>
  </si>
  <si>
    <t>Összesítés</t>
  </si>
  <si>
    <t xml:space="preserve">Önkormányzatok működési támogatásai </t>
  </si>
  <si>
    <t>Működési célú támogatások államháztartáson belülről</t>
  </si>
  <si>
    <t>Felhalmozási célú támogatások államháztartáson belülről</t>
  </si>
  <si>
    <t>Vagyoni tipusú adók</t>
  </si>
  <si>
    <t>Értékesítési és forgalmi adók</t>
  </si>
  <si>
    <t>Gépjármű adók</t>
  </si>
  <si>
    <t>Egyéb áruhasználati és szolgáltatási adók</t>
  </si>
  <si>
    <t>Egyéb közhatalmi bevételek</t>
  </si>
  <si>
    <t>Működési bevételek</t>
  </si>
  <si>
    <t>Készletértékesítés ellenértéke</t>
  </si>
  <si>
    <t>Szolgáltatások ellenértéke</t>
  </si>
  <si>
    <t>Közvetített szolgáltatások ellenértéke</t>
  </si>
  <si>
    <t>Tulajdonosi bevételek</t>
  </si>
  <si>
    <t>Ellátási díjak</t>
  </si>
  <si>
    <t>Kiszámlázott általános forgalmi adó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</si>
  <si>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</si>
  <si>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</si>
  <si>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</si>
  <si>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</si>
  <si>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</t>
  </si>
  <si>
    <t>Immateriális javak értékesítése</t>
  </si>
  <si>
    <t>Ingatlanok értékesítése</t>
  </si>
  <si>
    <t>Egyéb tárgyi eszközök értékesítése</t>
  </si>
  <si>
    <t>Foglalkoztatottak személyi juttatásai</t>
  </si>
  <si>
    <t>Külső személyi juttatások</t>
  </si>
  <si>
    <t>Készletbeszerzés</t>
  </si>
  <si>
    <t>Kommunikációs szolgáltatások</t>
  </si>
  <si>
    <t>Szolgáltatási kiadások</t>
  </si>
  <si>
    <t>Kiküldetések, reklám- és propaganda kiadások</t>
  </si>
  <si>
    <t>Különféle befizetések és egyéb dologi kiadások</t>
  </si>
  <si>
    <t>EGYENLEG (I.-II.)</t>
  </si>
  <si>
    <t>Működési</t>
  </si>
  <si>
    <t>Felhalmozási</t>
  </si>
  <si>
    <t xml:space="preserve">FINANSZÍROZÁSI BEVÉTELEK </t>
  </si>
  <si>
    <t>Hitel-, kölcsöntörlesztés államháztartáson kívülre</t>
  </si>
  <si>
    <t>Hitel-, kölcsönfelvétel államháztartáson kívülről</t>
  </si>
  <si>
    <t>Belföldi értékpapírok bevételei</t>
  </si>
  <si>
    <t>Maradvány igénybevétele</t>
  </si>
  <si>
    <t>Belföldi finanszírozás bevételei</t>
  </si>
  <si>
    <t>Külföldi finanszírozás bevételei</t>
  </si>
  <si>
    <t>FINANSZÍROZÁSI KIADÁSOK</t>
  </si>
  <si>
    <t>Belföldi értékpapírok kiadásai</t>
  </si>
  <si>
    <t>Központi, irányító szervi támogatások folyósítása</t>
  </si>
  <si>
    <t>KÖLTSÉGVETÉSI EGYENLEG</t>
  </si>
  <si>
    <t>Ebből: tartalék (4.sz.melléklet)</t>
  </si>
  <si>
    <t>FINANSZÍROZÁSI EGYENLEG (III.-IV.)</t>
  </si>
  <si>
    <t>BEVÉTELEK MINDÖSSZESEN (I.+III.)</t>
  </si>
  <si>
    <t>KIADÁSOK MINDÖSSZESEN (II.+IV.)</t>
  </si>
  <si>
    <t>K1</t>
  </si>
  <si>
    <t>K11</t>
  </si>
  <si>
    <t>K12</t>
  </si>
  <si>
    <t>K2</t>
  </si>
  <si>
    <t>K3</t>
  </si>
  <si>
    <t>K31</t>
  </si>
  <si>
    <t>K32</t>
  </si>
  <si>
    <t>K33</t>
  </si>
  <si>
    <t>K34</t>
  </si>
  <si>
    <t>K35</t>
  </si>
  <si>
    <t>K4</t>
  </si>
  <si>
    <t>K5</t>
  </si>
  <si>
    <t>K512</t>
  </si>
  <si>
    <t>K6</t>
  </si>
  <si>
    <t>K7</t>
  </si>
  <si>
    <t>K8</t>
  </si>
  <si>
    <t xml:space="preserve"> KÖLTSÉGVETÉSI KIADÁSOK </t>
  </si>
  <si>
    <t>Működési tartalék</t>
  </si>
  <si>
    <t>Felhalmozási tartalék</t>
  </si>
  <si>
    <t>B811</t>
  </si>
  <si>
    <t>B812</t>
  </si>
  <si>
    <t>B813</t>
  </si>
  <si>
    <t>Ebből: működési</t>
  </si>
  <si>
    <t xml:space="preserve">            fejlesztései</t>
  </si>
  <si>
    <t>B814</t>
  </si>
  <si>
    <t>B82</t>
  </si>
  <si>
    <t>K911</t>
  </si>
  <si>
    <t>K912</t>
  </si>
  <si>
    <t>K915</t>
  </si>
  <si>
    <t>Külföldi finanszírozás kiadásai</t>
  </si>
  <si>
    <t>K92</t>
  </si>
  <si>
    <t xml:space="preserve"> KÖLTSÉGVETÉSI BEVÉTELEK</t>
  </si>
  <si>
    <t>B11</t>
  </si>
  <si>
    <t>B1</t>
  </si>
  <si>
    <t>B2</t>
  </si>
  <si>
    <t>B3</t>
  </si>
  <si>
    <t>B34</t>
  </si>
  <si>
    <t>B351</t>
  </si>
  <si>
    <t>B354</t>
  </si>
  <si>
    <t>B355</t>
  </si>
  <si>
    <t>B36</t>
  </si>
  <si>
    <t>B4</t>
  </si>
  <si>
    <t>B401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</si>
  <si>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</si>
  <si>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</si>
  <si>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</si>
  <si>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</si>
  <si>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</si>
  <si>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</si>
  <si>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</si>
  <si>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</si>
  <si>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</si>
  <si>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>B5</t>
  </si>
  <si>
    <t>B51</t>
  </si>
  <si>
    <t>B52</t>
  </si>
  <si>
    <t>B53</t>
  </si>
  <si>
    <t>B6</t>
  </si>
  <si>
    <t>B7</t>
  </si>
  <si>
    <t>Önkormányzat összesen</t>
  </si>
  <si>
    <t>Püspökmajor-lakótelepi Bölcsőde</t>
  </si>
  <si>
    <t>B81</t>
  </si>
  <si>
    <t>B816</t>
  </si>
  <si>
    <t>Központi, önkormányzattól kapott támogatás</t>
  </si>
  <si>
    <t>Gondozási Központ Szentendre</t>
  </si>
  <si>
    <t>Szentendre Városi Óvodák</t>
  </si>
  <si>
    <t>B35</t>
  </si>
  <si>
    <t>Termékek és szolgáltatások adói</t>
  </si>
  <si>
    <t>Vagyoni tipusú adók (építményadó, ép.utáni IFA, magánsz.komm.adója, telekadó)</t>
  </si>
  <si>
    <t>Értékesítési és forgalmi adók (IPA)</t>
  </si>
  <si>
    <t>Egyéb áruhasználati és szolgáltatási adók (tart.utáni IFA, talajterhelési díj)</t>
  </si>
  <si>
    <t>Egyéb közhatalmi bevételek (illeték, bírság)</t>
  </si>
  <si>
    <t>Államháztartáson belüli megelőlegezések</t>
  </si>
  <si>
    <t>III.B8</t>
  </si>
  <si>
    <t>IV.K9</t>
  </si>
  <si>
    <t>Ebből: egyéb működési célú támogatások (8.sz.melléklet)</t>
  </si>
  <si>
    <t>Szentendre Város Önkormányzata</t>
  </si>
  <si>
    <t>Polgármesteri Hivatal</t>
  </si>
  <si>
    <t>Szentendre Egészségügyi Intézményei</t>
  </si>
  <si>
    <t>K91</t>
  </si>
  <si>
    <t>Belföldi finanszírozás kiadásai</t>
  </si>
  <si>
    <r>
      <rPr>
        <b/>
        <i/>
        <sz val="10"/>
        <color indexed="8"/>
        <rFont val="Times New Roman"/>
        <family val="1"/>
        <charset val="238"/>
      </rPr>
      <t xml:space="preserve">Ebből: </t>
    </r>
    <r>
      <rPr>
        <b/>
        <sz val="10"/>
        <color indexed="8"/>
        <rFont val="Times New Roman"/>
        <family val="1"/>
        <charset val="238"/>
      </rPr>
      <t>Működési</t>
    </r>
  </si>
  <si>
    <r>
      <rPr>
        <b/>
        <i/>
        <sz val="10"/>
        <color indexed="8"/>
        <rFont val="Times New Roman"/>
        <family val="1"/>
        <charset val="238"/>
      </rPr>
      <t>Ebből:</t>
    </r>
    <r>
      <rPr>
        <b/>
        <sz val="10"/>
        <color indexed="8"/>
        <rFont val="Times New Roman"/>
        <family val="1"/>
        <charset val="238"/>
      </rPr>
      <t xml:space="preserve"> Felhalmozási</t>
    </r>
  </si>
  <si>
    <r>
      <rPr>
        <b/>
        <i/>
        <sz val="10"/>
        <color indexed="8"/>
        <rFont val="Times New Roman"/>
        <family val="1"/>
        <charset val="238"/>
      </rPr>
      <t>Ebből:</t>
    </r>
    <r>
      <rPr>
        <b/>
        <sz val="10"/>
        <color indexed="8"/>
        <rFont val="Times New Roman"/>
        <family val="1"/>
        <charset val="238"/>
      </rPr>
      <t xml:space="preserve"> Működési</t>
    </r>
  </si>
  <si>
    <r>
      <rPr>
        <b/>
        <i/>
        <sz val="10"/>
        <color indexed="8"/>
        <rFont val="Times New Roman"/>
        <family val="1"/>
        <charset val="238"/>
      </rPr>
      <t xml:space="preserve">Ebből: </t>
    </r>
    <r>
      <rPr>
        <b/>
        <sz val="10"/>
        <color indexed="8"/>
        <rFont val="Times New Roman"/>
        <family val="1"/>
        <charset val="238"/>
      </rPr>
      <t>Felhalmozási</t>
    </r>
  </si>
  <si>
    <r>
      <rPr>
        <b/>
        <i/>
        <sz val="10"/>
        <color indexed="8"/>
        <rFont val="Times New Roman"/>
        <family val="1"/>
        <charset val="238"/>
      </rPr>
      <t>Ebből:</t>
    </r>
    <r>
      <rPr>
        <b/>
        <sz val="10"/>
        <color indexed="8"/>
        <rFont val="Times New Roman"/>
        <family val="1"/>
        <charset val="238"/>
      </rPr>
      <t xml:space="preserve"> Finanszírozási</t>
    </r>
  </si>
  <si>
    <r>
      <t xml:space="preserve">Ellátottak pénzbeli juttatásai </t>
    </r>
    <r>
      <rPr>
        <b/>
        <i/>
        <sz val="10"/>
        <color indexed="8"/>
        <rFont val="Times New Roman"/>
        <family val="1"/>
        <charset val="238"/>
      </rPr>
      <t>(6.sz.melléklet)</t>
    </r>
  </si>
  <si>
    <r>
      <t xml:space="preserve">Egyéb működési célú kiadások </t>
    </r>
    <r>
      <rPr>
        <b/>
        <i/>
        <sz val="10"/>
        <color indexed="8"/>
        <rFont val="Times New Roman"/>
        <family val="1"/>
        <charset val="238"/>
      </rPr>
      <t>(4. és 8-sz.melléklet)</t>
    </r>
  </si>
  <si>
    <r>
      <t>Beruházások</t>
    </r>
    <r>
      <rPr>
        <b/>
        <i/>
        <sz val="10"/>
        <color indexed="8"/>
        <rFont val="Times New Roman"/>
        <family val="1"/>
        <charset val="238"/>
      </rPr>
      <t xml:space="preserve"> (3/a sz.melléklet)</t>
    </r>
  </si>
  <si>
    <r>
      <t>Felújítások</t>
    </r>
    <r>
      <rPr>
        <b/>
        <i/>
        <sz val="10"/>
        <color indexed="8"/>
        <rFont val="Times New Roman"/>
        <family val="1"/>
        <charset val="238"/>
      </rPr>
      <t xml:space="preserve"> (3/c sz. melléklet)  </t>
    </r>
  </si>
  <si>
    <r>
      <t>Egyéb felhalmozási célú kiadások</t>
    </r>
    <r>
      <rPr>
        <b/>
        <i/>
        <sz val="10"/>
        <color indexed="8"/>
        <rFont val="Times New Roman"/>
        <family val="1"/>
        <charset val="238"/>
      </rPr>
      <t xml:space="preserve"> (6.sz.melléklet)</t>
    </r>
  </si>
  <si>
    <t>Intézmények (PH+Int.) összesen</t>
  </si>
  <si>
    <t>Felújítások</t>
  </si>
  <si>
    <t>Ellátottak pénzbeli juttatásai</t>
  </si>
  <si>
    <t>Egyéb működési célú kiadások</t>
  </si>
  <si>
    <t>Ebből: egyéb működési célú támogatások</t>
  </si>
  <si>
    <t>Ebből: tartalék</t>
  </si>
  <si>
    <t>Pest Megyei Könyvtár</t>
  </si>
  <si>
    <t>Összesen</t>
  </si>
  <si>
    <r>
      <t>Egyéb felhalmozási célú kiadások</t>
    </r>
    <r>
      <rPr>
        <b/>
        <i/>
        <sz val="10"/>
        <color indexed="8"/>
        <rFont val="Times New Roman"/>
        <family val="1"/>
        <charset val="238"/>
      </rPr>
      <t xml:space="preserve"> (8.sz.melléklet)</t>
    </r>
  </si>
  <si>
    <t>ebből Értékesítési és forgalmi adók (IPA)</t>
  </si>
  <si>
    <t>ebből Gépjármű adók</t>
  </si>
  <si>
    <t>ebből Egyéb áruhasználati és szolgáltatási adók (tart.utáni IFA, talajterhelési díj)</t>
  </si>
  <si>
    <t>2015 Előirányzat</t>
  </si>
  <si>
    <t>B16</t>
  </si>
  <si>
    <t>Egyéb működési célú támogatások ÁHT-n belülről OEP finanszírozás</t>
  </si>
  <si>
    <t>B411</t>
  </si>
  <si>
    <t>1. módosítás</t>
  </si>
  <si>
    <t>Összesen
módosításokkal</t>
  </si>
  <si>
    <t>K513</t>
  </si>
  <si>
    <r>
      <t>Beruházások</t>
    </r>
    <r>
      <rPr>
        <b/>
        <i/>
        <sz val="10"/>
        <color indexed="8"/>
        <rFont val="Times New Roman"/>
        <family val="1"/>
        <charset val="238"/>
      </rPr>
      <t/>
    </r>
  </si>
  <si>
    <r>
      <t>Egyéb felhalmozási célú kiadások</t>
    </r>
    <r>
      <rPr>
        <b/>
        <i/>
        <sz val="10"/>
        <color indexed="8"/>
        <rFont val="Times New Roman"/>
        <family val="1"/>
        <charset val="238"/>
      </rPr>
      <t xml:space="preserve"> </t>
    </r>
  </si>
  <si>
    <t>K914</t>
  </si>
  <si>
    <t>ÁH-n belüli megelőlegezések visszafizetése</t>
  </si>
  <si>
    <t>2016 Előirányzat</t>
  </si>
  <si>
    <t>2. módosítás 2015.09.15.</t>
  </si>
  <si>
    <t>2. módosítzás 2015.09.15.</t>
  </si>
  <si>
    <t>2015 tény
2016.01.25.</t>
  </si>
  <si>
    <t>Biztosító által fizetett kártérítés</t>
  </si>
  <si>
    <t>Belföldi értékpapírok kiadásai, Államháztartáson belüli megelőlegezések</t>
  </si>
  <si>
    <t>K912, K914</t>
  </si>
  <si>
    <t>Ferenczy Múzeumi Centrum</t>
  </si>
  <si>
    <r>
      <t>Felújítások</t>
    </r>
    <r>
      <rPr>
        <b/>
        <i/>
        <sz val="10"/>
        <color indexed="8"/>
        <rFont val="Times New Roman"/>
        <family val="1"/>
        <charset val="238"/>
      </rPr>
      <t xml:space="preserve"> (3/b sz. melléklet)  </t>
    </r>
  </si>
  <si>
    <t>B11,B12</t>
  </si>
  <si>
    <r>
      <t>Felújítások</t>
    </r>
    <r>
      <rPr>
        <b/>
        <i/>
        <sz val="10"/>
        <color indexed="8"/>
        <rFont val="Times New Roman"/>
        <family val="1"/>
        <charset val="238"/>
      </rPr>
      <t xml:space="preserve"> (3/b,c sz. melléklet)  </t>
    </r>
  </si>
  <si>
    <t>ebből:
Egres úti tagóvoda</t>
  </si>
  <si>
    <t>1.módosítás</t>
  </si>
  <si>
    <t>Módosított előirányzat</t>
  </si>
  <si>
    <t>2016 Tény
01-06. hó</t>
  </si>
  <si>
    <t>K50-K513</t>
  </si>
  <si>
    <t>2016 Tény 
01-06. hó</t>
  </si>
  <si>
    <t>EFt</t>
  </si>
  <si>
    <t>%</t>
  </si>
  <si>
    <t>2. módosítás</t>
  </si>
  <si>
    <t>3. módosítás</t>
  </si>
  <si>
    <t>3.  módosítás</t>
  </si>
  <si>
    <t>K912-K914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</si>
</sst>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0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b/>
      <i/>
      <sz val="10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2" fillId="0" borderId="0"/>
    <xf numFmtId="0" fontId="4" fillId="0" borderId="0"/>
    <xf numFmtId="9" fontId="22" fillId="0" borderId="0" applyFon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0" fontId="6" fillId="8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3" fontId="17" fillId="0" borderId="0" xfId="0" applyNumberFormat="1" applyFont="1" applyAlignment="1">
      <alignment horizontal="right" vertical="center"/>
    </xf>
    <xf numFmtId="0" fontId="3" fillId="12" borderId="0" xfId="0" applyFont="1" applyFill="1" applyAlignment="1">
      <alignment vertical="center"/>
    </xf>
    <xf numFmtId="3" fontId="17" fillId="0" borderId="0" xfId="0" applyNumberFormat="1" applyFont="1" applyAlignment="1">
      <alignment vertical="center"/>
    </xf>
    <xf numFmtId="3" fontId="10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9" fillId="1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11" fillId="10" borderId="1" xfId="0" applyNumberFormat="1" applyFont="1" applyFill="1" applyBorder="1" applyAlignment="1">
      <alignment horizontal="right" vertical="center"/>
    </xf>
    <xf numFmtId="3" fontId="1" fillId="9" borderId="1" xfId="0" applyNumberFormat="1" applyFont="1" applyFill="1" applyBorder="1" applyAlignment="1">
      <alignment horizontal="right" vertical="center"/>
    </xf>
    <xf numFmtId="3" fontId="1" fillId="8" borderId="1" xfId="0" applyNumberFormat="1" applyFont="1" applyFill="1" applyBorder="1" applyAlignment="1">
      <alignment horizontal="right" vertical="center"/>
    </xf>
    <xf numFmtId="3" fontId="12" fillId="5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vertical="center"/>
    </xf>
    <xf numFmtId="3" fontId="23" fillId="0" borderId="1" xfId="0" applyNumberFormat="1" applyFont="1" applyBorder="1" applyAlignment="1">
      <alignment vertical="center"/>
    </xf>
    <xf numFmtId="3" fontId="18" fillId="0" borderId="1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3" fontId="9" fillId="8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9" fillId="4" borderId="1" xfId="0" applyNumberFormat="1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3" fontId="9" fillId="6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right" vertical="center"/>
    </xf>
    <xf numFmtId="3" fontId="9" fillId="2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3" fontId="1" fillId="7" borderId="1" xfId="0" applyNumberFormat="1" applyFont="1" applyFill="1" applyBorder="1" applyAlignment="1">
      <alignment horizontal="right" vertical="center"/>
    </xf>
    <xf numFmtId="3" fontId="1" fillId="10" borderId="1" xfId="0" applyNumberFormat="1" applyFont="1" applyFill="1" applyBorder="1" applyAlignment="1">
      <alignment horizontal="right" vertical="center"/>
    </xf>
    <xf numFmtId="3" fontId="2" fillId="10" borderId="1" xfId="0" applyNumberFormat="1" applyFont="1" applyFill="1" applyBorder="1" applyAlignment="1">
      <alignment horizontal="right" vertical="center"/>
    </xf>
    <xf numFmtId="3" fontId="1" fillId="6" borderId="1" xfId="0" applyNumberFormat="1" applyFont="1" applyFill="1" applyBorder="1" applyAlignment="1">
      <alignment horizontal="right" vertical="center"/>
    </xf>
    <xf numFmtId="0" fontId="23" fillId="0" borderId="1" xfId="0" applyFont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11" borderId="1" xfId="0" applyFont="1" applyFill="1" applyBorder="1" applyAlignment="1">
      <alignment horizontal="left" vertical="center"/>
    </xf>
    <xf numFmtId="0" fontId="12" fillId="11" borderId="1" xfId="0" applyFont="1" applyFill="1" applyBorder="1" applyAlignment="1">
      <alignment horizontal="left" vertical="center" wrapText="1"/>
    </xf>
    <xf numFmtId="3" fontId="12" fillId="11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right" vertical="center"/>
    </xf>
    <xf numFmtId="0" fontId="12" fillId="11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left" vertical="center"/>
    </xf>
    <xf numFmtId="0" fontId="12" fillId="9" borderId="1" xfId="0" applyFont="1" applyFill="1" applyBorder="1" applyAlignment="1">
      <alignment vertical="center"/>
    </xf>
    <xf numFmtId="3" fontId="12" fillId="9" borderId="1" xfId="0" applyNumberFormat="1" applyFont="1" applyFill="1" applyBorder="1" applyAlignment="1">
      <alignment horizontal="right" vertical="center"/>
    </xf>
    <xf numFmtId="0" fontId="12" fillId="8" borderId="1" xfId="0" applyFont="1" applyFill="1" applyBorder="1" applyAlignment="1">
      <alignment horizontal="left" vertical="center"/>
    </xf>
    <xf numFmtId="3" fontId="12" fillId="8" borderId="1" xfId="0" applyNumberFormat="1" applyFon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left" vertical="center"/>
    </xf>
    <xf numFmtId="3" fontId="12" fillId="5" borderId="1" xfId="0" applyNumberFormat="1" applyFont="1" applyFill="1" applyBorder="1" applyAlignment="1">
      <alignment horizontal="right" vertical="center"/>
    </xf>
    <xf numFmtId="0" fontId="15" fillId="7" borderId="1" xfId="0" applyFont="1" applyFill="1" applyBorder="1" applyAlignment="1">
      <alignment vertical="center"/>
    </xf>
    <xf numFmtId="3" fontId="12" fillId="7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right" vertical="center"/>
    </xf>
    <xf numFmtId="3" fontId="10" fillId="10" borderId="1" xfId="0" applyNumberFormat="1" applyFont="1" applyFill="1" applyBorder="1" applyAlignment="1">
      <alignment horizontal="right" vertical="center"/>
    </xf>
    <xf numFmtId="3" fontId="9" fillId="13" borderId="1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  <xf numFmtId="3" fontId="24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5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right" vertical="center" wrapText="1"/>
    </xf>
    <xf numFmtId="3" fontId="26" fillId="0" borderId="1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0" fontId="5" fillId="13" borderId="1" xfId="0" applyFont="1" applyFill="1" applyBorder="1" applyAlignment="1">
      <alignment horizontal="left" vertical="center" wrapText="1"/>
    </xf>
    <xf numFmtId="3" fontId="11" fillId="13" borderId="1" xfId="0" applyNumberFormat="1" applyFont="1" applyFill="1" applyBorder="1" applyAlignment="1">
      <alignment horizontal="right" vertical="center"/>
    </xf>
    <xf numFmtId="0" fontId="28" fillId="13" borderId="1" xfId="0" applyFont="1" applyFill="1" applyBorder="1" applyAlignment="1">
      <alignment vertical="center"/>
    </xf>
    <xf numFmtId="3" fontId="5" fillId="13" borderId="1" xfId="0" applyNumberFormat="1" applyFont="1" applyFill="1" applyBorder="1" applyAlignment="1">
      <alignment vertical="center"/>
    </xf>
    <xf numFmtId="0" fontId="28" fillId="13" borderId="0" xfId="0" applyFont="1" applyFill="1" applyAlignment="1">
      <alignment vertical="center"/>
    </xf>
    <xf numFmtId="3" fontId="11" fillId="13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9" fillId="0" borderId="1" xfId="0" applyFont="1" applyBorder="1" applyAlignment="1">
      <alignment horizontal="left" vertical="center"/>
    </xf>
    <xf numFmtId="3" fontId="30" fillId="0" borderId="1" xfId="0" applyNumberFormat="1" applyFont="1" applyBorder="1" applyAlignment="1">
      <alignment vertical="center"/>
    </xf>
    <xf numFmtId="3" fontId="24" fillId="0" borderId="1" xfId="0" applyNumberFormat="1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9" fontId="1" fillId="9" borderId="1" xfId="3" applyFont="1" applyFill="1" applyBorder="1" applyAlignment="1">
      <alignment horizontal="right" vertical="center"/>
    </xf>
    <xf numFmtId="9" fontId="24" fillId="0" borderId="1" xfId="3" applyFont="1" applyBorder="1" applyAlignment="1">
      <alignment vertical="center"/>
    </xf>
    <xf numFmtId="9" fontId="1" fillId="0" borderId="1" xfId="3" applyFont="1" applyBorder="1" applyAlignment="1">
      <alignment horizontal="right" vertical="center"/>
    </xf>
    <xf numFmtId="9" fontId="30" fillId="0" borderId="1" xfId="3" applyFont="1" applyBorder="1" applyAlignment="1">
      <alignment vertical="center"/>
    </xf>
    <xf numFmtId="9" fontId="9" fillId="10" borderId="1" xfId="3" applyFont="1" applyFill="1" applyBorder="1" applyAlignment="1">
      <alignment horizontal="right" vertical="center"/>
    </xf>
    <xf numFmtId="9" fontId="9" fillId="8" borderId="1" xfId="3" applyFont="1" applyFill="1" applyBorder="1" applyAlignment="1">
      <alignment horizontal="right" vertical="center"/>
    </xf>
    <xf numFmtId="9" fontId="1" fillId="0" borderId="1" xfId="3" applyFont="1" applyBorder="1" applyAlignment="1">
      <alignment vertical="center"/>
    </xf>
    <xf numFmtId="9" fontId="10" fillId="0" borderId="1" xfId="3" applyFont="1" applyBorder="1" applyAlignment="1">
      <alignment horizontal="right" vertical="center" wrapText="1"/>
    </xf>
    <xf numFmtId="9" fontId="9" fillId="4" borderId="1" xfId="3" applyFont="1" applyFill="1" applyBorder="1" applyAlignment="1">
      <alignment horizontal="right" vertical="center"/>
    </xf>
    <xf numFmtId="9" fontId="9" fillId="6" borderId="1" xfId="3" applyFont="1" applyFill="1" applyBorder="1" applyAlignment="1">
      <alignment horizontal="right" vertical="center"/>
    </xf>
    <xf numFmtId="9" fontId="9" fillId="2" borderId="1" xfId="3" applyFont="1" applyFill="1" applyBorder="1" applyAlignment="1">
      <alignment horizontal="right" vertical="center"/>
    </xf>
    <xf numFmtId="9" fontId="24" fillId="0" borderId="1" xfId="3" applyFont="1" applyFill="1" applyBorder="1" applyAlignment="1">
      <alignment vertical="center"/>
    </xf>
    <xf numFmtId="9" fontId="9" fillId="3" borderId="1" xfId="3" applyFont="1" applyFill="1" applyBorder="1" applyAlignment="1">
      <alignment horizontal="right" vertical="center"/>
    </xf>
    <xf numFmtId="9" fontId="1" fillId="2" borderId="1" xfId="3" applyFont="1" applyFill="1" applyBorder="1" applyAlignment="1">
      <alignment horizontal="right" vertical="center"/>
    </xf>
    <xf numFmtId="9" fontId="1" fillId="8" borderId="1" xfId="3" applyFont="1" applyFill="1" applyBorder="1" applyAlignment="1">
      <alignment horizontal="right" vertical="center"/>
    </xf>
    <xf numFmtId="9" fontId="1" fillId="3" borderId="1" xfId="3" applyFont="1" applyFill="1" applyBorder="1" applyAlignment="1">
      <alignment horizontal="right" vertical="center"/>
    </xf>
    <xf numFmtId="9" fontId="1" fillId="5" borderId="1" xfId="3" applyFont="1" applyFill="1" applyBorder="1" applyAlignment="1">
      <alignment horizontal="right" vertical="center"/>
    </xf>
    <xf numFmtId="9" fontId="1" fillId="7" borderId="1" xfId="3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9" fontId="3" fillId="0" borderId="0" xfId="3" applyFont="1" applyAlignment="1">
      <alignment vertical="center"/>
    </xf>
    <xf numFmtId="3" fontId="1" fillId="5" borderId="1" xfId="0" applyNumberFormat="1" applyFont="1" applyFill="1" applyBorder="1" applyAlignment="1">
      <alignment horizontal="center" vertical="center" wrapText="1"/>
    </xf>
    <xf numFmtId="3" fontId="10" fillId="13" borderId="1" xfId="0" applyNumberFormat="1" applyFont="1" applyFill="1" applyBorder="1" applyAlignment="1">
      <alignment horizontal="right" vertical="center"/>
    </xf>
    <xf numFmtId="3" fontId="1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3" fontId="1" fillId="5" borderId="1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3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3" fontId="12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</cellXfs>
  <cellStyles count="4">
    <cellStyle name="Normál" xfId="0" builtinId="0"/>
    <cellStyle name="Normál 12" xfId="1"/>
    <cellStyle name="Normal 13_Ktghelyi terv" xfId="2"/>
    <cellStyle name="Százalék" xfId="3" builtinId="5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ndacsne\Downloads\3%20m&#243;dos&#237;t&#225;s%20%202016%2011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&#246;zgazdas&#225;gi%20Iroda\Kontrolling\K&#246;lts&#233;gvet&#233;s%202016\EL&#336;IR&#193;NYZAT\3\3%20m&#243;dos&#237;t&#225;s%20%202016%2011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st&#252;leti%20Anyagok\2015.%2006%20-%20J&#218;NIUS\18.%202015.%20&#233;vi%20kv%20rendelet%20m&#243;dos&#237;t&#225;s+\munkat&#225;bla%201%20m&#243;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 2"/>
      <sheetName val="Önk 2a"/>
      <sheetName val="PH 2b"/>
      <sheetName val="SZEI 2c"/>
      <sheetName val="PMK 2d"/>
      <sheetName val="FMC 2e"/>
      <sheetName val="Óvoda 2f"/>
      <sheetName val="Bölcsőde 2g"/>
      <sheetName val="Gondozási 2h"/>
      <sheetName val="Intézményi kezd. ei mód"/>
      <sheetName val="2015 évi maradvány"/>
      <sheetName val="Állami támogatás"/>
      <sheetName val="Szocágazati"/>
      <sheetName val="Testületi kezdv ei mód"/>
      <sheetName val="Polgármesteri kezd"/>
      <sheetName val="Egyéb ei módosítás"/>
      <sheetName val="főszám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D4">
            <v>-200000</v>
          </cell>
        </row>
        <row r="5">
          <cell r="D5">
            <v>200000</v>
          </cell>
        </row>
        <row r="8">
          <cell r="C8">
            <v>1250000</v>
          </cell>
        </row>
        <row r="9">
          <cell r="D9">
            <v>1250000</v>
          </cell>
        </row>
        <row r="11">
          <cell r="D11">
            <v>1300000</v>
          </cell>
        </row>
        <row r="12">
          <cell r="D12">
            <v>-1300000</v>
          </cell>
        </row>
        <row r="16">
          <cell r="C16">
            <v>2073000</v>
          </cell>
        </row>
        <row r="17">
          <cell r="D17">
            <v>2073000</v>
          </cell>
        </row>
        <row r="19">
          <cell r="C19">
            <v>1000000</v>
          </cell>
        </row>
        <row r="20">
          <cell r="D20">
            <v>1000000</v>
          </cell>
        </row>
        <row r="22">
          <cell r="C22">
            <v>330000</v>
          </cell>
        </row>
        <row r="23">
          <cell r="D23">
            <v>330000</v>
          </cell>
        </row>
        <row r="25">
          <cell r="C25">
            <v>1200000</v>
          </cell>
        </row>
        <row r="26">
          <cell r="D26">
            <v>815000</v>
          </cell>
        </row>
        <row r="27">
          <cell r="D27">
            <v>385000</v>
          </cell>
        </row>
        <row r="28">
          <cell r="D28">
            <v>-114000</v>
          </cell>
        </row>
        <row r="29">
          <cell r="D29">
            <v>114000</v>
          </cell>
        </row>
        <row r="32">
          <cell r="C32">
            <v>4425400</v>
          </cell>
        </row>
        <row r="33">
          <cell r="C33">
            <v>600500</v>
          </cell>
        </row>
        <row r="34">
          <cell r="D34">
            <v>3485000</v>
          </cell>
        </row>
        <row r="35">
          <cell r="D35">
            <v>472000</v>
          </cell>
        </row>
        <row r="36">
          <cell r="D36">
            <v>940400</v>
          </cell>
        </row>
        <row r="37">
          <cell r="D37">
            <v>128500</v>
          </cell>
        </row>
        <row r="39">
          <cell r="C39">
            <v>2212000</v>
          </cell>
        </row>
        <row r="40">
          <cell r="D40">
            <v>1742000</v>
          </cell>
        </row>
        <row r="41">
          <cell r="D41">
            <v>470000</v>
          </cell>
        </row>
        <row r="43">
          <cell r="C43">
            <v>500000</v>
          </cell>
        </row>
        <row r="44">
          <cell r="D44">
            <v>500000</v>
          </cell>
        </row>
      </sheetData>
      <sheetData sheetId="10" refreshError="1"/>
      <sheetData sheetId="11" refreshError="1">
        <row r="5">
          <cell r="C5">
            <v>500000</v>
          </cell>
        </row>
        <row r="6">
          <cell r="C6">
            <v>840000</v>
          </cell>
        </row>
        <row r="7">
          <cell r="C7">
            <v>13000000</v>
          </cell>
        </row>
        <row r="8">
          <cell r="D8">
            <v>14340000</v>
          </cell>
        </row>
        <row r="10">
          <cell r="D10">
            <v>703890</v>
          </cell>
        </row>
        <row r="11">
          <cell r="D11">
            <v>13636110</v>
          </cell>
        </row>
        <row r="12">
          <cell r="C12">
            <v>14340000</v>
          </cell>
        </row>
        <row r="15">
          <cell r="C15">
            <v>4786249</v>
          </cell>
        </row>
        <row r="16">
          <cell r="D16">
            <v>4786249</v>
          </cell>
        </row>
        <row r="19">
          <cell r="C19">
            <v>2088441</v>
          </cell>
        </row>
        <row r="20">
          <cell r="D20">
            <v>2088441</v>
          </cell>
        </row>
        <row r="23">
          <cell r="D23">
            <v>6633948</v>
          </cell>
        </row>
        <row r="24">
          <cell r="C24">
            <v>6633948</v>
          </cell>
        </row>
        <row r="27">
          <cell r="C27">
            <v>12844569</v>
          </cell>
        </row>
        <row r="28">
          <cell r="D28">
            <v>12844569</v>
          </cell>
        </row>
        <row r="31">
          <cell r="C31">
            <v>-49248</v>
          </cell>
        </row>
        <row r="32">
          <cell r="D32">
            <v>-49248</v>
          </cell>
        </row>
      </sheetData>
      <sheetData sheetId="12" refreshError="1"/>
      <sheetData sheetId="13" refreshError="1">
        <row r="4">
          <cell r="C4">
            <v>680000</v>
          </cell>
        </row>
        <row r="5">
          <cell r="D5">
            <v>680000</v>
          </cell>
        </row>
        <row r="8">
          <cell r="D8">
            <v>1441296</v>
          </cell>
        </row>
        <row r="9">
          <cell r="D9">
            <v>-1441296</v>
          </cell>
        </row>
        <row r="12">
          <cell r="D12">
            <v>25000000</v>
          </cell>
        </row>
        <row r="13">
          <cell r="D13">
            <v>-25000000</v>
          </cell>
        </row>
        <row r="15">
          <cell r="C15">
            <v>25000000</v>
          </cell>
        </row>
        <row r="16">
          <cell r="D16">
            <v>25000000</v>
          </cell>
        </row>
        <row r="19">
          <cell r="D19">
            <v>50000000</v>
          </cell>
        </row>
        <row r="20">
          <cell r="D20">
            <v>-30000000</v>
          </cell>
        </row>
        <row r="21">
          <cell r="D21">
            <v>-20000000</v>
          </cell>
        </row>
        <row r="24">
          <cell r="D24">
            <v>4000000</v>
          </cell>
        </row>
        <row r="25">
          <cell r="D25">
            <v>-4000000</v>
          </cell>
        </row>
        <row r="27">
          <cell r="D27">
            <v>200000</v>
          </cell>
        </row>
        <row r="28">
          <cell r="D28">
            <v>-200000</v>
          </cell>
        </row>
        <row r="30">
          <cell r="D30">
            <v>571000</v>
          </cell>
        </row>
        <row r="31">
          <cell r="D31">
            <v>-571000</v>
          </cell>
        </row>
        <row r="34">
          <cell r="D34">
            <v>5000000</v>
          </cell>
        </row>
        <row r="35">
          <cell r="D35">
            <v>-5000000</v>
          </cell>
        </row>
      </sheetData>
      <sheetData sheetId="14" refreshError="1"/>
      <sheetData sheetId="15" refreshError="1">
        <row r="4">
          <cell r="D4">
            <v>-950000</v>
          </cell>
        </row>
        <row r="5">
          <cell r="D5">
            <v>-950000</v>
          </cell>
        </row>
        <row r="9">
          <cell r="D9">
            <v>-400000</v>
          </cell>
        </row>
        <row r="10">
          <cell r="D10">
            <v>400000</v>
          </cell>
        </row>
        <row r="13">
          <cell r="C13">
            <v>8060023</v>
          </cell>
        </row>
        <row r="14">
          <cell r="D14">
            <v>8060023</v>
          </cell>
        </row>
        <row r="17">
          <cell r="C17">
            <v>4782132</v>
          </cell>
        </row>
        <row r="18">
          <cell r="D18">
            <v>4782132</v>
          </cell>
        </row>
        <row r="21">
          <cell r="C21">
            <v>1000000</v>
          </cell>
        </row>
        <row r="22">
          <cell r="D22">
            <v>180000</v>
          </cell>
        </row>
        <row r="23">
          <cell r="D23">
            <v>49000</v>
          </cell>
        </row>
        <row r="24">
          <cell r="D24">
            <v>771000</v>
          </cell>
        </row>
        <row r="27">
          <cell r="C27">
            <v>4000000</v>
          </cell>
        </row>
        <row r="28">
          <cell r="D28">
            <v>1345000</v>
          </cell>
        </row>
        <row r="29">
          <cell r="D29">
            <v>363000</v>
          </cell>
        </row>
        <row r="30">
          <cell r="D30">
            <v>2292000</v>
          </cell>
        </row>
        <row r="33">
          <cell r="C33">
            <v>8200635</v>
          </cell>
        </row>
        <row r="34">
          <cell r="D34">
            <v>8200635</v>
          </cell>
        </row>
        <row r="37">
          <cell r="C37">
            <v>3800000</v>
          </cell>
        </row>
        <row r="38">
          <cell r="C38">
            <v>6445000</v>
          </cell>
        </row>
        <row r="39">
          <cell r="C39">
            <v>10394241</v>
          </cell>
        </row>
        <row r="40">
          <cell r="D40">
            <v>22704000</v>
          </cell>
        </row>
        <row r="41">
          <cell r="D41">
            <v>21000</v>
          </cell>
        </row>
        <row r="42">
          <cell r="D42">
            <v>-2085759</v>
          </cell>
        </row>
        <row r="45">
          <cell r="D45">
            <v>-2550000</v>
          </cell>
        </row>
        <row r="46">
          <cell r="D46">
            <v>1700000</v>
          </cell>
        </row>
        <row r="47">
          <cell r="D47">
            <v>850000</v>
          </cell>
        </row>
        <row r="50">
          <cell r="C50">
            <v>-210000</v>
          </cell>
        </row>
        <row r="51">
          <cell r="C51">
            <v>450000</v>
          </cell>
        </row>
        <row r="52">
          <cell r="C52">
            <v>-240000</v>
          </cell>
        </row>
      </sheetData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évi maradvány"/>
      <sheetName val="Állami támogatás"/>
      <sheetName val="Szocágazati"/>
      <sheetName val="Testületi kezdv ei mód"/>
      <sheetName val="Polgármesteri kezd"/>
      <sheetName val="Intézményi kezd. ei mód"/>
      <sheetName val="Egyéb ei módosítás"/>
      <sheetName val="főszámok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D6">
            <v>1900000</v>
          </cell>
        </row>
      </sheetData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lltám"/>
      <sheetName val="átvettpe"/>
      <sheetName val="képvtest"/>
      <sheetName val="intkezd"/>
      <sheetName val="egyéb"/>
      <sheetName val="összefogl"/>
      <sheetName val="felújker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3">
          <cell r="H43">
            <v>10000</v>
          </cell>
          <cell r="S43">
            <v>650</v>
          </cell>
          <cell r="X43">
            <v>512</v>
          </cell>
          <cell r="Y43">
            <v>138</v>
          </cell>
          <cell r="Z43">
            <v>11966</v>
          </cell>
        </row>
        <row r="50">
          <cell r="C50">
            <v>1200</v>
          </cell>
          <cell r="E50">
            <v>-6200</v>
          </cell>
          <cell r="Q50">
            <v>5000</v>
          </cell>
          <cell r="Z50">
            <v>0</v>
          </cell>
        </row>
        <row r="58">
          <cell r="S58">
            <v>1818</v>
          </cell>
          <cell r="X58">
            <v>554</v>
          </cell>
          <cell r="Y58">
            <v>150</v>
          </cell>
          <cell r="Z58">
            <v>3698</v>
          </cell>
          <cell r="AF58">
            <v>614</v>
          </cell>
        </row>
        <row r="68">
          <cell r="S68">
            <v>11181</v>
          </cell>
          <cell r="X68">
            <v>8804</v>
          </cell>
          <cell r="Y68">
            <v>2377</v>
          </cell>
        </row>
        <row r="76">
          <cell r="F76">
            <v>800</v>
          </cell>
          <cell r="H76">
            <v>1800</v>
          </cell>
          <cell r="S76">
            <v>967</v>
          </cell>
          <cell r="X76">
            <v>761</v>
          </cell>
          <cell r="Y76">
            <v>206</v>
          </cell>
          <cell r="Z76">
            <v>2030</v>
          </cell>
          <cell r="AE76">
            <v>-550</v>
          </cell>
          <cell r="AF76">
            <v>550</v>
          </cell>
        </row>
        <row r="83">
          <cell r="F83">
            <v>1105</v>
          </cell>
          <cell r="R83">
            <v>400</v>
          </cell>
          <cell r="S83">
            <v>1203</v>
          </cell>
          <cell r="X83">
            <v>5399</v>
          </cell>
          <cell r="Y83">
            <v>1504</v>
          </cell>
          <cell r="Z83">
            <v>10227</v>
          </cell>
          <cell r="AF83">
            <v>2315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view="pageBreakPreview" zoomScale="90" zoomScaleNormal="90" zoomScaleSheetLayoutView="90" workbookViewId="0">
      <pane xSplit="2" ySplit="2" topLeftCell="C34" activePane="bottomRight" state="frozen"/>
      <selection sqref="A1:A1048576"/>
      <selection pane="topRight" sqref="A1:A1048576"/>
      <selection pane="bottomLeft" sqref="A1:A1048576"/>
      <selection pane="bottomRight" activeCell="H84" sqref="H84"/>
    </sheetView>
  </sheetViews>
  <sheetFormatPr defaultColWidth="9.28515625" defaultRowHeight="12.75" x14ac:dyDescent="0.25"/>
  <cols>
    <col min="1" max="1" width="8.28515625" style="3" customWidth="1"/>
    <col min="2" max="2" width="68.5703125" style="3" customWidth="1"/>
    <col min="3" max="5" width="15.7109375" style="3" hidden="1" customWidth="1"/>
    <col min="6" max="6" width="15.7109375" style="3" customWidth="1"/>
    <col min="7" max="7" width="14.7109375" style="3" customWidth="1"/>
    <col min="8" max="8" width="14.7109375" style="26" customWidth="1"/>
    <col min="9" max="12" width="14.7109375" style="3" customWidth="1"/>
    <col min="13" max="13" width="14.7109375" style="155" hidden="1" customWidth="1"/>
    <col min="14" max="14" width="9.28515625" style="155" hidden="1" customWidth="1"/>
    <col min="15" max="18" width="0" style="3" hidden="1" customWidth="1"/>
    <col min="19" max="16384" width="9.28515625" style="3"/>
  </cols>
  <sheetData>
    <row r="1" spans="1:17" ht="29.25" customHeight="1" x14ac:dyDescent="0.25">
      <c r="A1" s="188"/>
      <c r="B1" s="189" t="s">
        <v>11</v>
      </c>
      <c r="C1" s="192" t="s">
        <v>162</v>
      </c>
      <c r="D1" s="192"/>
      <c r="E1" s="192"/>
      <c r="F1" s="190" t="s">
        <v>173</v>
      </c>
      <c r="G1" s="190"/>
      <c r="H1" s="190"/>
      <c r="I1" s="190"/>
      <c r="J1" s="190"/>
      <c r="K1" s="190"/>
      <c r="L1" s="191"/>
      <c r="M1" s="186" t="s">
        <v>189</v>
      </c>
      <c r="N1" s="187"/>
    </row>
    <row r="2" spans="1:17" ht="46.5" customHeight="1" x14ac:dyDescent="0.25">
      <c r="A2" s="188"/>
      <c r="B2" s="189"/>
      <c r="C2" s="45" t="s">
        <v>118</v>
      </c>
      <c r="D2" s="45" t="s">
        <v>150</v>
      </c>
      <c r="E2" s="45" t="s">
        <v>10</v>
      </c>
      <c r="F2" s="185" t="s">
        <v>118</v>
      </c>
      <c r="G2" s="45" t="s">
        <v>150</v>
      </c>
      <c r="H2" s="45" t="s">
        <v>10</v>
      </c>
      <c r="I2" s="45" t="s">
        <v>185</v>
      </c>
      <c r="J2" s="45" t="s">
        <v>192</v>
      </c>
      <c r="K2" s="183" t="s">
        <v>193</v>
      </c>
      <c r="L2" s="44" t="s">
        <v>186</v>
      </c>
      <c r="M2" s="159" t="s">
        <v>190</v>
      </c>
      <c r="N2" s="160" t="s">
        <v>191</v>
      </c>
    </row>
    <row r="3" spans="1:17" s="4" customFormat="1" ht="16.5" customHeight="1" x14ac:dyDescent="0.25">
      <c r="A3" s="47" t="s">
        <v>0</v>
      </c>
      <c r="B3" s="48" t="s">
        <v>91</v>
      </c>
      <c r="C3" s="37">
        <f t="shared" ref="C3:L3" si="0">C6+C7+C8+C15+C27+C31+C32</f>
        <v>5463440.3499999996</v>
      </c>
      <c r="D3" s="37">
        <f t="shared" si="0"/>
        <v>986840</v>
      </c>
      <c r="E3" s="37">
        <f t="shared" si="0"/>
        <v>6450280.3499999996</v>
      </c>
      <c r="F3" s="37">
        <f t="shared" si="0"/>
        <v>4756032.3266929137</v>
      </c>
      <c r="G3" s="37">
        <f t="shared" si="0"/>
        <v>841608</v>
      </c>
      <c r="H3" s="37">
        <f t="shared" si="0"/>
        <v>5597640.3266929137</v>
      </c>
      <c r="I3" s="37">
        <f t="shared" si="0"/>
        <v>38290</v>
      </c>
      <c r="J3" s="37">
        <f t="shared" si="0"/>
        <v>25120</v>
      </c>
      <c r="K3" s="37">
        <f t="shared" si="0"/>
        <v>101596.89</v>
      </c>
      <c r="L3" s="37">
        <f t="shared" si="0"/>
        <v>5762647.2166929143</v>
      </c>
      <c r="M3" s="37">
        <f>M6+M7+M8+M15+M27+M31+M32</f>
        <v>2722269.6530000004</v>
      </c>
      <c r="N3" s="161">
        <f t="shared" ref="N3:N9" si="1">M3/L3</f>
        <v>0.47239915105583452</v>
      </c>
    </row>
    <row r="4" spans="1:17" ht="16.5" customHeight="1" x14ac:dyDescent="0.25">
      <c r="A4" s="50" t="s">
        <v>92</v>
      </c>
      <c r="B4" s="50" t="s">
        <v>12</v>
      </c>
      <c r="C4" s="31">
        <v>1383056</v>
      </c>
      <c r="D4" s="31">
        <f>'PH 2b'!C4+'SZEI 2c'!C4+'PMK 2d'!C4+'FMC 2e'!C4+'Óvoda 2f'!C4+'Bölcsőde 2g'!C4+'Gondozási 2h'!C4</f>
        <v>9387</v>
      </c>
      <c r="E4" s="31">
        <f>C4+D4</f>
        <v>1392443</v>
      </c>
      <c r="F4" s="31">
        <v>1428547</v>
      </c>
      <c r="G4" s="31">
        <f>'PH 2b'!F4+'SZEI 2c'!H4+'PMK 2d'!I4+'FMC 2e'!I4+'Óvoda 2f'!J4+'Bölcsőde 2g'!I4+'Gondozási 2h'!H4</f>
        <v>0</v>
      </c>
      <c r="H4" s="31">
        <f>F4+G4</f>
        <v>1428547</v>
      </c>
      <c r="I4" s="31">
        <f>'Önk 2a'!J4+'PH 2b'!H4+'SZEI 2c'!J4+'PMK 2d'!K4+'FMC 2e'!K4+'Óvoda 2f'!L4+'Bölcsőde 2g'!K4+'Gondozási 2h'!J4</f>
        <v>11133</v>
      </c>
      <c r="J4" s="31">
        <f>'Önk 2a'!K4+'PH 2b'!I4+'SZEI 2c'!K4+'PMK 2d'!L4+'FMC 2e'!L4+'Óvoda 2f'!M4+'Bölcsőde 2g'!L4+'Gondozási 2h'!K4</f>
        <v>21499</v>
      </c>
      <c r="K4" s="31">
        <f>'Önk 2a'!L4</f>
        <v>26303.958999999999</v>
      </c>
      <c r="L4" s="12">
        <f>H4+I4+J4+K4</f>
        <v>1487482.959</v>
      </c>
      <c r="M4" s="141">
        <f>+'Önk 2a'!N4+'PH 2b'!L4+'SZEI 2c'!N4+'PMK 2d'!O4+'FMC 2e'!O4+'Óvoda 2f'!P4+'Bölcsőde 2g'!O4+'Gondozási 2h'!N4</f>
        <v>800509.02800000005</v>
      </c>
      <c r="N4" s="162">
        <f t="shared" si="1"/>
        <v>0.53816349502125627</v>
      </c>
    </row>
    <row r="5" spans="1:17" ht="16.5" customHeight="1" x14ac:dyDescent="0.25">
      <c r="A5" s="50" t="s">
        <v>163</v>
      </c>
      <c r="B5" s="50" t="s">
        <v>164</v>
      </c>
      <c r="C5" s="31">
        <v>31394</v>
      </c>
      <c r="D5" s="31">
        <f>'PH 2b'!C5+'SZEI 2c'!C5+'PMK 2d'!C5+'FMC 2e'!C5+'Óvoda 2f'!C5+'Bölcsőde 2g'!C5+'Gondozási 2h'!C5</f>
        <v>561279</v>
      </c>
      <c r="E5" s="31">
        <f>C5+D5</f>
        <v>592673</v>
      </c>
      <c r="F5" s="31">
        <v>39610</v>
      </c>
      <c r="G5" s="31">
        <f>'PH 2b'!F5+'SZEI 2c'!H5+'PMK 2d'!I5+'FMC 2e'!I5+'Óvoda 2f'!J5+'Bölcsőde 2g'!I5+'Gondozási 2h'!H5</f>
        <v>567579</v>
      </c>
      <c r="H5" s="31">
        <f>F5+G5</f>
        <v>607189</v>
      </c>
      <c r="I5" s="31">
        <f>'Önk 2a'!J5+'PH 2b'!H5+'SZEI 2c'!J5+'PMK 2d'!K5+'FMC 2e'!K5+'Óvoda 2f'!L5+'Bölcsőde 2g'!K5+'Gondozási 2h'!J5</f>
        <v>3048</v>
      </c>
      <c r="J5" s="31">
        <f>'Önk 2a'!K5+'PH 2b'!I5+'SZEI 2c'!K5+'PMK 2d'!L5+'FMC 2e'!L5+'Óvoda 2f'!M5+'Bölcsőde 2g'!L5+'Gondozási 2h'!K5</f>
        <v>-1700</v>
      </c>
      <c r="K5" s="31">
        <f>'Önk 2a'!L5+'PH 2b'!J5+'SZEI 2c'!L5+'PMK 2d'!M5+'FMC 2e'!M5+'Óvoda 2f'!N5+'Bölcsőde 2g'!M5+'Gondozási 2h'!L5</f>
        <v>16890.900000000001</v>
      </c>
      <c r="L5" s="12">
        <f>H5+I5+J5+K5</f>
        <v>625427.9</v>
      </c>
      <c r="M5" s="141">
        <f>+'Önk 2a'!N5+'PH 2b'!L5+'SZEI 2c'!N5+'PMK 2d'!O5+'FMC 2e'!O5+'Óvoda 2f'!P5+'Bölcsőde 2g'!O5+'Gondozási 2h'!N5</f>
        <v>286244.33399999997</v>
      </c>
      <c r="N5" s="162">
        <f t="shared" si="1"/>
        <v>0.45767759001477221</v>
      </c>
    </row>
    <row r="6" spans="1:17" ht="16.5" customHeight="1" x14ac:dyDescent="0.25">
      <c r="A6" s="51" t="s">
        <v>93</v>
      </c>
      <c r="B6" s="51" t="s">
        <v>13</v>
      </c>
      <c r="C6" s="29">
        <f t="shared" ref="C6:H6" si="2">SUM(C4:C5)</f>
        <v>1414450</v>
      </c>
      <c r="D6" s="29">
        <f t="shared" si="2"/>
        <v>570666</v>
      </c>
      <c r="E6" s="29">
        <f t="shared" si="2"/>
        <v>1985116</v>
      </c>
      <c r="F6" s="29">
        <f t="shared" si="2"/>
        <v>1468157</v>
      </c>
      <c r="G6" s="29">
        <f t="shared" si="2"/>
        <v>567579</v>
      </c>
      <c r="H6" s="29">
        <f t="shared" si="2"/>
        <v>2035736</v>
      </c>
      <c r="I6" s="29">
        <f>SUM(I4:I5)</f>
        <v>14181</v>
      </c>
      <c r="J6" s="29">
        <f>SUM(J4:J5)</f>
        <v>19799</v>
      </c>
      <c r="K6" s="29">
        <f>SUM(K4:K5)</f>
        <v>43194.858999999997</v>
      </c>
      <c r="L6" s="29">
        <f>SUM(L4:L5)</f>
        <v>2112910.8590000002</v>
      </c>
      <c r="M6" s="29">
        <f>M4+M5</f>
        <v>1086753.362</v>
      </c>
      <c r="N6" s="163">
        <f t="shared" si="1"/>
        <v>0.51433942770039021</v>
      </c>
      <c r="O6" s="163">
        <f>M6/M3</f>
        <v>0.39920856510389191</v>
      </c>
    </row>
    <row r="7" spans="1:17" s="4" customFormat="1" ht="16.5" customHeight="1" x14ac:dyDescent="0.25">
      <c r="A7" s="51" t="s">
        <v>94</v>
      </c>
      <c r="B7" s="51" t="s">
        <v>14</v>
      </c>
      <c r="C7" s="91">
        <v>1067671</v>
      </c>
      <c r="D7" s="29">
        <f>'PH 2b'!C7+'SZEI 2c'!C7+'PMK 2d'!C7+'FMC 2e'!C7+'Óvoda 2f'!C7+'Bölcsőde 2g'!C7+'Gondozási 2h'!C7</f>
        <v>90557</v>
      </c>
      <c r="E7" s="29">
        <f>C7+D7</f>
        <v>1158228</v>
      </c>
      <c r="F7" s="29">
        <v>64300</v>
      </c>
      <c r="G7" s="29">
        <f>'PH 2b'!F7+'SZEI 2c'!H7+'PMK 2d'!I7+'FMC 2e'!I7+'Óvoda 2f'!J7+'Bölcsőde 2g'!I7+'Gondozási 2h'!H7</f>
        <v>9000</v>
      </c>
      <c r="H7" s="29">
        <f>F7+G7</f>
        <v>73300</v>
      </c>
      <c r="I7" s="29">
        <f>'Önk 2a'!J7+'PH 2b'!H7+'SZEI 2c'!J7+'PMK 2d'!K7+'FMC 2e'!K7+'Óvoda 2f'!L7+'Bölcsőde 2g'!K7+'Gondozási 2h'!J7</f>
        <v>0</v>
      </c>
      <c r="J7" s="29">
        <f>'Önk 2a'!K7+'PH 2b'!I7+'SZEI 2c'!K7+'PMK 2d'!L7+'FMC 2e'!L7+'Óvoda 2f'!M7+'Bölcsőde 2g'!L7+'Gondozási 2h'!K7</f>
        <v>0</v>
      </c>
      <c r="K7" s="29">
        <f>'Önk 2a'!L7+'PH 2b'!J7+'SZEI 2c'!L7+'PMK 2d'!M7+'FMC 2e'!M7+'Óvoda 2f'!N7+'Bölcsőde 2g'!M7+'Gondozási 2h'!L7</f>
        <v>14340</v>
      </c>
      <c r="L7" s="13">
        <f>H7+I7+J7+K7</f>
        <v>87640</v>
      </c>
      <c r="M7" s="157">
        <f>+'Önk 2a'!N7+'PH 2b'!L7+'SZEI 2c'!N7+'PMK 2d'!O7+'FMC 2e'!O7+'Óvoda 2f'!P7+'Bölcsőde 2g'!O7+'Gondozási 2h'!N7</f>
        <v>29626.87</v>
      </c>
      <c r="N7" s="164">
        <f t="shared" si="1"/>
        <v>0.33805191693290731</v>
      </c>
    </row>
    <row r="8" spans="1:17" s="4" customFormat="1" ht="16.5" customHeight="1" x14ac:dyDescent="0.25">
      <c r="A8" s="51" t="s">
        <v>95</v>
      </c>
      <c r="B8" s="52" t="s">
        <v>4</v>
      </c>
      <c r="C8" s="29">
        <f t="shared" ref="C8:L8" si="3">SUM(C9,C10,C14)</f>
        <v>1926600</v>
      </c>
      <c r="D8" s="29">
        <f t="shared" si="3"/>
        <v>1200</v>
      </c>
      <c r="E8" s="29">
        <f t="shared" si="3"/>
        <v>1927800</v>
      </c>
      <c r="F8" s="29">
        <f t="shared" si="3"/>
        <v>2130000</v>
      </c>
      <c r="G8" s="29">
        <f t="shared" si="3"/>
        <v>210</v>
      </c>
      <c r="H8" s="29">
        <f t="shared" si="3"/>
        <v>2130210</v>
      </c>
      <c r="I8" s="29">
        <f t="shared" si="3"/>
        <v>0</v>
      </c>
      <c r="J8" s="29">
        <f t="shared" si="3"/>
        <v>190</v>
      </c>
      <c r="K8" s="29">
        <f t="shared" si="3"/>
        <v>-210</v>
      </c>
      <c r="L8" s="29">
        <f t="shared" si="3"/>
        <v>2130190</v>
      </c>
      <c r="M8" s="29">
        <f>SUM(M9,M10,M14)</f>
        <v>1100904.0000000002</v>
      </c>
      <c r="N8" s="163">
        <f t="shared" si="1"/>
        <v>0.51681023758444089</v>
      </c>
    </row>
    <row r="9" spans="1:17" ht="16.5" hidden="1" customHeight="1" x14ac:dyDescent="0.25">
      <c r="A9" s="50" t="s">
        <v>96</v>
      </c>
      <c r="B9" s="53" t="s">
        <v>127</v>
      </c>
      <c r="C9" s="31">
        <v>550000</v>
      </c>
      <c r="D9" s="31">
        <f>'PH 2b'!C9+'SZEI 2c'!C9+'PMK 2d'!C9+'FMC 2e'!C9+'Óvoda 2f'!C9+'Bölcsőde 2g'!C9+'Gondozási 2h'!C9</f>
        <v>0</v>
      </c>
      <c r="E9" s="31">
        <f>C9+D9</f>
        <v>550000</v>
      </c>
      <c r="F9" s="31">
        <v>670000</v>
      </c>
      <c r="G9" s="31">
        <f>'PH 2b'!F9+'SZEI 2c'!H9+'PMK 2d'!I9+'FMC 2e'!I9+'Óvoda 2f'!J9+'Bölcsőde 2g'!I9+'Gondozási 2h'!H9</f>
        <v>0</v>
      </c>
      <c r="H9" s="31">
        <f>F9+G9</f>
        <v>670000</v>
      </c>
      <c r="I9" s="31">
        <f>'Önk 2a'!J9+'PH 2b'!H9+'SZEI 2c'!J9+'PMK 2d'!K9+'FMC 2e'!K9+'Óvoda 2f'!L9+'Bölcsőde 2g'!K9+'Gondozási 2h'!J9</f>
        <v>0</v>
      </c>
      <c r="J9" s="31">
        <f>'Önk 2a'!K9+'PH 2b'!I9+'SZEI 2c'!K9+'PMK 2d'!L9+'FMC 2e'!L9+'Óvoda 2f'!M9+'Bölcsőde 2g'!L9+'Gondozási 2h'!K9</f>
        <v>0</v>
      </c>
      <c r="K9" s="31">
        <f>'Önk 2a'!L9</f>
        <v>0</v>
      </c>
      <c r="L9" s="12">
        <f>H9+I9+J9+K9</f>
        <v>670000</v>
      </c>
      <c r="M9" s="141">
        <f>'Önk 2a'!N9+'PH 2b'!L9+'SZEI 2c'!N9+'PMK 2d'!O9+'FMC 2e'!O9+'Óvoda 2f'!P9+'Bölcsőde 2g'!O9+'Gondozási 2h'!N9</f>
        <v>384834.799</v>
      </c>
      <c r="N9" s="162">
        <f t="shared" si="1"/>
        <v>0.57438029701492532</v>
      </c>
    </row>
    <row r="10" spans="1:17" ht="16.5" hidden="1" customHeight="1" x14ac:dyDescent="0.25">
      <c r="A10" s="50" t="s">
        <v>125</v>
      </c>
      <c r="B10" s="53" t="s">
        <v>126</v>
      </c>
      <c r="C10" s="31">
        <v>1355200</v>
      </c>
      <c r="D10" s="31">
        <f>'PH 2b'!C10+'SZEI 2c'!C10+'PMK 2d'!C10+'FMC 2e'!C10+'Óvoda 2f'!C10+'Bölcsőde 2g'!C10+'Gondozási 2h'!C10</f>
        <v>0</v>
      </c>
      <c r="E10" s="31">
        <f>SUM(E11:E13)</f>
        <v>1355200</v>
      </c>
      <c r="F10" s="31">
        <v>1425000</v>
      </c>
      <c r="G10" s="31">
        <f>SUM(G11:G13)</f>
        <v>0</v>
      </c>
      <c r="H10" s="31">
        <f>SUM(H11:H13)</f>
        <v>1425000</v>
      </c>
      <c r="I10" s="31">
        <f t="shared" ref="I10:L10" si="4">SUM(I11:I13)</f>
        <v>0</v>
      </c>
      <c r="J10" s="31">
        <f t="shared" si="4"/>
        <v>0</v>
      </c>
      <c r="K10" s="31">
        <f>'Önk 2a'!L11</f>
        <v>0</v>
      </c>
      <c r="L10" s="31">
        <f t="shared" si="4"/>
        <v>1425000</v>
      </c>
      <c r="M10" s="31">
        <f>SUM(M11:M13)</f>
        <v>704764.02300000004</v>
      </c>
      <c r="N10" s="162">
        <f t="shared" ref="N10:N14" si="5">M10/L10</f>
        <v>0.49457124421052634</v>
      </c>
    </row>
    <row r="11" spans="1:17" ht="16.5" hidden="1" customHeight="1" x14ac:dyDescent="0.25">
      <c r="A11" s="50" t="s">
        <v>97</v>
      </c>
      <c r="B11" s="53" t="s">
        <v>128</v>
      </c>
      <c r="C11" s="31">
        <v>1250000</v>
      </c>
      <c r="D11" s="31">
        <f>'PH 2b'!C11+'SZEI 2c'!C11+'PMK 2d'!C11+'FMC 2e'!C11+'Óvoda 2f'!C11+'Bölcsőde 2g'!C11+'Gondozási 2h'!C11</f>
        <v>0</v>
      </c>
      <c r="E11" s="31">
        <f>C11+D11</f>
        <v>1250000</v>
      </c>
      <c r="F11" s="31">
        <v>1300000</v>
      </c>
      <c r="G11" s="31">
        <f>'PH 2b'!F11+'SZEI 2c'!H11+'PMK 2d'!I11+'FMC 2e'!I11+'Óvoda 2f'!J11+'Bölcsőde 2g'!I11+'Gondozási 2h'!H11</f>
        <v>0</v>
      </c>
      <c r="H11" s="31">
        <f>F11+G11</f>
        <v>1300000</v>
      </c>
      <c r="I11" s="31">
        <f>'Önk 2a'!J11+'PH 2b'!H11+'SZEI 2c'!J11+'PMK 2d'!K11+'FMC 2e'!K11+'Óvoda 2f'!L11+'Bölcsőde 2g'!K11+'Gondozási 2h'!J11</f>
        <v>0</v>
      </c>
      <c r="J11" s="31">
        <f>'Önk 2a'!K11+'PH 2b'!I11+'SZEI 2c'!K11+'PMK 2d'!L11+'FMC 2e'!L11+'Óvoda 2f'!M11+'Bölcsőde 2g'!L11+'Gondozási 2h'!K11</f>
        <v>0</v>
      </c>
      <c r="K11" s="31">
        <f>'Önk 2a'!L11</f>
        <v>0</v>
      </c>
      <c r="L11" s="12">
        <f>H11+I11+J11+K11</f>
        <v>1300000</v>
      </c>
      <c r="M11" s="141">
        <f>'Önk 2a'!N11+'PH 2b'!L11+'SZEI 2c'!N11+'PMK 2d'!O11+'FMC 2e'!O11+'Óvoda 2f'!P11+'Bölcsőde 2g'!O11+'Gondozási 2h'!N11</f>
        <v>633592.14899999998</v>
      </c>
      <c r="N11" s="162">
        <f t="shared" si="5"/>
        <v>0.48737857615384611</v>
      </c>
    </row>
    <row r="12" spans="1:17" ht="16.5" hidden="1" customHeight="1" x14ac:dyDescent="0.25">
      <c r="A12" s="50" t="s">
        <v>98</v>
      </c>
      <c r="B12" s="53" t="s">
        <v>17</v>
      </c>
      <c r="C12" s="31">
        <v>92000</v>
      </c>
      <c r="D12" s="31">
        <f>'PH 2b'!C12+'SZEI 2c'!C12+'PMK 2d'!C12+'FMC 2e'!C12+'Óvoda 2f'!C12+'Bölcsőde 2g'!C12+'Gondozási 2h'!C12</f>
        <v>0</v>
      </c>
      <c r="E12" s="31">
        <f>C12+D12</f>
        <v>92000</v>
      </c>
      <c r="F12" s="31">
        <v>110000</v>
      </c>
      <c r="G12" s="31">
        <f>'PH 2b'!F12+'SZEI 2c'!H12+'PMK 2d'!I12+'FMC 2e'!I12+'Óvoda 2f'!J12+'Bölcsőde 2g'!I12+'Gondozási 2h'!H12</f>
        <v>0</v>
      </c>
      <c r="H12" s="31">
        <f>F12+G12</f>
        <v>110000</v>
      </c>
      <c r="I12" s="31">
        <f>'Önk 2a'!J12+'PH 2b'!H12+'SZEI 2c'!J12+'PMK 2d'!K12+'FMC 2e'!K12+'Óvoda 2f'!L12+'Bölcsőde 2g'!K12+'Gondozási 2h'!J12</f>
        <v>0</v>
      </c>
      <c r="J12" s="31">
        <f>'Önk 2a'!K12+'PH 2b'!I12+'SZEI 2c'!K12+'PMK 2d'!L12+'FMC 2e'!L12+'Óvoda 2f'!M12+'Bölcsőde 2g'!L12+'Gondozási 2h'!K12</f>
        <v>0</v>
      </c>
      <c r="K12" s="31">
        <f>'Önk 2a'!L12</f>
        <v>0</v>
      </c>
      <c r="L12" s="12">
        <f>H12+I12+J12+K12</f>
        <v>110000</v>
      </c>
      <c r="M12" s="141">
        <f>'Önk 2a'!N12+'PH 2b'!L12+'SZEI 2c'!N12+'PMK 2d'!O12+'FMC 2e'!O12+'Óvoda 2f'!P12+'Bölcsőde 2g'!O12+'Gondozási 2h'!N12</f>
        <v>65575.987999999998</v>
      </c>
      <c r="N12" s="162">
        <f t="shared" si="5"/>
        <v>0.59614534545454545</v>
      </c>
    </row>
    <row r="13" spans="1:17" ht="16.5" hidden="1" customHeight="1" x14ac:dyDescent="0.25">
      <c r="A13" s="50" t="s">
        <v>99</v>
      </c>
      <c r="B13" s="50" t="s">
        <v>129</v>
      </c>
      <c r="C13" s="31">
        <v>13200</v>
      </c>
      <c r="D13" s="31">
        <f>'PH 2b'!C13+'SZEI 2c'!C13+'PMK 2d'!C13+'FMC 2e'!C13+'Óvoda 2f'!C13+'Bölcsőde 2g'!C13+'Gondozási 2h'!C13</f>
        <v>0</v>
      </c>
      <c r="E13" s="31">
        <f>C13+D13</f>
        <v>13200</v>
      </c>
      <c r="F13" s="31">
        <v>15000</v>
      </c>
      <c r="G13" s="31">
        <f>'PH 2b'!F13+'SZEI 2c'!H13+'PMK 2d'!I13+'FMC 2e'!I13+'Óvoda 2f'!J13+'Bölcsőde 2g'!I13+'Gondozási 2h'!H13</f>
        <v>0</v>
      </c>
      <c r="H13" s="31">
        <f>F13+G13</f>
        <v>15000</v>
      </c>
      <c r="I13" s="31">
        <f>'Önk 2a'!J13+'PH 2b'!H13+'SZEI 2c'!J13+'PMK 2d'!K13+'FMC 2e'!K13+'Óvoda 2f'!L13+'Bölcsőde 2g'!K13+'Gondozási 2h'!J13</f>
        <v>0</v>
      </c>
      <c r="J13" s="31">
        <f>'Önk 2a'!K13+'PH 2b'!I13+'SZEI 2c'!K13+'PMK 2d'!L13+'FMC 2e'!L13+'Óvoda 2f'!M13+'Bölcsőde 2g'!L13+'Gondozási 2h'!K13</f>
        <v>0</v>
      </c>
      <c r="K13" s="31">
        <f>'Önk 2a'!L13</f>
        <v>0</v>
      </c>
      <c r="L13" s="12">
        <f>H13+I13+J13+K13</f>
        <v>15000</v>
      </c>
      <c r="M13" s="141">
        <f>'Önk 2a'!N13+'PH 2b'!L13+'SZEI 2c'!N13+'PMK 2d'!O13+'FMC 2e'!O13+'Óvoda 2f'!P13+'Bölcsőde 2g'!O13+'Gondozási 2h'!N13</f>
        <v>5595.8860000000004</v>
      </c>
      <c r="N13" s="162">
        <f t="shared" si="5"/>
        <v>0.37305906666666672</v>
      </c>
    </row>
    <row r="14" spans="1:17" ht="16.5" hidden="1" customHeight="1" x14ac:dyDescent="0.25">
      <c r="A14" s="50" t="s">
        <v>100</v>
      </c>
      <c r="B14" s="50" t="s">
        <v>130</v>
      </c>
      <c r="C14" s="31">
        <v>21400</v>
      </c>
      <c r="D14" s="31">
        <f>'PH 2b'!C14+'SZEI 2c'!C14+'PMK 2d'!C14+'FMC 2e'!C14+'Óvoda 2f'!C14+'Bölcsőde 2g'!C14+'Gondozási 2h'!C14</f>
        <v>1200</v>
      </c>
      <c r="E14" s="31">
        <f>C14+D14</f>
        <v>22600</v>
      </c>
      <c r="F14" s="31">
        <v>35000</v>
      </c>
      <c r="G14" s="31">
        <f>'PH 2b'!F14+'SZEI 2c'!H14+'PMK 2d'!I14+'FMC 2e'!I14+'Óvoda 2f'!J14+'Bölcsőde 2g'!I14+'Gondozási 2h'!H14</f>
        <v>210</v>
      </c>
      <c r="H14" s="31">
        <f>F14+G14</f>
        <v>35210</v>
      </c>
      <c r="I14" s="31">
        <f>'Önk 2a'!J14+'PH 2b'!H14+'SZEI 2c'!J14+'PMK 2d'!K14+'FMC 2e'!K14+'Óvoda 2f'!L14+'Bölcsőde 2g'!K14+'Gondozási 2h'!J14</f>
        <v>0</v>
      </c>
      <c r="J14" s="31">
        <f>'Önk 2a'!K14+'PH 2b'!I14+'SZEI 2c'!K14+'PMK 2d'!L14+'FMC 2e'!L14+'Óvoda 2f'!M14+'Bölcsőde 2g'!L14+'Gondozási 2h'!K14</f>
        <v>190</v>
      </c>
      <c r="K14" s="31">
        <f>'Önk 2a'!L14+'PH 2b'!J14</f>
        <v>-210</v>
      </c>
      <c r="L14" s="12">
        <f>H14+I14+J14+K14</f>
        <v>35190</v>
      </c>
      <c r="M14" s="141">
        <f>'Önk 2a'!N14+'PH 2b'!L14+'SZEI 2c'!N14+'PMK 2d'!O14+'FMC 2e'!O14+'Óvoda 2f'!P14+'Bölcsőde 2g'!O14+'Gondozási 2h'!N14</f>
        <v>11305.178</v>
      </c>
      <c r="N14" s="162">
        <f t="shared" si="5"/>
        <v>0.32126109690252913</v>
      </c>
    </row>
    <row r="15" spans="1:17" s="4" customFormat="1" ht="16.5" customHeight="1" x14ac:dyDescent="0.25">
      <c r="A15" s="51" t="s">
        <v>101</v>
      </c>
      <c r="B15" s="51" t="s">
        <v>20</v>
      </c>
      <c r="C15" s="29">
        <f t="shared" ref="C15:L15" si="6">SUM(C16:C26)</f>
        <v>624482.35</v>
      </c>
      <c r="D15" s="29">
        <f t="shared" si="6"/>
        <v>322717</v>
      </c>
      <c r="E15" s="29">
        <f t="shared" si="6"/>
        <v>947199.35</v>
      </c>
      <c r="F15" s="29">
        <f t="shared" si="6"/>
        <v>648385.82669291331</v>
      </c>
      <c r="G15" s="29">
        <f t="shared" si="6"/>
        <v>264129</v>
      </c>
      <c r="H15" s="29">
        <f t="shared" si="6"/>
        <v>912514.82669291343</v>
      </c>
      <c r="I15" s="29">
        <f t="shared" si="6"/>
        <v>3924</v>
      </c>
      <c r="J15" s="29">
        <f t="shared" si="6"/>
        <v>2707</v>
      </c>
      <c r="K15" s="29">
        <f t="shared" si="6"/>
        <v>1630</v>
      </c>
      <c r="L15" s="29">
        <f t="shared" si="6"/>
        <v>920775.82669291343</v>
      </c>
      <c r="M15" s="30">
        <f>SUM(M16:M26)</f>
        <v>412815.79899999994</v>
      </c>
      <c r="N15" s="165">
        <f>M15/L15</f>
        <v>0.44833474884183455</v>
      </c>
      <c r="O15" s="179">
        <f>'Önk 2a'!N15</f>
        <v>306558.342</v>
      </c>
      <c r="P15" s="179">
        <f>M15-O15</f>
        <v>106257.45699999994</v>
      </c>
      <c r="Q15" s="163">
        <f>P15/(G15+1615)</f>
        <v>0.39984894108615787</v>
      </c>
    </row>
    <row r="16" spans="1:17" ht="16.5" hidden="1" customHeight="1" x14ac:dyDescent="0.25">
      <c r="A16" s="53" t="s">
        <v>102</v>
      </c>
      <c r="B16" s="54" t="s">
        <v>21</v>
      </c>
      <c r="C16" s="31">
        <v>300</v>
      </c>
      <c r="D16" s="31">
        <f>'PH 2b'!C16+'SZEI 2c'!C16+'PMK 2d'!C16+'FMC 2e'!C16+'Óvoda 2f'!C16+'Bölcsőde 2g'!C16+'Gondozási 2h'!C16</f>
        <v>6000</v>
      </c>
      <c r="E16" s="31">
        <f>C16+D16</f>
        <v>6300</v>
      </c>
      <c r="F16" s="31">
        <v>0</v>
      </c>
      <c r="G16" s="31">
        <f>'PH 2b'!F16+'SZEI 2c'!H16+'PMK 2d'!I16+'FMC 2e'!I16+'Óvoda 2f'!J16+'Bölcsőde 2g'!I16+'Gondozási 2h'!H16</f>
        <v>3800</v>
      </c>
      <c r="H16" s="31">
        <f>F16+G16</f>
        <v>3800</v>
      </c>
      <c r="I16" s="31">
        <f>'Önk 2a'!J16+'PH 2b'!H16+'SZEI 2c'!J16+'PMK 2d'!K16+'FMC 2e'!K16+'Óvoda 2f'!L16+'Bölcsőde 2g'!K16+'Gondozási 2h'!J16</f>
        <v>0</v>
      </c>
      <c r="J16" s="31">
        <f>'Önk 2a'!K16+'PH 2b'!I16+'SZEI 2c'!K16+'PMK 2d'!L16+'FMC 2e'!L16+'Óvoda 2f'!M16+'Bölcsőde 2g'!L16+'Gondozási 2h'!K16</f>
        <v>0</v>
      </c>
      <c r="K16" s="31">
        <f>'Önk 2a'!L16+'PH 2b'!J16+'SZEI 2c'!L16+'FMC 2e'!M16+'Óvoda 2f'!N16+'Bölcsőde 2g'!M16+'Gondozási 2h'!L16+'PMK 2d'!M16</f>
        <v>0</v>
      </c>
      <c r="L16" s="12">
        <f t="shared" ref="L16:L26" si="7">H16+I16+J16+K16</f>
        <v>3800</v>
      </c>
      <c r="M16" s="141">
        <f>'Önk 2a'!N16+'PH 2b'!L16+'SZEI 2c'!N16+'PMK 2d'!O16+'FMC 2e'!O16+'Óvoda 2f'!P16+'Bölcsőde 2g'!O16+'Gondozási 2h'!N16</f>
        <v>806.01800000000003</v>
      </c>
      <c r="N16" s="162">
        <f>M16/L16</f>
        <v>0.21211000000000002</v>
      </c>
      <c r="P16" s="8">
        <f>G15+1616</f>
        <v>265745</v>
      </c>
      <c r="Q16" s="180">
        <f>P15/P16</f>
        <v>0.3998474364522378</v>
      </c>
    </row>
    <row r="17" spans="1:14" ht="16.5" hidden="1" customHeight="1" x14ac:dyDescent="0.25">
      <c r="A17" s="53" t="s">
        <v>103</v>
      </c>
      <c r="B17" s="54" t="s">
        <v>22</v>
      </c>
      <c r="C17" s="31">
        <v>378305</v>
      </c>
      <c r="D17" s="31">
        <f>'PH 2b'!C17+'SZEI 2c'!C17+'PMK 2d'!C17+'FMC 2e'!C17+'Óvoda 2f'!C17+'Bölcsőde 2g'!C17+'Gondozási 2h'!C17</f>
        <v>162123</v>
      </c>
      <c r="E17" s="31">
        <f t="shared" ref="E17:E26" si="8">C17+D17</f>
        <v>540428</v>
      </c>
      <c r="F17" s="31">
        <v>401022</v>
      </c>
      <c r="G17" s="31">
        <f>'PH 2b'!F17+'SZEI 2c'!H17+'PMK 2d'!I17+'FMC 2e'!I17+'Óvoda 2f'!J17+'Bölcsőde 2g'!I17+'Gondozási 2h'!H17</f>
        <v>143468</v>
      </c>
      <c r="H17" s="31">
        <f t="shared" ref="H17:H26" si="9">F17+G17</f>
        <v>544490</v>
      </c>
      <c r="I17" s="31">
        <f>'Önk 2a'!J17+'PH 2b'!H17+'SZEI 2c'!J17+'PMK 2d'!K17+'FMC 2e'!K17+'Óvoda 2f'!L17+'Bölcsőde 2g'!K17+'Gondozási 2h'!J17</f>
        <v>-3</v>
      </c>
      <c r="J17" s="31">
        <f>'Önk 2a'!K17+'PH 2b'!I17+'SZEI 2c'!K17+'PMK 2d'!L17+'FMC 2e'!L17+'Óvoda 2f'!M17+'Bölcsőde 2g'!L17+'Gondozási 2h'!K17</f>
        <v>1700</v>
      </c>
      <c r="K17" s="31">
        <f>'Önk 2a'!L17+'PH 2b'!J17+'SZEI 2c'!L17+'PMK 2d'!M17+'FMC 2e'!M17+'Óvoda 2f'!N17+'Bölcsőde 2g'!M17+'Gondozási 2h'!L17</f>
        <v>450</v>
      </c>
      <c r="L17" s="12">
        <f t="shared" si="7"/>
        <v>546637</v>
      </c>
      <c r="M17" s="141">
        <f>'Önk 2a'!N17+'PH 2b'!L17+'SZEI 2c'!N17+'PMK 2d'!O17+'FMC 2e'!O17+'Óvoda 2f'!P17+'Bölcsőde 2g'!O17+'Gondozási 2h'!N17</f>
        <v>251570.16499999998</v>
      </c>
      <c r="N17" s="162">
        <f t="shared" ref="N17:N26" si="10">M17/L17</f>
        <v>0.46021430126391</v>
      </c>
    </row>
    <row r="18" spans="1:14" ht="16.5" hidden="1" customHeight="1" x14ac:dyDescent="0.25">
      <c r="A18" s="53" t="s">
        <v>104</v>
      </c>
      <c r="B18" s="54" t="s">
        <v>23</v>
      </c>
      <c r="C18" s="31">
        <v>21100</v>
      </c>
      <c r="D18" s="31">
        <f>'PH 2b'!C18+'SZEI 2c'!C18+'PMK 2d'!C18+'FMC 2e'!C18+'Óvoda 2f'!C18+'Bölcsőde 2g'!C18+'Gondozási 2h'!C18</f>
        <v>4240</v>
      </c>
      <c r="E18" s="31">
        <f t="shared" si="8"/>
        <v>25340</v>
      </c>
      <c r="F18" s="31">
        <v>51346.456692913387</v>
      </c>
      <c r="G18" s="31">
        <f>'PH 2b'!F18+'SZEI 2c'!H18+'PMK 2d'!I18+'FMC 2e'!I18+'Óvoda 2f'!J18+'Bölcsőde 2g'!I18+'Gondozási 2h'!H18</f>
        <v>3350</v>
      </c>
      <c r="H18" s="31">
        <f t="shared" si="9"/>
        <v>54696.456692913387</v>
      </c>
      <c r="I18" s="31">
        <f>'Önk 2a'!J18+'PH 2b'!H18+'SZEI 2c'!J18+'PMK 2d'!K18+'FMC 2e'!K18+'Óvoda 2f'!L18+'Bölcsőde 2g'!K18+'Gondozási 2h'!J18</f>
        <v>0</v>
      </c>
      <c r="J18" s="31">
        <f>'Önk 2a'!K18+'PH 2b'!I18+'SZEI 2c'!K18+'PMK 2d'!L18+'FMC 2e'!L18+'Óvoda 2f'!M18+'Bölcsőde 2g'!L18+'Gondozási 2h'!K18</f>
        <v>0</v>
      </c>
      <c r="K18" s="31">
        <f>'Önk 2a'!L18+'PH 2b'!J18+'SZEI 2c'!L18+'PMK 2d'!M18+'FMC 2e'!M18+'Óvoda 2f'!N18+'Bölcsőde 2g'!M18+'Gondozási 2h'!L18</f>
        <v>0</v>
      </c>
      <c r="L18" s="12">
        <f t="shared" si="7"/>
        <v>54696.456692913387</v>
      </c>
      <c r="M18" s="141">
        <f>'Önk 2a'!N18+'PH 2b'!L18+'SZEI 2c'!N18+'PMK 2d'!O18+'FMC 2e'!O18+'Óvoda 2f'!P18+'Bölcsőde 2g'!O18+'Gondozási 2h'!N18</f>
        <v>13151.673000000001</v>
      </c>
      <c r="N18" s="162">
        <f t="shared" si="10"/>
        <v>0.24044835433926684</v>
      </c>
    </row>
    <row r="19" spans="1:14" ht="16.5" hidden="1" customHeight="1" x14ac:dyDescent="0.25">
      <c r="A19" s="53" t="s">
        <v>105</v>
      </c>
      <c r="B19" s="54" t="s">
        <v>24</v>
      </c>
      <c r="C19" s="31">
        <v>6600</v>
      </c>
      <c r="D19" s="31">
        <f>'PH 2b'!C19+'SZEI 2c'!C19+'PMK 2d'!C19+'FMC 2e'!C19+'Óvoda 2f'!C19+'Bölcsőde 2g'!C19+'Gondozási 2h'!C19</f>
        <v>0</v>
      </c>
      <c r="E19" s="31">
        <f t="shared" si="8"/>
        <v>6600</v>
      </c>
      <c r="F19" s="31">
        <v>4000</v>
      </c>
      <c r="G19" s="31">
        <f>'PH 2b'!F19+'SZEI 2c'!H19+'PMK 2d'!I19+'FMC 2e'!I19+'Óvoda 2f'!J19+'Bölcsőde 2g'!I19+'Gondozási 2h'!H19</f>
        <v>0</v>
      </c>
      <c r="H19" s="31">
        <f t="shared" si="9"/>
        <v>4000</v>
      </c>
      <c r="I19" s="31">
        <f>'Önk 2a'!J19+'PH 2b'!H19+'SZEI 2c'!J19+'PMK 2d'!K19+'FMC 2e'!K19+'Óvoda 2f'!L19+'Bölcsőde 2g'!K19+'Gondozási 2h'!J19</f>
        <v>0</v>
      </c>
      <c r="J19" s="31">
        <f>'Önk 2a'!K19+'PH 2b'!I19+'SZEI 2c'!K19+'PMK 2d'!L19+'FMC 2e'!L19+'Óvoda 2f'!M19+'Bölcsőde 2g'!L19+'Gondozási 2h'!K19</f>
        <v>0</v>
      </c>
      <c r="K19" s="31">
        <f>'Önk 2a'!L19+'PH 2b'!J19+'SZEI 2c'!L19+'PMK 2d'!M19+'FMC 2e'!M19+'Óvoda 2f'!N19+'Bölcsőde 2g'!M19+'Gondozási 2h'!L19</f>
        <v>0</v>
      </c>
      <c r="L19" s="12">
        <f t="shared" si="7"/>
        <v>4000</v>
      </c>
      <c r="M19" s="141">
        <f>'Önk 2a'!N19+'PH 2b'!L19+'SZEI 2c'!N19+'PMK 2d'!O19+'FMC 2e'!O19+'Óvoda 2f'!P19+'Bölcsőde 2g'!O19+'Gondozási 2h'!N19</f>
        <v>1605.6949999999999</v>
      </c>
      <c r="N19" s="162">
        <f t="shared" si="10"/>
        <v>0.40142374999999997</v>
      </c>
    </row>
    <row r="20" spans="1:14" ht="16.5" hidden="1" customHeight="1" x14ac:dyDescent="0.25">
      <c r="A20" s="53" t="s">
        <v>106</v>
      </c>
      <c r="B20" s="54" t="s">
        <v>25</v>
      </c>
      <c r="C20" s="31">
        <v>62450</v>
      </c>
      <c r="D20" s="31">
        <f>'PH 2b'!C20+'SZEI 2c'!C20+'PMK 2d'!C20+'FMC 2e'!C20+'Óvoda 2f'!C20+'Bölcsőde 2g'!C20+'Gondozási 2h'!C20</f>
        <v>60930</v>
      </c>
      <c r="E20" s="31">
        <f t="shared" si="8"/>
        <v>123380</v>
      </c>
      <c r="F20" s="31">
        <v>62599.023622047243</v>
      </c>
      <c r="G20" s="31">
        <f>'PH 2b'!F20+'SZEI 2c'!H20+'PMK 2d'!I20+'FMC 2e'!I20+'Óvoda 2f'!J20+'Bölcsőde 2g'!I20+'Gondozási 2h'!H20</f>
        <v>50074</v>
      </c>
      <c r="H20" s="31">
        <f t="shared" si="9"/>
        <v>112673.02362204724</v>
      </c>
      <c r="I20" s="31">
        <f>'Önk 2a'!J20+'PH 2b'!H20+'SZEI 2c'!J20+'PMK 2d'!K20+'FMC 2e'!K20+'Óvoda 2f'!L20+'Bölcsőde 2g'!K20+'Gondozási 2h'!J20</f>
        <v>1616</v>
      </c>
      <c r="J20" s="31">
        <f>'Önk 2a'!K20+'PH 2b'!I20+'SZEI 2c'!K20+'PMK 2d'!L20+'FMC 2e'!L20+'Óvoda 2f'!M20+'Bölcsőde 2g'!L20+'Gondozási 2h'!K20</f>
        <v>0</v>
      </c>
      <c r="K20" s="31">
        <f>'Önk 2a'!L20+'PH 2b'!J20+'SZEI 2c'!L20+'PMK 2d'!M20+'FMC 2e'!M20+'Óvoda 2f'!N20+'Bölcsőde 2g'!M20+'Gondozási 2h'!L20</f>
        <v>500</v>
      </c>
      <c r="L20" s="12">
        <f t="shared" si="7"/>
        <v>114789.02362204724</v>
      </c>
      <c r="M20" s="141">
        <f>'Önk 2a'!N20+'PH 2b'!L20+'SZEI 2c'!N20+'PMK 2d'!O20+'FMC 2e'!O20+'Óvoda 2f'!P20+'Bölcsőde 2g'!O20+'Gondozási 2h'!N20</f>
        <v>67578.922999999995</v>
      </c>
      <c r="N20" s="162">
        <f t="shared" si="10"/>
        <v>0.58872286624293824</v>
      </c>
    </row>
    <row r="21" spans="1:14" ht="16.5" hidden="1" customHeight="1" x14ac:dyDescent="0.25">
      <c r="A21" s="53" t="s">
        <v>107</v>
      </c>
      <c r="B21" s="54" t="s">
        <v>26</v>
      </c>
      <c r="C21" s="31">
        <v>125913.35</v>
      </c>
      <c r="D21" s="31">
        <f>'PH 2b'!C21+'SZEI 2c'!C21+'PMK 2d'!C21+'FMC 2e'!C21+'Óvoda 2f'!C21+'Bölcsőde 2g'!C21+'Gondozási 2h'!C21</f>
        <v>52444</v>
      </c>
      <c r="E21" s="31">
        <f t="shared" si="8"/>
        <v>178357.35</v>
      </c>
      <c r="F21" s="31">
        <v>124586.34637795277</v>
      </c>
      <c r="G21" s="31">
        <f>'PH 2b'!F21+'SZEI 2c'!H21+'PMK 2d'!I21+'FMC 2e'!I21+'Óvoda 2f'!J21+'Bölcsőde 2g'!I21+'Gondozási 2h'!H21</f>
        <v>28857</v>
      </c>
      <c r="H21" s="31">
        <f t="shared" si="9"/>
        <v>153443.34637795278</v>
      </c>
      <c r="I21" s="31">
        <f>'Önk 2a'!J21+'PH 2b'!H21+'SZEI 2c'!J21+'PMK 2d'!K21+'FMC 2e'!K21+'Óvoda 2f'!L21+'Bölcsőde 2g'!K21+'Gondozási 2h'!J21</f>
        <v>0</v>
      </c>
      <c r="J21" s="31">
        <f>'Önk 2a'!K21+'PH 2b'!I21+'SZEI 2c'!K21+'PMK 2d'!L21+'FMC 2e'!L21+'Óvoda 2f'!M21+'Bölcsőde 2g'!L21+'Gondozási 2h'!K21</f>
        <v>0</v>
      </c>
      <c r="K21" s="31">
        <f>'Önk 2a'!L21+'PH 2b'!J21+'SZEI 2c'!L21+'PMK 2d'!M21+'FMC 2e'!M21+'Óvoda 2f'!N21+'Bölcsőde 2g'!M21+'Gondozási 2h'!L21</f>
        <v>0</v>
      </c>
      <c r="L21" s="12">
        <f t="shared" si="7"/>
        <v>153443.34637795278</v>
      </c>
      <c r="M21" s="141">
        <f>'Önk 2a'!N21+'PH 2b'!L21+'SZEI 2c'!N21+'PMK 2d'!O21+'FMC 2e'!O21+'Óvoda 2f'!P21+'Bölcsőde 2g'!O21+'Gondozási 2h'!N21</f>
        <v>59795.102999999996</v>
      </c>
      <c r="N21" s="162">
        <f t="shared" si="10"/>
        <v>0.38968847077093949</v>
      </c>
    </row>
    <row r="22" spans="1:14" ht="16.5" hidden="1" customHeight="1" x14ac:dyDescent="0.25">
      <c r="A22" s="53" t="s">
        <v>108</v>
      </c>
      <c r="B22" s="54" t="s">
        <v>27</v>
      </c>
      <c r="C22" s="31">
        <v>9065</v>
      </c>
      <c r="D22" s="31">
        <f>'PH 2b'!C22+'SZEI 2c'!C22+'PMK 2d'!C22+'FMC 2e'!C22+'Óvoda 2f'!C22+'Bölcsőde 2g'!C22+'Gondozási 2h'!C22</f>
        <v>1000</v>
      </c>
      <c r="E22" s="31">
        <f t="shared" si="8"/>
        <v>10065</v>
      </c>
      <c r="F22" s="31">
        <v>0</v>
      </c>
      <c r="G22" s="31">
        <f>'PH 2b'!F22+'SZEI 2c'!H22+'PMK 2d'!I22+'FMC 2e'!I22+'Óvoda 2f'!J22+'Bölcsőde 2g'!I22+'Gondozási 2h'!H22</f>
        <v>1200</v>
      </c>
      <c r="H22" s="31">
        <f t="shared" si="9"/>
        <v>1200</v>
      </c>
      <c r="I22" s="31">
        <f>'Önk 2a'!J22+'PH 2b'!H22+'SZEI 2c'!J22+'PMK 2d'!K22+'FMC 2e'!K22+'Óvoda 2f'!L22+'Bölcsőde 2g'!K22+'Gondozási 2h'!J22</f>
        <v>0</v>
      </c>
      <c r="J22" s="31">
        <f>'Önk 2a'!K22+'PH 2b'!I22+'SZEI 2c'!K22+'PMK 2d'!L22+'FMC 2e'!L22+'Óvoda 2f'!M22+'Bölcsőde 2g'!L22+'Gondozási 2h'!K22</f>
        <v>1007</v>
      </c>
      <c r="K22" s="31">
        <f>'Önk 2a'!L22+'PH 2b'!J22+'SZEI 2c'!L22+'PMK 2d'!M22+'FMC 2e'!M22+'Óvoda 2f'!N22+'Bölcsőde 2g'!M22+'Gondozási 2h'!L22</f>
        <v>0</v>
      </c>
      <c r="L22" s="12">
        <f t="shared" si="7"/>
        <v>2207</v>
      </c>
      <c r="M22" s="141">
        <f>'Önk 2a'!N22+'PH 2b'!L22+'SZEI 2c'!N22+'PMK 2d'!O22+'FMC 2e'!O22+'Óvoda 2f'!P22+'Bölcsőde 2g'!O22+'Gondozási 2h'!N22</f>
        <v>4611.3809999999994</v>
      </c>
      <c r="N22" s="162">
        <f t="shared" si="10"/>
        <v>2.089434073402809</v>
      </c>
    </row>
    <row r="23" spans="1:14" ht="16.5" hidden="1" customHeight="1" x14ac:dyDescent="0.25">
      <c r="A23" s="53" t="s">
        <v>109</v>
      </c>
      <c r="B23" s="54" t="s">
        <v>28</v>
      </c>
      <c r="C23" s="31">
        <v>15000</v>
      </c>
      <c r="D23" s="31">
        <f>'PH 2b'!C23+'SZEI 2c'!C23+'PMK 2d'!C23+'FMC 2e'!C23+'Óvoda 2f'!C23+'Bölcsőde 2g'!C23+'Gondozási 2h'!C23</f>
        <v>85</v>
      </c>
      <c r="E23" s="31">
        <f t="shared" si="8"/>
        <v>15085</v>
      </c>
      <c r="F23" s="31">
        <v>0</v>
      </c>
      <c r="G23" s="31">
        <f>'PH 2b'!F23+'SZEI 2c'!H23+'PMK 2d'!I23+'FMC 2e'!I23+'Óvoda 2f'!J23+'Bölcsőde 2g'!I23+'Gondozási 2h'!H23</f>
        <v>85</v>
      </c>
      <c r="H23" s="31">
        <f t="shared" si="9"/>
        <v>85</v>
      </c>
      <c r="I23" s="31">
        <f>'Önk 2a'!J23+'PH 2b'!H23+'SZEI 2c'!J23+'PMK 2d'!K23+'FMC 2e'!K23+'Óvoda 2f'!L23+'Bölcsőde 2g'!K23+'Gondozási 2h'!J23</f>
        <v>0</v>
      </c>
      <c r="J23" s="31">
        <f>'Önk 2a'!K23+'PH 2b'!I23+'SZEI 2c'!K23+'PMK 2d'!L23+'FMC 2e'!L23+'Óvoda 2f'!M23+'Bölcsőde 2g'!L23+'Gondozási 2h'!K23</f>
        <v>0</v>
      </c>
      <c r="K23" s="31">
        <f>'Önk 2a'!L23+'PH 2b'!J23+'SZEI 2c'!L23+'PMK 2d'!M23+'FMC 2e'!M23+'Óvoda 2f'!N23+'Bölcsőde 2g'!M23+'Gondozási 2h'!L23</f>
        <v>0</v>
      </c>
      <c r="L23" s="12">
        <f t="shared" si="7"/>
        <v>85</v>
      </c>
      <c r="M23" s="141">
        <f>'Önk 2a'!N23+'PH 2b'!L23+'SZEI 2c'!N23+'PMK 2d'!O23+'FMC 2e'!O23+'Óvoda 2f'!P23+'Bölcsőde 2g'!O23+'Gondozási 2h'!N23</f>
        <v>3764.5879999999997</v>
      </c>
      <c r="N23" s="162">
        <f t="shared" si="10"/>
        <v>44.28927058823529</v>
      </c>
    </row>
    <row r="24" spans="1:14" ht="16.5" hidden="1" customHeight="1" x14ac:dyDescent="0.25">
      <c r="A24" s="53" t="s">
        <v>110</v>
      </c>
      <c r="B24" s="54" t="s">
        <v>29</v>
      </c>
      <c r="C24" s="31">
        <v>0</v>
      </c>
      <c r="D24" s="31">
        <f>'PH 2b'!C24+'SZEI 2c'!C24+'PMK 2d'!C24+'FMC 2e'!C24+'Óvoda 2f'!C24+'Bölcsőde 2g'!C24+'Gondozási 2h'!C24</f>
        <v>0</v>
      </c>
      <c r="E24" s="31">
        <f t="shared" si="8"/>
        <v>0</v>
      </c>
      <c r="F24" s="31">
        <v>0</v>
      </c>
      <c r="G24" s="31">
        <f>'PH 2b'!F24+'SZEI 2c'!H24+'PMK 2d'!I24+'FMC 2e'!I24+'Óvoda 2f'!J24+'Bölcsőde 2g'!I24+'Gondozási 2h'!H24</f>
        <v>0</v>
      </c>
      <c r="H24" s="31">
        <f t="shared" si="9"/>
        <v>0</v>
      </c>
      <c r="I24" s="31">
        <f>'Önk 2a'!J24+'PH 2b'!H24+'SZEI 2c'!J24+'PMK 2d'!K24+'FMC 2e'!K24+'Óvoda 2f'!L24+'Bölcsőde 2g'!K24+'Gondozási 2h'!J24</f>
        <v>0</v>
      </c>
      <c r="J24" s="31">
        <f>'Önk 2a'!K24+'PH 2b'!I24+'SZEI 2c'!K24+'PMK 2d'!L24+'FMC 2e'!L24+'Óvoda 2f'!M24+'Bölcsőde 2g'!L24+'Gondozási 2h'!K24</f>
        <v>0</v>
      </c>
      <c r="K24" s="31">
        <f>'Önk 2a'!L24+'PH 2b'!J24+'SZEI 2c'!L24+'PMK 2d'!M24+'FMC 2e'!M24+'Óvoda 2f'!N24+'Bölcsőde 2g'!M24+'Gondozási 2h'!L24</f>
        <v>0</v>
      </c>
      <c r="L24" s="12">
        <f t="shared" si="7"/>
        <v>0</v>
      </c>
      <c r="M24" s="141">
        <f>'Önk 2a'!N24+'PH 2b'!L24+'SZEI 2c'!N24+'PMK 2d'!O24+'FMC 2e'!O24+'Óvoda 2f'!P24+'Bölcsőde 2g'!O24+'Gondozási 2h'!N24</f>
        <v>0</v>
      </c>
      <c r="N24" s="162"/>
    </row>
    <row r="25" spans="1:14" ht="16.5" hidden="1" customHeight="1" x14ac:dyDescent="0.25">
      <c r="A25" s="53" t="s">
        <v>111</v>
      </c>
      <c r="B25" s="54" t="s">
        <v>177</v>
      </c>
      <c r="C25" s="31">
        <v>5749</v>
      </c>
      <c r="D25" s="31">
        <f>'PH 2b'!C25+'SZEI 2c'!C25+'PMK 2d'!C25+'FMC 2e'!C25+'Óvoda 2f'!C25+'Bölcsőde 2g'!C25+'Gondozási 2h'!C25</f>
        <v>0</v>
      </c>
      <c r="E25" s="31">
        <f t="shared" si="8"/>
        <v>5749</v>
      </c>
      <c r="F25" s="31">
        <v>0</v>
      </c>
      <c r="G25" s="31">
        <f>'PH 2b'!F25+'SZEI 2c'!H25+'PMK 2d'!I25+'FMC 2e'!I25+'Óvoda 2f'!J25+'Bölcsőde 2g'!I25+'Gondozási 2h'!H25</f>
        <v>0</v>
      </c>
      <c r="H25" s="31">
        <f t="shared" si="9"/>
        <v>0</v>
      </c>
      <c r="I25" s="31">
        <f>'Önk 2a'!J25+'PH 2b'!H25+'SZEI 2c'!J25+'PMK 2d'!K25+'FMC 2e'!K25+'Óvoda 2f'!L25+'Bölcsőde 2g'!K25+'Gondozási 2h'!J25</f>
        <v>0</v>
      </c>
      <c r="J25" s="31">
        <f>'Önk 2a'!K25+'PH 2b'!I25+'SZEI 2c'!K25+'PMK 2d'!L25+'FMC 2e'!L25+'Óvoda 2f'!M25+'Bölcsőde 2g'!L25+'Gondozási 2h'!K25</f>
        <v>0</v>
      </c>
      <c r="K25" s="31">
        <f>'Önk 2a'!L25+'PH 2b'!J25+'SZEI 2c'!L25+'PMK 2d'!M25+'FMC 2e'!M25+'Óvoda 2f'!N25+'Bölcsőde 2g'!M25+'Gondozási 2h'!L25</f>
        <v>0</v>
      </c>
      <c r="L25" s="12">
        <f t="shared" si="7"/>
        <v>0</v>
      </c>
      <c r="M25" s="141">
        <f>'Önk 2a'!N25+'PH 2b'!L25+'SZEI 2c'!N25+'PMK 2d'!O25+'FMC 2e'!O25+'Óvoda 2f'!P25+'Bölcsőde 2g'!O25+'Gondozási 2h'!N25</f>
        <v>123.935</v>
      </c>
      <c r="N25" s="162"/>
    </row>
    <row r="26" spans="1:14" ht="16.5" hidden="1" customHeight="1" x14ac:dyDescent="0.25">
      <c r="A26" s="53" t="s">
        <v>165</v>
      </c>
      <c r="B26" s="54" t="s">
        <v>30</v>
      </c>
      <c r="C26" s="31">
        <v>0</v>
      </c>
      <c r="D26" s="31">
        <f>'PH 2b'!C26+'SZEI 2c'!C26+'PMK 2d'!C26+'FMC 2e'!C26+'Óvoda 2f'!C26+'Bölcsőde 2g'!C26+'Gondozási 2h'!C26</f>
        <v>35895</v>
      </c>
      <c r="E26" s="31">
        <f t="shared" si="8"/>
        <v>35895</v>
      </c>
      <c r="F26" s="31">
        <v>4832</v>
      </c>
      <c r="G26" s="31">
        <f>'PH 2b'!F26+'SZEI 2c'!H26+'PMK 2d'!I26+'FMC 2e'!I26+'Óvoda 2f'!J26+'Bölcsőde 2g'!I26+'Gondozási 2h'!H26</f>
        <v>33295</v>
      </c>
      <c r="H26" s="31">
        <f t="shared" si="9"/>
        <v>38127</v>
      </c>
      <c r="I26" s="31">
        <f>'Önk 2a'!J26+'PH 2b'!H26+'SZEI 2c'!J26+'PMK 2d'!K26+'FMC 2e'!K26+'Óvoda 2f'!L26+'Bölcsőde 2g'!K26+'Gondozási 2h'!J26</f>
        <v>2311</v>
      </c>
      <c r="J26" s="31">
        <f>'Önk 2a'!K26+'PH 2b'!I26+'SZEI 2c'!K26+'PMK 2d'!L26+'FMC 2e'!L26+'Óvoda 2f'!M26+'Bölcsőde 2g'!L26+'Gondozási 2h'!K26</f>
        <v>0</v>
      </c>
      <c r="K26" s="31">
        <f>'Önk 2a'!L26+'PH 2b'!J26+'SZEI 2c'!L26+'PMK 2d'!M26+'FMC 2e'!M26+'Óvoda 2f'!N26+'Bölcsőde 2g'!M26+'Gondozási 2h'!L26</f>
        <v>680</v>
      </c>
      <c r="L26" s="12">
        <f t="shared" si="7"/>
        <v>41118</v>
      </c>
      <c r="M26" s="141">
        <f>'Önk 2a'!N26+'PH 2b'!L26+'SZEI 2c'!N26+'PMK 2d'!O26+'FMC 2e'!O26+'Óvoda 2f'!P26+'Bölcsőde 2g'!O26+'Gondozási 2h'!N26</f>
        <v>9808.3179999999975</v>
      </c>
      <c r="N26" s="162">
        <f t="shared" si="10"/>
        <v>0.23854073641714085</v>
      </c>
    </row>
    <row r="27" spans="1:14" s="4" customFormat="1" ht="16.5" customHeight="1" x14ac:dyDescent="0.25">
      <c r="A27" s="51" t="s">
        <v>112</v>
      </c>
      <c r="B27" s="51" t="s">
        <v>31</v>
      </c>
      <c r="C27" s="29">
        <f t="shared" ref="C27:L27" si="11">SUM(C28:C30)</f>
        <v>350974</v>
      </c>
      <c r="D27" s="29">
        <f t="shared" si="11"/>
        <v>0</v>
      </c>
      <c r="E27" s="29">
        <f t="shared" si="11"/>
        <v>350974</v>
      </c>
      <c r="F27" s="29">
        <f t="shared" si="11"/>
        <v>402494.5</v>
      </c>
      <c r="G27" s="29">
        <f t="shared" si="11"/>
        <v>0</v>
      </c>
      <c r="H27" s="29">
        <f t="shared" si="11"/>
        <v>402494.5</v>
      </c>
      <c r="I27" s="29">
        <f t="shared" si="11"/>
        <v>11238</v>
      </c>
      <c r="J27" s="29">
        <f t="shared" si="11"/>
        <v>0</v>
      </c>
      <c r="K27" s="29">
        <f t="shared" si="11"/>
        <v>6445</v>
      </c>
      <c r="L27" s="29">
        <f t="shared" si="11"/>
        <v>420177.5</v>
      </c>
      <c r="M27" s="30">
        <f>SUM(M28:M30)</f>
        <v>72440.592999999993</v>
      </c>
      <c r="N27" s="165">
        <f>M27/L27</f>
        <v>0.17240474085356783</v>
      </c>
    </row>
    <row r="28" spans="1:14" ht="16.5" hidden="1" customHeight="1" x14ac:dyDescent="0.25">
      <c r="A28" s="53" t="s">
        <v>113</v>
      </c>
      <c r="B28" s="54" t="s">
        <v>32</v>
      </c>
      <c r="C28" s="31">
        <v>0</v>
      </c>
      <c r="D28" s="31">
        <f>'PH 2b'!C28+'SZEI 2c'!C28+'PMK 2d'!C28+'FMC 2e'!C28+'Óvoda 2f'!C28+'Bölcsőde 2g'!C28+'Gondozási 2h'!C28</f>
        <v>0</v>
      </c>
      <c r="E28" s="31">
        <f>C28+D28</f>
        <v>0</v>
      </c>
      <c r="F28" s="31">
        <v>0</v>
      </c>
      <c r="G28" s="31">
        <f>'PH 2b'!F28+'SZEI 2c'!H28+'PMK 2d'!I28+'FMC 2e'!I28+'Óvoda 2f'!J28+'Bölcsőde 2g'!I28+'Gondozási 2h'!H28</f>
        <v>0</v>
      </c>
      <c r="H28" s="31">
        <f>F28+G28</f>
        <v>0</v>
      </c>
      <c r="I28" s="31">
        <f>'Önk 2a'!J28+'PH 2b'!H28+'SZEI 2c'!J28+'PMK 2d'!K28+'FMC 2e'!K28+'Óvoda 2f'!L28+'Bölcsőde 2g'!K28+'Gondozási 2h'!J28</f>
        <v>0</v>
      </c>
      <c r="J28" s="31">
        <f>'Önk 2a'!K28+'PH 2b'!I28+'SZEI 2c'!K28+'PMK 2d'!L28+'FMC 2e'!L28+'Óvoda 2f'!M28+'Bölcsőde 2g'!L28+'Gondozási 2h'!K28</f>
        <v>0</v>
      </c>
      <c r="K28" s="31">
        <f>'Önk 2a'!L28+'PH 2b'!J28+'SZEI 2c'!L28+'PMK 2d'!M28+'FMC 2e'!M28+'Óvoda 2f'!N28+'Bölcsőde 2g'!M28+'Gondozási 2h'!L28</f>
        <v>0</v>
      </c>
      <c r="L28" s="12">
        <f>H28+I28+J28+K28</f>
        <v>0</v>
      </c>
      <c r="M28" s="141">
        <f>'Önk 2a'!N28+'PH 2b'!L28+'SZEI 2c'!N28+'PMK 2d'!O28+'FMC 2e'!O28+'Óvoda 2f'!P28+'Bölcsőde 2g'!O28+'Gondozási 2h'!N28</f>
        <v>0</v>
      </c>
      <c r="N28" s="162"/>
    </row>
    <row r="29" spans="1:14" ht="16.5" hidden="1" customHeight="1" x14ac:dyDescent="0.25">
      <c r="A29" s="53" t="s">
        <v>114</v>
      </c>
      <c r="B29" s="54" t="s">
        <v>33</v>
      </c>
      <c r="C29" s="31">
        <v>350974</v>
      </c>
      <c r="D29" s="31">
        <f>'PH 2b'!C29+'SZEI 2c'!C29+'PMK 2d'!C29+'FMC 2e'!C29+'Óvoda 2f'!C29+'Bölcsőde 2g'!C29+'Gondozási 2h'!C29</f>
        <v>0</v>
      </c>
      <c r="E29" s="31">
        <f>C29+D29</f>
        <v>350974</v>
      </c>
      <c r="F29" s="31">
        <v>402494.5</v>
      </c>
      <c r="G29" s="31">
        <f>'PH 2b'!F29+'SZEI 2c'!H29+'PMK 2d'!I29+'FMC 2e'!I29+'Óvoda 2f'!J29+'Bölcsőde 2g'!I29+'Gondozási 2h'!H29</f>
        <v>0</v>
      </c>
      <c r="H29" s="31">
        <f>F29+G29</f>
        <v>402494.5</v>
      </c>
      <c r="I29" s="31">
        <f>'Önk 2a'!J29+'PH 2b'!H29+'SZEI 2c'!J29+'PMK 2d'!K29+'FMC 2e'!K29+'Óvoda 2f'!L29+'Bölcsőde 2g'!K29+'Gondozási 2h'!J29</f>
        <v>11235</v>
      </c>
      <c r="J29" s="31">
        <f>'Önk 2a'!K29+'PH 2b'!I29+'SZEI 2c'!K29+'PMK 2d'!L29+'FMC 2e'!L29+'Óvoda 2f'!M29+'Bölcsőde 2g'!L29+'Gondozási 2h'!K29</f>
        <v>0</v>
      </c>
      <c r="K29" s="31">
        <f>'Önk 2a'!L29+'PH 2b'!J29+'SZEI 2c'!L29+'PMK 2d'!M29+'FMC 2e'!M29+'Óvoda 2f'!N29+'Bölcsőde 2g'!M29+'Gondozási 2h'!L29</f>
        <v>0</v>
      </c>
      <c r="L29" s="12">
        <f>H29+I29+J29+K29</f>
        <v>413729.5</v>
      </c>
      <c r="M29" s="141">
        <f>'Önk 2a'!N29+'PH 2b'!L29+'SZEI 2c'!N29+'PMK 2d'!O29+'FMC 2e'!O29+'Óvoda 2f'!P29+'Bölcsőde 2g'!O29+'Gondozási 2h'!N29</f>
        <v>72437.592999999993</v>
      </c>
      <c r="N29" s="162">
        <f t="shared" ref="N29:N39" si="12">M29/L29</f>
        <v>0.17508442835234131</v>
      </c>
    </row>
    <row r="30" spans="1:14" ht="16.5" hidden="1" customHeight="1" x14ac:dyDescent="0.25">
      <c r="A30" s="53" t="s">
        <v>115</v>
      </c>
      <c r="B30" s="54" t="s">
        <v>34</v>
      </c>
      <c r="C30" s="92">
        <v>0</v>
      </c>
      <c r="D30" s="31">
        <f>'PH 2b'!C30+'SZEI 2c'!C30+'PMK 2d'!C30+'FMC 2e'!C30+'Óvoda 2f'!C30+'Bölcsőde 2g'!C30+'Gondozási 2h'!C30</f>
        <v>0</v>
      </c>
      <c r="E30" s="31">
        <f>C30+D30</f>
        <v>0</v>
      </c>
      <c r="F30" s="31">
        <v>0</v>
      </c>
      <c r="G30" s="31">
        <f>'PH 2b'!F30+'SZEI 2c'!H30+'PMK 2d'!I30+'FMC 2e'!I30+'Óvoda 2f'!J30+'Bölcsőde 2g'!I30+'Gondozási 2h'!H30</f>
        <v>0</v>
      </c>
      <c r="H30" s="31">
        <f>F30+G30</f>
        <v>0</v>
      </c>
      <c r="I30" s="31">
        <f>'Önk 2a'!J30+'PH 2b'!H30+'SZEI 2c'!J30+'PMK 2d'!K30+'FMC 2e'!K30+'Óvoda 2f'!L30+'Bölcsőde 2g'!K30+'Gondozási 2h'!J30</f>
        <v>3</v>
      </c>
      <c r="J30" s="31">
        <f>'Önk 2a'!K30+'PH 2b'!I30+'SZEI 2c'!K30+'PMK 2d'!L30+'FMC 2e'!L30+'Óvoda 2f'!M30+'Bölcsőde 2g'!L30+'Gondozási 2h'!K30</f>
        <v>0</v>
      </c>
      <c r="K30" s="31">
        <f>'Önk 2a'!L30+'PH 2b'!J30+'SZEI 2c'!L30+'PMK 2d'!M30+'FMC 2e'!M30+'Óvoda 2f'!N30+'Bölcsőde 2g'!M30+'Gondozási 2h'!L30</f>
        <v>6445</v>
      </c>
      <c r="L30" s="12">
        <f>H30+I30+J30+K30</f>
        <v>6448</v>
      </c>
      <c r="M30" s="141">
        <f>'Önk 2a'!N30+'PH 2b'!L30+'SZEI 2c'!N30+'PMK 2d'!O30+'FMC 2e'!O30+'Óvoda 2f'!P30+'Bölcsőde 2g'!O30+'Gondozási 2h'!N30</f>
        <v>3</v>
      </c>
      <c r="N30" s="162">
        <f t="shared" si="12"/>
        <v>4.652605459057072E-4</v>
      </c>
    </row>
    <row r="31" spans="1:14" s="4" customFormat="1" ht="16.5" customHeight="1" x14ac:dyDescent="0.25">
      <c r="A31" s="52" t="s">
        <v>116</v>
      </c>
      <c r="B31" s="56" t="s">
        <v>5</v>
      </c>
      <c r="C31" s="91">
        <v>13300</v>
      </c>
      <c r="D31" s="29">
        <f>'PH 2b'!C31+'SZEI 2c'!C31+'PMK 2d'!C31+'FMC 2e'!C31+'Óvoda 2f'!C31+'Bölcsőde 2g'!C31+'Gondozási 2h'!C31</f>
        <v>1700</v>
      </c>
      <c r="E31" s="29">
        <f>C31+D31</f>
        <v>15000</v>
      </c>
      <c r="F31" s="29">
        <v>42695</v>
      </c>
      <c r="G31" s="29">
        <f>'PH 2b'!F31+'SZEI 2c'!H31+'PMK 2d'!I31+'FMC 2e'!I31+'Óvoda 2f'!J31+'Bölcsőde 2g'!I31+'Gondozási 2h'!H31</f>
        <v>690</v>
      </c>
      <c r="H31" s="29">
        <f>F31+G31</f>
        <v>43385</v>
      </c>
      <c r="I31" s="29">
        <f>'Önk 2a'!J31+'PH 2b'!H31+'SZEI 2c'!J31+'PMK 2d'!K31+'FMC 2e'!K31+'Óvoda 2f'!L31+'Bölcsőde 2g'!K31+'Gondozási 2h'!J31</f>
        <v>0</v>
      </c>
      <c r="J31" s="29">
        <f>'Önk 2a'!K31+'PH 2b'!I31+'SZEI 2c'!K31+'PMK 2d'!L31+'FMC 2e'!L31+'Óvoda 2f'!M31+'Bölcsőde 2g'!L31+'Gondozási 2h'!K31</f>
        <v>1488</v>
      </c>
      <c r="K31" s="29">
        <f>'Önk 2a'!L31+'PH 2b'!J31+'SZEI 2c'!L31+'PMK 2d'!M31+'FMC 2e'!M31+'Óvoda 2f'!N31+'Bölcsőde 2g'!M31+'Gondozási 2h'!L31</f>
        <v>23354.876</v>
      </c>
      <c r="L31" s="13">
        <f>H31+I31+J31+K31</f>
        <v>68227.876000000004</v>
      </c>
      <c r="M31" s="157">
        <f>'Önk 2a'!N31+'PH 2b'!L31+'SZEI 2c'!N31+'PMK 2d'!O31+'FMC 2e'!O31+'Óvoda 2f'!P31+'Bölcsőde 2g'!O31+'Gondozási 2h'!N31</f>
        <v>9878.8080000000009</v>
      </c>
      <c r="N31" s="164">
        <f t="shared" si="12"/>
        <v>0.1447913753023764</v>
      </c>
    </row>
    <row r="32" spans="1:14" s="4" customFormat="1" ht="16.5" customHeight="1" x14ac:dyDescent="0.25">
      <c r="A32" s="52" t="s">
        <v>117</v>
      </c>
      <c r="B32" s="58" t="s">
        <v>7</v>
      </c>
      <c r="C32" s="91">
        <v>65963</v>
      </c>
      <c r="D32" s="29">
        <f>'PH 2b'!C32+'SZEI 2c'!C32+'PMK 2d'!C32+'FMC 2e'!C32+'Óvoda 2f'!C32+'Bölcsőde 2g'!C32+'Gondozási 2h'!C32</f>
        <v>0</v>
      </c>
      <c r="E32" s="29">
        <f>C32+D32</f>
        <v>65963</v>
      </c>
      <c r="F32" s="29">
        <v>0</v>
      </c>
      <c r="G32" s="29">
        <f>'PH 2b'!F32+'SZEI 2c'!H32+'PMK 2d'!I32+'FMC 2e'!I32+'Óvoda 2f'!J32+'Bölcsőde 2g'!I32+'Gondozási 2h'!H32</f>
        <v>0</v>
      </c>
      <c r="H32" s="29">
        <f>F32+G32</f>
        <v>0</v>
      </c>
      <c r="I32" s="29">
        <f>'Önk 2a'!J32+'PH 2b'!H32+'SZEI 2c'!J32+'PMK 2d'!K32+'FMC 2e'!K32+'Óvoda 2f'!L32+'Bölcsőde 2g'!K32+'Gondozási 2h'!J32</f>
        <v>8947</v>
      </c>
      <c r="J32" s="29">
        <f>'Önk 2a'!K32+'PH 2b'!I32+'SZEI 2c'!K32+'PMK 2d'!L32+'FMC 2e'!L32+'Óvoda 2f'!M32+'Bölcsőde 2g'!L32+'Gondozási 2h'!K32</f>
        <v>936</v>
      </c>
      <c r="K32" s="29">
        <f>'Önk 2a'!L32+'PH 2b'!J32+'SZEI 2c'!L32+'PMK 2d'!M32+'FMC 2e'!M32+'Óvoda 2f'!N32+'Bölcsőde 2g'!M32+'Gondozási 2h'!L32</f>
        <v>12842.154999999999</v>
      </c>
      <c r="L32" s="12">
        <f>H32+I32+J32+K32</f>
        <v>22725.154999999999</v>
      </c>
      <c r="M32" s="157">
        <f>'Önk 2a'!N32+'PH 2b'!L32+'SZEI 2c'!N32+'PMK 2d'!O32+'FMC 2e'!O32+'Óvoda 2f'!P32+'Bölcsőde 2g'!O32+'Gondozási 2h'!N32</f>
        <v>9850.2210000000014</v>
      </c>
      <c r="N32" s="164">
        <f t="shared" si="12"/>
        <v>0.43345011288151836</v>
      </c>
    </row>
    <row r="33" spans="1:14" s="6" customFormat="1" ht="16.5" customHeight="1" x14ac:dyDescent="0.25">
      <c r="A33" s="59" t="s">
        <v>6</v>
      </c>
      <c r="B33" s="60" t="s">
        <v>76</v>
      </c>
      <c r="C33" s="38">
        <f t="shared" ref="C33:H33" si="13">C34+C37+C38+C44+C45+C50+C51+C52</f>
        <v>3692812.2800000003</v>
      </c>
      <c r="D33" s="38">
        <f t="shared" si="13"/>
        <v>3014064</v>
      </c>
      <c r="E33" s="38">
        <f t="shared" si="13"/>
        <v>6706876.2800000003</v>
      </c>
      <c r="F33" s="38">
        <f t="shared" si="13"/>
        <v>2899755.9969763774</v>
      </c>
      <c r="G33" s="38">
        <f t="shared" si="13"/>
        <v>2908779</v>
      </c>
      <c r="H33" s="38">
        <f t="shared" si="13"/>
        <v>5808534.9969763774</v>
      </c>
      <c r="I33" s="38">
        <f>I34+I37+I38+I44+I45+I50+I51+I52</f>
        <v>270664</v>
      </c>
      <c r="J33" s="38">
        <f>J34+J37+J38+J44+J45+J50+J51+J52</f>
        <v>25120</v>
      </c>
      <c r="K33" s="38">
        <f>K34+K37+K38+K44+K45+K50+K51+K52</f>
        <v>101596.89</v>
      </c>
      <c r="L33" s="38">
        <f>L34+L37+L38+L44+L45+L50+L51+L52</f>
        <v>6205915.886976378</v>
      </c>
      <c r="M33" s="61">
        <f t="shared" ref="M33" si="14">SUM(M34,M37,M38,M44,M45,M50,M52,M51)</f>
        <v>2421540.7209999999</v>
      </c>
      <c r="N33" s="166">
        <f t="shared" si="12"/>
        <v>0.39019876600032577</v>
      </c>
    </row>
    <row r="34" spans="1:14" s="4" customFormat="1" ht="16.5" customHeight="1" x14ac:dyDescent="0.25">
      <c r="A34" s="51" t="s">
        <v>60</v>
      </c>
      <c r="B34" s="51" t="s">
        <v>1</v>
      </c>
      <c r="C34" s="91">
        <v>4680</v>
      </c>
      <c r="D34" s="29">
        <f>'PH 2b'!C34+'SZEI 2c'!C34+'PMK 2d'!C34+'FMC 2e'!C34+'Óvoda 2f'!C34+'Bölcsőde 2g'!C34+'Gondozási 2h'!C34</f>
        <v>1615272</v>
      </c>
      <c r="E34" s="29">
        <f>C34+D34</f>
        <v>1619952</v>
      </c>
      <c r="F34" s="29">
        <f>SUM(F35:F36)</f>
        <v>4650</v>
      </c>
      <c r="G34" s="29">
        <f>SUM(G35:G36)</f>
        <v>1608461</v>
      </c>
      <c r="H34" s="29">
        <f>SUM(H35:H36)</f>
        <v>1613111</v>
      </c>
      <c r="I34" s="29">
        <f>SUM(I35:I36)</f>
        <v>24636</v>
      </c>
      <c r="J34" s="29">
        <f t="shared" ref="J34:L34" si="15">SUM(J35:J36)</f>
        <v>4298</v>
      </c>
      <c r="K34" s="29">
        <f t="shared" ref="K34" si="16">SUM(K35:K36)</f>
        <v>4674</v>
      </c>
      <c r="L34" s="29">
        <f t="shared" si="15"/>
        <v>1646719</v>
      </c>
      <c r="M34" s="29">
        <f>SUM(M35:M36)</f>
        <v>786284.73199999996</v>
      </c>
      <c r="N34" s="163">
        <f t="shared" si="12"/>
        <v>0.47748567424071742</v>
      </c>
    </row>
    <row r="35" spans="1:14" ht="16.5" hidden="1" customHeight="1" x14ac:dyDescent="0.25">
      <c r="A35" s="50" t="s">
        <v>61</v>
      </c>
      <c r="B35" s="50" t="s">
        <v>35</v>
      </c>
      <c r="C35" s="31">
        <v>0</v>
      </c>
      <c r="D35" s="31"/>
      <c r="E35" s="31">
        <f>C35+D35</f>
        <v>0</v>
      </c>
      <c r="F35" s="31">
        <f>'Önk 2a'!G35</f>
        <v>0</v>
      </c>
      <c r="G35" s="31">
        <f>'PH 2b'!F35+'SZEI 2c'!H35+'PMK 2d'!I35+'FMC 2e'!I35+'Óvoda 2f'!J35+'Bölcsőde 2g'!I35+'Gondozási 2h'!H35</f>
        <v>1503940</v>
      </c>
      <c r="H35" s="31">
        <f>F35+G35</f>
        <v>1503940</v>
      </c>
      <c r="I35" s="31">
        <f>'Önk 2a'!J35+'PH 2b'!H35+'SZEI 2c'!J35+'PMK 2d'!K35+'FMC 2e'!K35+'Óvoda 2f'!L35+'Bölcsőde 2g'!K35+'Gondozási 2h'!J35</f>
        <v>24026</v>
      </c>
      <c r="J35" s="31">
        <f>'Önk 2a'!K35+'PH 2b'!I35+'SZEI 2c'!K35+'PMK 2d'!L35+'FMC 2e'!L35+'Óvoda 2f'!M35+'Bölcsőde 2g'!L35+'Gondozási 2h'!K35</f>
        <v>4298</v>
      </c>
      <c r="K35" s="31">
        <f>'Önk 2a'!L35+'PH 2b'!J35+'SZEI 2c'!L35+'PMK 2d'!M35+'FMC 2e'!M35+'Óvoda 2f'!N35+'Bölcsőde 2g'!M35+'Gondozási 2h'!L35</f>
        <v>3149</v>
      </c>
      <c r="L35" s="12">
        <f>H35+I35+J35+K35</f>
        <v>1535413</v>
      </c>
      <c r="M35" s="141">
        <f>'Önk 2a'!N35+'PH 2b'!L35+'SZEI 2c'!N35+'PMK 2d'!O35+'FMC 2e'!O35+'Óvoda 2f'!P35+'Bölcsőde 2g'!O35+'Gondozási 2h'!N35</f>
        <v>735321.67799999996</v>
      </c>
      <c r="N35" s="162">
        <f t="shared" si="12"/>
        <v>0.47890807098806637</v>
      </c>
    </row>
    <row r="36" spans="1:14" ht="16.5" hidden="1" customHeight="1" x14ac:dyDescent="0.25">
      <c r="A36" s="50" t="s">
        <v>62</v>
      </c>
      <c r="B36" s="50" t="s">
        <v>36</v>
      </c>
      <c r="C36" s="31">
        <v>4680</v>
      </c>
      <c r="D36" s="31"/>
      <c r="E36" s="31">
        <f>C36+D36</f>
        <v>4680</v>
      </c>
      <c r="F36" s="31">
        <f>'Önk 2a'!G36</f>
        <v>4650</v>
      </c>
      <c r="G36" s="31">
        <f>'PH 2b'!F36+'SZEI 2c'!H36+'PMK 2d'!I36+'FMC 2e'!I36+'Óvoda 2f'!J36+'Bölcsőde 2g'!I36+'Gondozási 2h'!H36</f>
        <v>104521</v>
      </c>
      <c r="H36" s="31">
        <f>F36+G36</f>
        <v>109171</v>
      </c>
      <c r="I36" s="31">
        <f>'Önk 2a'!J36+'PH 2b'!H36+'SZEI 2c'!J36+'PMK 2d'!K36+'FMC 2e'!K36+'Óvoda 2f'!L36+'Bölcsőde 2g'!K36+'Gondozási 2h'!J36</f>
        <v>610</v>
      </c>
      <c r="J36" s="31">
        <f>'Önk 2a'!K36+'PH 2b'!I36+'SZEI 2c'!K36+'PMK 2d'!L36+'FMC 2e'!L36+'Óvoda 2f'!M36+'Bölcsőde 2g'!L36+'Gondozási 2h'!K36</f>
        <v>0</v>
      </c>
      <c r="K36" s="31">
        <f>'Önk 2a'!L36+'PH 2b'!J36+'SZEI 2c'!L36+'PMK 2d'!M36+'FMC 2e'!M36+'Óvoda 2f'!N36+'Bölcsőde 2g'!M36+'Gondozási 2h'!L36</f>
        <v>1525</v>
      </c>
      <c r="L36" s="12">
        <f>H36+I36+J36+K36</f>
        <v>111306</v>
      </c>
      <c r="M36" s="141">
        <f>'Önk 2a'!N36+'PH 2b'!L36+'SZEI 2c'!N36+'PMK 2d'!O36+'FMC 2e'!O36+'Óvoda 2f'!P36+'Bölcsőde 2g'!O36+'Gondozási 2h'!N36</f>
        <v>50963.054000000011</v>
      </c>
      <c r="N36" s="162">
        <f t="shared" si="12"/>
        <v>0.45786439185668348</v>
      </c>
    </row>
    <row r="37" spans="1:14" s="4" customFormat="1" ht="16.5" customHeight="1" x14ac:dyDescent="0.25">
      <c r="A37" s="51" t="s">
        <v>63</v>
      </c>
      <c r="B37" s="51" t="s">
        <v>2</v>
      </c>
      <c r="C37" s="29">
        <v>0</v>
      </c>
      <c r="D37" s="29">
        <f>'PH 2b'!C37+'SZEI 2c'!C37+'PMK 2d'!C37+'FMC 2e'!C37+'Óvoda 2f'!C37+'Bölcsőde 2g'!C37+'Gondozási 2h'!C37</f>
        <v>444038</v>
      </c>
      <c r="E37" s="29">
        <f>C37+D37</f>
        <v>444038</v>
      </c>
      <c r="F37" s="29">
        <v>0</v>
      </c>
      <c r="G37" s="29">
        <f>'PH 2b'!F37+'SZEI 2c'!H37+'PMK 2d'!I37+'FMC 2e'!I37+'Óvoda 2f'!J37+'Bölcsőde 2g'!I37+'Gondozási 2h'!H37</f>
        <v>453811</v>
      </c>
      <c r="H37" s="29">
        <f>F37+G37</f>
        <v>453811</v>
      </c>
      <c r="I37" s="29">
        <f>'Önk 2a'!J37+'PH 2b'!H37+'SZEI 2c'!J37+'PMK 2d'!K37+'FMC 2e'!K37+'Óvoda 2f'!L37+'Bölcsőde 2g'!K37+'Gondozási 2h'!J37</f>
        <v>7695</v>
      </c>
      <c r="J37" s="29">
        <f>'Önk 2a'!K37+'PH 2b'!I37+'SZEI 2c'!K37+'PMK 2d'!L37+'FMC 2e'!L37+'Óvoda 2f'!M37+'Bölcsőde 2g'!L37+'Gondozási 2h'!K37</f>
        <v>6297</v>
      </c>
      <c r="K37" s="29">
        <f>'Önk 2a'!L37+'PH 2b'!J37+'SZEI 2c'!L37+'PMK 2d'!M37+'FMC 2e'!M37+'Óvoda 2f'!N37+'Bölcsőde 2g'!M37+'Gondozási 2h'!L37</f>
        <v>1950.9</v>
      </c>
      <c r="L37" s="13">
        <f>H37+I37+J37+K37</f>
        <v>469753.9</v>
      </c>
      <c r="M37" s="13">
        <f>'Önk 2a'!N37+'PH 2b'!L37+'SZEI 2c'!N37+'PMK 2d'!O37+'FMC 2e'!O37+'Óvoda 2f'!P37+'Bölcsőde 2g'!O37+'Gondozási 2h'!N37</f>
        <v>223190.639</v>
      </c>
      <c r="N37" s="167">
        <f t="shared" si="12"/>
        <v>0.47512248221888098</v>
      </c>
    </row>
    <row r="38" spans="1:14" s="4" customFormat="1" ht="16.5" customHeight="1" x14ac:dyDescent="0.25">
      <c r="A38" s="51" t="s">
        <v>64</v>
      </c>
      <c r="B38" s="51" t="s">
        <v>3</v>
      </c>
      <c r="C38" s="29">
        <v>1491124.28</v>
      </c>
      <c r="D38" s="29">
        <f>'PH 2b'!C38+'SZEI 2c'!C38+'PMK 2d'!C38+'FMC 2e'!C38+'Óvoda 2f'!C38+'Bölcsőde 2g'!C38+'Gondozási 2h'!C38</f>
        <v>794737</v>
      </c>
      <c r="E38" s="29">
        <f>C38+D38</f>
        <v>2285861.2800000003</v>
      </c>
      <c r="F38" s="29">
        <f>SUM(F39:F43)</f>
        <v>1083656.2969763777</v>
      </c>
      <c r="G38" s="29">
        <f>SUM(G39:G43)</f>
        <v>775036</v>
      </c>
      <c r="H38" s="29">
        <f>SUM(H39:H43)</f>
        <v>1858692.2969763777</v>
      </c>
      <c r="I38" s="29">
        <f>SUM(I39:I43)</f>
        <v>75493</v>
      </c>
      <c r="J38" s="29">
        <f t="shared" ref="J38:L38" si="17">SUM(J39:J43)</f>
        <v>21839</v>
      </c>
      <c r="K38" s="29">
        <f t="shared" si="17"/>
        <v>57035.89</v>
      </c>
      <c r="L38" s="29">
        <f t="shared" si="17"/>
        <v>2013060.1869763779</v>
      </c>
      <c r="M38" s="29">
        <f>SUM(M39:M43)</f>
        <v>886089.31900000013</v>
      </c>
      <c r="N38" s="163">
        <f t="shared" si="12"/>
        <v>0.44017030624946629</v>
      </c>
    </row>
    <row r="39" spans="1:14" ht="16.5" hidden="1" customHeight="1" x14ac:dyDescent="0.25">
      <c r="A39" s="50" t="s">
        <v>65</v>
      </c>
      <c r="B39" s="50" t="s">
        <v>37</v>
      </c>
      <c r="C39" s="31">
        <v>7302</v>
      </c>
      <c r="D39" s="31">
        <f>'PH 2b'!C40+'SZEI 2c'!R47+'PMK 2d'!R46+'FMC 2e'!R46+'Óvoda 2f'!S47+'Bölcsőde 2g'!R46+'Gondozási 2h'!R46</f>
        <v>15945</v>
      </c>
      <c r="E39" s="31">
        <f t="shared" ref="E39:E52" si="18">C39+D39</f>
        <v>23247</v>
      </c>
      <c r="F39" s="31">
        <f>'Önk 2a'!G39</f>
        <v>14841</v>
      </c>
      <c r="G39" s="31">
        <f>'PH 2b'!F39+'SZEI 2c'!H39+'PMK 2d'!I39+'FMC 2e'!I39+'Óvoda 2f'!J39+'Bölcsőde 2g'!I39+'Gondozási 2h'!H39</f>
        <v>101007</v>
      </c>
      <c r="H39" s="31">
        <f t="shared" ref="H39:H46" si="19">F39+G39</f>
        <v>115848</v>
      </c>
      <c r="I39" s="31">
        <f>'Önk 2a'!J39+'PH 2b'!H39+'SZEI 2c'!J39+'PMK 2d'!K39+'FMC 2e'!K39+'Óvoda 2f'!L39+'Bölcsőde 2g'!K39+'Gondozási 2h'!J39</f>
        <v>0</v>
      </c>
      <c r="J39" s="31">
        <f>'Önk 2a'!K39+'PH 2b'!I39+'SZEI 2c'!K39+'PMK 2d'!L39+'FMC 2e'!L39+'Óvoda 2f'!M39+'Bölcsőde 2g'!L39+'Gondozási 2h'!K39</f>
        <v>0</v>
      </c>
      <c r="K39" s="31">
        <f>'Önk 2a'!L39+'PH 2b'!J39+'SZEI 2c'!L39+'PMK 2d'!M39+'FMC 2e'!M39+'Óvoda 2f'!N39+'Bölcsőde 2g'!M39+'Gondozási 2h'!L39</f>
        <v>0</v>
      </c>
      <c r="L39" s="12">
        <f t="shared" ref="L39:L44" si="20">H39+I39+J39+K39</f>
        <v>115848</v>
      </c>
      <c r="M39" s="141">
        <f>'Önk 2a'!N39+'PH 2b'!L39+'SZEI 2c'!N39+'PMK 2d'!O39+'FMC 2e'!O39+'Óvoda 2f'!P39+'Bölcsőde 2g'!O39+'Gondozási 2h'!N39</f>
        <v>50219.090000000004</v>
      </c>
      <c r="N39" s="162">
        <f t="shared" si="12"/>
        <v>0.43349121262343765</v>
      </c>
    </row>
    <row r="40" spans="1:14" ht="16.5" hidden="1" customHeight="1" x14ac:dyDescent="0.25">
      <c r="A40" s="50" t="s">
        <v>66</v>
      </c>
      <c r="B40" s="50" t="s">
        <v>38</v>
      </c>
      <c r="C40" s="31">
        <v>11499</v>
      </c>
      <c r="D40" s="31">
        <f>'PH 2b'!C41+'SZEI 2c'!R48+'PMK 2d'!R47+'FMC 2e'!R47+'Óvoda 2f'!S48+'Bölcsőde 2g'!R47+'Gondozási 2h'!R47</f>
        <v>78621</v>
      </c>
      <c r="E40" s="31">
        <f t="shared" si="18"/>
        <v>90120</v>
      </c>
      <c r="F40" s="31">
        <f>'Önk 2a'!G40</f>
        <v>15655</v>
      </c>
      <c r="G40" s="31">
        <f>'PH 2b'!F40+'SZEI 2c'!H40+'PMK 2d'!I40+'FMC 2e'!I40+'Óvoda 2f'!J40+'Bölcsőde 2g'!I40+'Gondozási 2h'!H40</f>
        <v>27299</v>
      </c>
      <c r="H40" s="31">
        <f t="shared" si="19"/>
        <v>42954</v>
      </c>
      <c r="I40" s="31">
        <f>'Önk 2a'!J40+'PH 2b'!H40+'SZEI 2c'!J40+'PMK 2d'!K40+'FMC 2e'!K40+'Óvoda 2f'!L40+'Bölcsőde 2g'!K40+'Gondozási 2h'!J40</f>
        <v>0</v>
      </c>
      <c r="J40" s="31">
        <f>'Önk 2a'!K40+'PH 2b'!I40+'SZEI 2c'!K40+'PMK 2d'!L40+'FMC 2e'!L40+'Óvoda 2f'!M40+'Bölcsőde 2g'!L40+'Gondozási 2h'!K40</f>
        <v>0</v>
      </c>
      <c r="K40" s="31">
        <f>'Önk 2a'!L40+'PH 2b'!J40+'SZEI 2c'!L40+'PMK 2d'!M40+'FMC 2e'!M40+'Óvoda 2f'!N40+'Bölcsőde 2g'!M40+'Gondozási 2h'!L40</f>
        <v>0</v>
      </c>
      <c r="L40" s="12">
        <f t="shared" si="20"/>
        <v>42954</v>
      </c>
      <c r="M40" s="141">
        <f>'Önk 2a'!N40+'PH 2b'!L40+'SZEI 2c'!N40+'PMK 2d'!O40+'FMC 2e'!O40+'Óvoda 2f'!P40+'Bölcsőde 2g'!O40+'Gondozási 2h'!N40</f>
        <v>24117.889000000003</v>
      </c>
      <c r="N40" s="162">
        <f t="shared" ref="N40:N43" si="21">M40/L40</f>
        <v>0.56148179447781355</v>
      </c>
    </row>
    <row r="41" spans="1:14" ht="16.5" hidden="1" customHeight="1" x14ac:dyDescent="0.25">
      <c r="A41" s="50" t="s">
        <v>67</v>
      </c>
      <c r="B41" s="50" t="s">
        <v>39</v>
      </c>
      <c r="C41" s="31">
        <v>1144094</v>
      </c>
      <c r="D41" s="31">
        <f>'PH 2b'!C42+'SZEI 2c'!R49+'PMK 2d'!R48+'FMC 2e'!R48+'Óvoda 2f'!S49+'Bölcsőde 2g'!R48+'Gondozási 2h'!R48</f>
        <v>1528</v>
      </c>
      <c r="E41" s="31">
        <f t="shared" si="18"/>
        <v>1145622</v>
      </c>
      <c r="F41" s="31">
        <f>'Önk 2a'!G41</f>
        <v>733063.26535433065</v>
      </c>
      <c r="G41" s="31">
        <f>'PH 2b'!F41+'SZEI 2c'!H41+'PMK 2d'!I41+'FMC 2e'!I41+'Óvoda 2f'!J41+'Bölcsőde 2g'!I41+'Gondozási 2h'!H41</f>
        <v>508524</v>
      </c>
      <c r="H41" s="31">
        <f t="shared" si="19"/>
        <v>1241587.2653543307</v>
      </c>
      <c r="I41" s="31">
        <f>'Önk 2a'!J41+'PH 2b'!H41+'SZEI 2c'!J41+'PMK 2d'!K41+'FMC 2e'!K41+'Óvoda 2f'!L41+'Bölcsőde 2g'!K41+'Gondozási 2h'!J41</f>
        <v>74954</v>
      </c>
      <c r="J41" s="31">
        <f>'Önk 2a'!K41+'PH 2b'!I41+'SZEI 2c'!K41+'PMK 2d'!L41+'FMC 2e'!L41+'Óvoda 2f'!M41+'Bölcsőde 2g'!L41+'Gondozási 2h'!K41</f>
        <v>25180</v>
      </c>
      <c r="K41" s="31">
        <f>'Önk 2a'!L41+'PH 2b'!J41+'SZEI 2c'!L41+'PMK 2d'!M41+'FMC 2e'!M41+'Óvoda 2f'!N41+'Bölcsőde 2g'!M41+'Gondozási 2h'!L41</f>
        <v>57035.89</v>
      </c>
      <c r="L41" s="12">
        <f t="shared" si="20"/>
        <v>1398757.1553543305</v>
      </c>
      <c r="M41" s="141">
        <f>'Önk 2a'!N41+'PH 2b'!L41+'SZEI 2c'!N41+'PMK 2d'!O41+'FMC 2e'!O41+'Óvoda 2f'!P41+'Bölcsőde 2g'!O41+'Gondozási 2h'!N41</f>
        <v>614242.96400000015</v>
      </c>
      <c r="N41" s="162">
        <f t="shared" si="21"/>
        <v>0.4391348145378397</v>
      </c>
    </row>
    <row r="42" spans="1:14" ht="16.5" hidden="1" customHeight="1" x14ac:dyDescent="0.25">
      <c r="A42" s="50" t="s">
        <v>68</v>
      </c>
      <c r="B42" s="50" t="s">
        <v>40</v>
      </c>
      <c r="C42" s="31">
        <v>1250</v>
      </c>
      <c r="D42" s="31">
        <f>'PH 2b'!C43+'SZEI 2c'!R50+'PMK 2d'!R49+'FMC 2e'!R49+'Óvoda 2f'!S50+'Bölcsőde 2g'!R49+'Gondozási 2h'!R49</f>
        <v>50740</v>
      </c>
      <c r="E42" s="31">
        <f t="shared" si="18"/>
        <v>51990</v>
      </c>
      <c r="F42" s="31">
        <f>'Önk 2a'!G42</f>
        <v>1998</v>
      </c>
      <c r="G42" s="31">
        <f>'PH 2b'!F42+'SZEI 2c'!H42+'PMK 2d'!I42+'FMC 2e'!I42+'Óvoda 2f'!J42+'Bölcsőde 2g'!I42+'Gondozási 2h'!H42</f>
        <v>5094</v>
      </c>
      <c r="H42" s="31">
        <f t="shared" si="19"/>
        <v>7092</v>
      </c>
      <c r="I42" s="31">
        <f>'Önk 2a'!J42+'PH 2b'!H42+'SZEI 2c'!J42+'PMK 2d'!K42+'FMC 2e'!K42+'Óvoda 2f'!L42+'Bölcsőde 2g'!K42+'Gondozási 2h'!J42</f>
        <v>0</v>
      </c>
      <c r="J42" s="31">
        <f>'Önk 2a'!K42+'PH 2b'!I42+'SZEI 2c'!K42+'PMK 2d'!L42+'FMC 2e'!L42+'Óvoda 2f'!M42+'Bölcsőde 2g'!L42+'Gondozási 2h'!K42</f>
        <v>0</v>
      </c>
      <c r="K42" s="31">
        <f>'Önk 2a'!L42+'PH 2b'!J42+'SZEI 2c'!L42+'PMK 2d'!M42+'FMC 2e'!M42+'Óvoda 2f'!N42+'Bölcsőde 2g'!M42+'Gondozási 2h'!L42</f>
        <v>0</v>
      </c>
      <c r="L42" s="12">
        <f t="shared" si="20"/>
        <v>7092</v>
      </c>
      <c r="M42" s="141">
        <f>'Önk 2a'!N42+'PH 2b'!L42+'SZEI 2c'!N42+'PMK 2d'!O42+'FMC 2e'!O42+'Óvoda 2f'!P42+'Bölcsőde 2g'!O42+'Gondozási 2h'!N42</f>
        <v>8071.3139999999994</v>
      </c>
      <c r="N42" s="162">
        <f t="shared" si="21"/>
        <v>1.1380871404399322</v>
      </c>
    </row>
    <row r="43" spans="1:14" ht="16.5" hidden="1" customHeight="1" x14ac:dyDescent="0.25">
      <c r="A43" s="50" t="s">
        <v>69</v>
      </c>
      <c r="B43" s="50" t="s">
        <v>41</v>
      </c>
      <c r="C43" s="31">
        <v>326979.28000000003</v>
      </c>
      <c r="D43" s="31">
        <f>'PH 2b'!C44+'SZEI 2c'!R51+'PMK 2d'!R50+'FMC 2e'!R50+'Óvoda 2f'!S51+'Bölcsőde 2g'!R50+'Gondozási 2h'!R50</f>
        <v>5180</v>
      </c>
      <c r="E43" s="31">
        <f t="shared" si="18"/>
        <v>332159.28000000003</v>
      </c>
      <c r="F43" s="31">
        <f>'Önk 2a'!G43</f>
        <v>318099.03162204719</v>
      </c>
      <c r="G43" s="31">
        <f>'PH 2b'!F43+'SZEI 2c'!H43+'PMK 2d'!I43+'FMC 2e'!I43+'Óvoda 2f'!J43+'Bölcsőde 2g'!I43+'Gondozási 2h'!H43</f>
        <v>133112</v>
      </c>
      <c r="H43" s="31">
        <f t="shared" si="19"/>
        <v>451211.03162204719</v>
      </c>
      <c r="I43" s="31">
        <f>'Önk 2a'!J43+'PH 2b'!H43+'SZEI 2c'!J43+'PMK 2d'!K43+'FMC 2e'!K43+'Óvoda 2f'!L43+'Bölcsőde 2g'!K43+'Gondozási 2h'!J43</f>
        <v>539</v>
      </c>
      <c r="J43" s="31">
        <f>'Önk 2a'!K43+'PH 2b'!I43+'SZEI 2c'!K43+'PMK 2d'!L43+'FMC 2e'!L43+'Óvoda 2f'!M43+'Bölcsőde 2g'!L43+'Gondozási 2h'!K43</f>
        <v>-3341</v>
      </c>
      <c r="K43" s="31">
        <f>'Önk 2a'!L43+'PH 2b'!J43+'SZEI 2c'!L43+'PMK 2d'!M43+'FMC 2e'!M43+'Óvoda 2f'!N43+'Bölcsőde 2g'!M43+'Gondozási 2h'!L43</f>
        <v>0</v>
      </c>
      <c r="L43" s="12">
        <f t="shared" si="20"/>
        <v>448409.03162204719</v>
      </c>
      <c r="M43" s="141">
        <f>'Önk 2a'!N43+'PH 2b'!L43+'SZEI 2c'!N43+'PMK 2d'!O43+'FMC 2e'!O43+'Óvoda 2f'!P43+'Bölcsőde 2g'!O43+'Gondozási 2h'!N43</f>
        <v>189438.06199999998</v>
      </c>
      <c r="N43" s="162">
        <f t="shared" si="21"/>
        <v>0.42246709731679222</v>
      </c>
    </row>
    <row r="44" spans="1:14" ht="16.5" customHeight="1" x14ac:dyDescent="0.25">
      <c r="A44" s="51" t="s">
        <v>70</v>
      </c>
      <c r="B44" s="51" t="s">
        <v>145</v>
      </c>
      <c r="C44" s="29">
        <v>15010</v>
      </c>
      <c r="D44" s="29">
        <f>'PH 2b'!C44+'SZEI 2c'!C44+'PMK 2d'!C44+'FMC 2e'!C44+'Óvoda 2f'!C44+'Bölcsőde 2g'!C44+'Gondozási 2h'!C44</f>
        <v>5180</v>
      </c>
      <c r="E44" s="29">
        <f t="shared" si="18"/>
        <v>20190</v>
      </c>
      <c r="F44" s="29">
        <f>'Önk 2a'!G44</f>
        <v>20250</v>
      </c>
      <c r="G44" s="29">
        <f>'PH 2b'!F44+'SZEI 2c'!H44+'PMK 2d'!I44+'FMC 2e'!I44+'Óvoda 2f'!J44+'Bölcsőde 2g'!I44+'Gondozási 2h'!H44</f>
        <v>690</v>
      </c>
      <c r="H44" s="29">
        <f t="shared" si="19"/>
        <v>20940</v>
      </c>
      <c r="I44" s="29">
        <f>'Önk 2a'!J44+'PH 2b'!H44+'SZEI 2c'!J44+'PMK 2d'!K44+'FMC 2e'!K44+'Óvoda 2f'!L44+'Bölcsőde 2g'!K44+'Gondozási 2h'!J44</f>
        <v>0</v>
      </c>
      <c r="J44" s="29">
        <f>'Önk 2a'!K44+'PH 2b'!I44+'SZEI 2c'!K44+'PMK 2d'!L44+'FMC 2e'!L44+'Óvoda 2f'!M44+'Bölcsőde 2g'!L44+'Gondozási 2h'!K44</f>
        <v>0</v>
      </c>
      <c r="K44" s="29">
        <f>'Önk 2a'!L44+'PH 2b'!J44+'SZEI 2c'!L44+'PMK 2d'!M44+'FMC 2e'!M44+'Óvoda 2f'!N44+'Bölcsőde 2g'!M44+'Gondozási 2h'!L44</f>
        <v>0</v>
      </c>
      <c r="L44" s="13">
        <f t="shared" si="20"/>
        <v>20940</v>
      </c>
      <c r="M44" s="13">
        <f>'Önk 2a'!N44+'PH 2b'!L44+'SZEI 2c'!N44+'PMK 2d'!O44+'FMC 2e'!O44+'Óvoda 2f'!P44+'Bölcsőde 2g'!O44+'Gondozási 2h'!N44</f>
        <v>8214.2380000000012</v>
      </c>
      <c r="N44" s="167">
        <f>M44/L44</f>
        <v>0.39227497612225409</v>
      </c>
    </row>
    <row r="45" spans="1:14" ht="16.5" customHeight="1" x14ac:dyDescent="0.25">
      <c r="A45" s="51" t="s">
        <v>71</v>
      </c>
      <c r="B45" s="56" t="s">
        <v>146</v>
      </c>
      <c r="C45" s="29">
        <f t="shared" ref="C45:M45" si="22">SUM(C46,C47)</f>
        <v>364678</v>
      </c>
      <c r="D45" s="29">
        <f t="shared" si="22"/>
        <v>600</v>
      </c>
      <c r="E45" s="29">
        <f t="shared" si="22"/>
        <v>365278</v>
      </c>
      <c r="F45" s="29">
        <f t="shared" si="22"/>
        <v>1155612.7</v>
      </c>
      <c r="G45" s="29">
        <f t="shared" si="22"/>
        <v>0</v>
      </c>
      <c r="H45" s="29">
        <f t="shared" si="22"/>
        <v>1155612.7</v>
      </c>
      <c r="I45" s="29">
        <f t="shared" si="22"/>
        <v>13096</v>
      </c>
      <c r="J45" s="29">
        <f t="shared" si="22"/>
        <v>-7585</v>
      </c>
      <c r="K45" s="29">
        <f t="shared" si="22"/>
        <v>60394.616999999998</v>
      </c>
      <c r="L45" s="29">
        <f t="shared" si="22"/>
        <v>1221518.317</v>
      </c>
      <c r="M45" s="29">
        <f t="shared" si="22"/>
        <v>232815.13900000002</v>
      </c>
      <c r="N45" s="163">
        <f>M45/L45</f>
        <v>0.19059488159930721</v>
      </c>
    </row>
    <row r="46" spans="1:14" ht="16.5" customHeight="1" x14ac:dyDescent="0.25">
      <c r="A46" s="156" t="s">
        <v>188</v>
      </c>
      <c r="B46" s="50" t="s">
        <v>134</v>
      </c>
      <c r="C46" s="31">
        <v>284678</v>
      </c>
      <c r="D46" s="31">
        <f>'PH 2b'!C46+'SZEI 2c'!C46+'PMK 2d'!C46+'FMC 2e'!C46+'Óvoda 2f'!C46+'Bölcsőde 2g'!C46+'Gondozási 2h'!C46</f>
        <v>600</v>
      </c>
      <c r="E46" s="31">
        <f t="shared" si="18"/>
        <v>285278</v>
      </c>
      <c r="F46" s="31">
        <f>'Önk 2a'!I46</f>
        <v>1104244.3</v>
      </c>
      <c r="G46" s="31">
        <f>'PH 2b'!F46+'SZEI 2c'!H46+'PMK 2d'!I46+'FMC 2e'!I46+'Óvoda 2f'!J46+'Bölcsőde 2g'!I46+'Gondozási 2h'!H46</f>
        <v>0</v>
      </c>
      <c r="H46" s="31">
        <f t="shared" si="19"/>
        <v>1104244.3</v>
      </c>
      <c r="I46" s="31">
        <f>'Önk 2a'!J46+'PH 2b'!H46+'SZEI 2c'!J46+'PMK 2d'!K46+'FMC 2e'!K46+'Óvoda 2f'!L46+'Bölcsőde 2g'!K46+'Gondozási 2h'!J46</f>
        <v>2482</v>
      </c>
      <c r="J46" s="31">
        <f>'Önk 2a'!K46+'PH 2b'!I46+'SZEI 2c'!K46+'PMK 2d'!L46+'FMC 2e'!L46+'Óvoda 2f'!M46+'Bölcsőde 2g'!L46+'Gondozási 2h'!K46</f>
        <v>5123</v>
      </c>
      <c r="K46" s="31">
        <f>'Önk 2a'!L46+'PH 2b'!J46+'SZEI 2c'!L46+'PMK 2d'!M46+'FMC 2e'!M46+'Óvoda 2f'!N46+'Bölcsőde 2g'!M46+'Gondozási 2h'!L46</f>
        <v>44162.296000000002</v>
      </c>
      <c r="L46" s="12">
        <f>H46+I46+J46+K46</f>
        <v>1156011.5960000001</v>
      </c>
      <c r="M46" s="141">
        <f>'Önk 2a'!N46+'PH 2b'!L46+'SZEI 2c'!N46+'PMK 2d'!O46+'FMC 2e'!O46+'Óvoda 2f'!P46+'Bölcsőde 2g'!O46+'Gondozási 2h'!N46</f>
        <v>232815.13900000002</v>
      </c>
      <c r="N46" s="162">
        <f>M46/L46</f>
        <v>0.20139515884233397</v>
      </c>
    </row>
    <row r="47" spans="1:14" ht="16.5" customHeight="1" x14ac:dyDescent="0.25">
      <c r="A47" s="50" t="s">
        <v>168</v>
      </c>
      <c r="B47" s="50" t="s">
        <v>56</v>
      </c>
      <c r="C47" s="55">
        <v>80000</v>
      </c>
      <c r="D47" s="55">
        <f t="shared" ref="D47:E47" si="23">SUM(D48:D49)</f>
        <v>0</v>
      </c>
      <c r="E47" s="55">
        <f t="shared" si="23"/>
        <v>80000</v>
      </c>
      <c r="F47" s="55">
        <f>SUM(F48:F49)</f>
        <v>51368.4</v>
      </c>
      <c r="G47" s="55">
        <f>SUM(G48:G49)</f>
        <v>0</v>
      </c>
      <c r="H47" s="55">
        <f>SUM(H48:H49)</f>
        <v>51368.4</v>
      </c>
      <c r="I47" s="55">
        <f t="shared" ref="I47:K47" si="24">SUM(I48:I49)</f>
        <v>10614</v>
      </c>
      <c r="J47" s="55">
        <f t="shared" si="24"/>
        <v>-12708</v>
      </c>
      <c r="K47" s="55">
        <f t="shared" si="24"/>
        <v>16232.321</v>
      </c>
      <c r="L47" s="12">
        <f>H47+I47+J47+K47</f>
        <v>65506.721000000005</v>
      </c>
      <c r="M47" s="35">
        <f>SUM(M48:M49)</f>
        <v>0</v>
      </c>
      <c r="N47" s="162">
        <f>M47/L47</f>
        <v>0</v>
      </c>
    </row>
    <row r="48" spans="1:14" ht="16.5" customHeight="1" x14ac:dyDescent="0.25">
      <c r="A48" s="50"/>
      <c r="B48" s="50" t="s">
        <v>77</v>
      </c>
      <c r="C48" s="31">
        <v>80000</v>
      </c>
      <c r="D48" s="31">
        <f>'PH 2b'!C49+'SZEI 2c'!R56+'PMK 2d'!R55+'FMC 2e'!R55+'Óvoda 2f'!S56+'Bölcsőde 2g'!R55+'Gondozási 2h'!R55</f>
        <v>0</v>
      </c>
      <c r="E48" s="31">
        <f t="shared" si="18"/>
        <v>80000</v>
      </c>
      <c r="F48" s="31">
        <f>'Önk 2a'!I48</f>
        <v>51368.4</v>
      </c>
      <c r="G48" s="31">
        <f>'PH 2b'!F48+'SZEI 2c'!H48+'PMK 2d'!I48+'FMC 2e'!I48+'Óvoda 2f'!J48+'Bölcsőde 2g'!I48+'Gondozási 2h'!H48</f>
        <v>0</v>
      </c>
      <c r="H48" s="31">
        <f>F48+G48</f>
        <v>51368.4</v>
      </c>
      <c r="I48" s="31">
        <f>'Önk 2a'!J48+'PH 2b'!H48+'SZEI 2c'!J48+'PMK 2d'!K48+'FMC 2e'!K48+'Óvoda 2f'!L48+'Bölcsőde 2g'!K48+'Gondozási 2h'!J48</f>
        <v>10614</v>
      </c>
      <c r="J48" s="31">
        <f>'Önk 2a'!K48+'PH 2b'!I48+'SZEI 2c'!K48+'PMK 2d'!L48+'FMC 2e'!L48+'Óvoda 2f'!M48+'Bölcsőde 2g'!L48+'Gondozási 2h'!K48</f>
        <v>-12708</v>
      </c>
      <c r="K48" s="31">
        <f>'Önk 2a'!L48+'PH 2b'!J48+'SZEI 2c'!L48+'PMK 2d'!M48+'FMC 2e'!M48+'Óvoda 2f'!N48+'Bölcsőde 2g'!M48+'Gondozási 2h'!L48</f>
        <v>16232.321</v>
      </c>
      <c r="L48" s="12">
        <f>H48+I48+J48+K48</f>
        <v>65506.721000000005</v>
      </c>
      <c r="M48" s="141">
        <f>'Önk 2a'!N48+'PH 2b'!L48+'SZEI 2c'!N48+'PMK 2d'!O48+'FMC 2e'!O48+'Óvoda 2f'!P48+'Bölcsőde 2g'!O48+'Gondozási 2h'!N48</f>
        <v>0</v>
      </c>
      <c r="N48" s="162">
        <f>M48/L48</f>
        <v>0</v>
      </c>
    </row>
    <row r="49" spans="1:14" ht="16.5" customHeight="1" x14ac:dyDescent="0.25">
      <c r="A49" s="50"/>
      <c r="B49" s="50" t="s">
        <v>78</v>
      </c>
      <c r="C49" s="31">
        <v>0</v>
      </c>
      <c r="D49" s="31">
        <f>'PH 2b'!C50+'SZEI 2c'!R57+'PMK 2d'!R56+'FMC 2e'!R56+'Óvoda 2f'!S57+'Bölcsőde 2g'!R56+'Gondozási 2h'!R56</f>
        <v>0</v>
      </c>
      <c r="E49" s="31">
        <f t="shared" si="18"/>
        <v>0</v>
      </c>
      <c r="F49" s="31">
        <f>'Önk 2a'!I49</f>
        <v>0</v>
      </c>
      <c r="G49" s="31">
        <f>'PH 2b'!F49+'SZEI 2c'!H49+'PMK 2d'!I49+'FMC 2e'!I49+'Óvoda 2f'!J49+'Bölcsőde 2g'!I49+'Gondozási 2h'!H49</f>
        <v>0</v>
      </c>
      <c r="H49" s="31">
        <f>F49+G49</f>
        <v>0</v>
      </c>
      <c r="I49" s="31">
        <f>'Önk 2a'!J49+'PH 2b'!H49+'SZEI 2c'!J49+'PMK 2d'!K49+'FMC 2e'!K49+'Óvoda 2f'!L49+'Bölcsőde 2g'!K49+'Gondozási 2h'!J49</f>
        <v>0</v>
      </c>
      <c r="J49" s="31">
        <f>'Önk 2a'!K49+'PH 2b'!I49+'SZEI 2c'!K49+'PMK 2d'!L49+'FMC 2e'!L49+'Óvoda 2f'!M49+'Bölcsőde 2g'!L49+'Gondozási 2h'!K49</f>
        <v>0</v>
      </c>
      <c r="K49" s="31"/>
      <c r="L49" s="12">
        <f>H49+J49+I49+K49</f>
        <v>0</v>
      </c>
      <c r="M49" s="141">
        <f>'Önk 2a'!N49+'PH 2b'!L49+'SZEI 2c'!N49+'PMK 2d'!O49+'FMC 2e'!O49+'Óvoda 2f'!P49+'Bölcsőde 2g'!O49+'Gondozási 2h'!N49</f>
        <v>0</v>
      </c>
      <c r="N49" s="162"/>
    </row>
    <row r="50" spans="1:14" ht="16.5" customHeight="1" x14ac:dyDescent="0.25">
      <c r="A50" s="51" t="s">
        <v>73</v>
      </c>
      <c r="B50" s="51" t="s">
        <v>147</v>
      </c>
      <c r="C50" s="91">
        <v>1405767</v>
      </c>
      <c r="D50" s="29">
        <f>'PH 2b'!C50+'SZEI 2c'!C50+'PMK 2d'!C50+'FMC 2e'!C50+'Óvoda 2f'!C50+'Bölcsőde 2g'!C50+'Gondozási 2h'!C50</f>
        <v>106237</v>
      </c>
      <c r="E50" s="29">
        <f t="shared" si="18"/>
        <v>1512004</v>
      </c>
      <c r="F50" s="29">
        <f>'Önk 2a'!I50</f>
        <v>150727</v>
      </c>
      <c r="G50" s="29">
        <f>'PH 2b'!F50+'SZEI 2c'!H50+'PMK 2d'!I50+'FMC 2e'!I50+'Óvoda 2f'!J50+'Bölcsőde 2g'!I50+'Gondozási 2h'!H50</f>
        <v>70781</v>
      </c>
      <c r="H50" s="29">
        <f>F50+G50</f>
        <v>221508</v>
      </c>
      <c r="I50" s="29">
        <f>'Önk 2a'!J50+'PH 2b'!H50+'SZEI 2c'!J50+'PMK 2d'!K50+'FMC 2e'!K50+'Óvoda 2f'!L50+'Bölcsőde 2g'!K50+'Gondozási 2h'!J50</f>
        <v>83010</v>
      </c>
      <c r="J50" s="29">
        <f>'Önk 2a'!K50+'PH 2b'!I50+'SZEI 2c'!K50+'PMK 2d'!L50+'FMC 2e'!L50+'Óvoda 2f'!M50+'Bölcsőde 2g'!L50+'Gondozási 2h'!K50</f>
        <v>14536</v>
      </c>
      <c r="K50" s="29">
        <f>'Önk 2a'!L50+'PH 2b'!J50+'SZEI 2c'!L50+'PMK 2d'!M50+'FMC 2e'!M50+'Óvoda 2f'!N50+'Bölcsőde 2g'!M50+'Gondozási 2h'!L50</f>
        <v>18559.351000000002</v>
      </c>
      <c r="L50" s="29">
        <f>H50++J50+I50+K50</f>
        <v>337613.35100000002</v>
      </c>
      <c r="M50" s="29">
        <f>'Önk 2a'!N50+'PH 2b'!L50+'SZEI 2c'!N50+'PMK 2d'!O50+'FMC 2e'!O50+'Óvoda 2f'!P50+'Bölcsőde 2g'!O50+'Gondozási 2h'!N50</f>
        <v>139033.01699999999</v>
      </c>
      <c r="N50" s="163">
        <f t="shared" ref="N50:N58" si="25">M50/L50</f>
        <v>0.4118113711681976</v>
      </c>
    </row>
    <row r="51" spans="1:14" ht="16.5" customHeight="1" x14ac:dyDescent="0.25">
      <c r="A51" s="51" t="s">
        <v>74</v>
      </c>
      <c r="B51" s="51" t="s">
        <v>148</v>
      </c>
      <c r="C51" s="91">
        <v>389510</v>
      </c>
      <c r="D51" s="29">
        <f>'PH 2b'!C51+'SZEI 2c'!C51+'PMK 2d'!C51+'FMC 2e'!C51+'Óvoda 2f'!C51+'Bölcsőde 2g'!C51+'Gondozási 2h'!C51</f>
        <v>48000</v>
      </c>
      <c r="E51" s="29">
        <f t="shared" si="18"/>
        <v>437510</v>
      </c>
      <c r="F51" s="29">
        <f>'Önk 2a'!I51</f>
        <v>392700</v>
      </c>
      <c r="G51" s="29">
        <f>'PH 2b'!F51+'SZEI 2c'!H51+'PMK 2d'!I51+'FMC 2e'!I51+'Óvoda 2f'!J51+'Bölcsőde 2g'!I51+'Gondozási 2h'!H51</f>
        <v>0</v>
      </c>
      <c r="H51" s="29">
        <f>F51+G51</f>
        <v>392700</v>
      </c>
      <c r="I51" s="29">
        <f>'Önk 2a'!J51+'PH 2b'!H51+'SZEI 2c'!J51+'PMK 2d'!K51+'FMC 2e'!K51+'Óvoda 2f'!L51+'Bölcsőde 2g'!K51+'Gondozási 2h'!J51</f>
        <v>66734</v>
      </c>
      <c r="J51" s="29">
        <f>'Önk 2a'!K51+'PH 2b'!I51+'SZEI 2c'!K51+'PMK 2d'!L51+'FMC 2e'!L51+'Óvoda 2f'!M51+'Bölcsőde 2g'!L51+'Gondozási 2h'!K51</f>
        <v>-16805</v>
      </c>
      <c r="K51" s="29">
        <f>'Önk 2a'!L51+'PH 2b'!J51+'SZEI 2c'!L51+'PMK 2d'!M51+'FMC 2e'!M51+'Óvoda 2f'!N51+'Bölcsőde 2g'!M51+'Gondozási 2h'!L51</f>
        <v>-46200</v>
      </c>
      <c r="L51" s="29">
        <f>H51+J51+I51+K51</f>
        <v>396429</v>
      </c>
      <c r="M51" s="29">
        <f>'Önk 2a'!N51+'PH 2b'!L51+'SZEI 2c'!N51+'PMK 2d'!O51+'FMC 2e'!O51+'Óvoda 2f'!P51+'Bölcsőde 2g'!O51+'Gondozási 2h'!N51</f>
        <v>111537.46799999999</v>
      </c>
      <c r="N51" s="163">
        <f t="shared" si="25"/>
        <v>0.28135547096705837</v>
      </c>
    </row>
    <row r="52" spans="1:14" ht="16.5" customHeight="1" x14ac:dyDescent="0.25">
      <c r="A52" s="51" t="s">
        <v>75</v>
      </c>
      <c r="B52" s="51" t="s">
        <v>149</v>
      </c>
      <c r="C52" s="29">
        <v>22043</v>
      </c>
      <c r="D52" s="29">
        <f>'PH 2b'!C52+'SZEI 2c'!C52+'PMK 2d'!C52+'FMC 2e'!C52+'Óvoda 2f'!C52+'Bölcsőde 2g'!C52+'Gondozási 2h'!C52</f>
        <v>0</v>
      </c>
      <c r="E52" s="29">
        <f t="shared" si="18"/>
        <v>22043</v>
      </c>
      <c r="F52" s="29">
        <f>'Önk 2a'!I52</f>
        <v>92160</v>
      </c>
      <c r="G52" s="29">
        <f>'PH 2b'!F52+'SZEI 2c'!H52+'PMK 2d'!I52+'FMC 2e'!I52+'Óvoda 2f'!J52+'Bölcsőde 2g'!I52+'Gondozási 2h'!H52</f>
        <v>0</v>
      </c>
      <c r="H52" s="29">
        <f>F52+G52</f>
        <v>92160</v>
      </c>
      <c r="I52" s="29">
        <f>'Önk 2a'!J52+'PH 2b'!H52+'SZEI 2c'!J52+'PMK 2d'!K52+'FMC 2e'!K52+'Óvoda 2f'!L52+'Bölcsőde 2g'!K52+'Gondozási 2h'!J52</f>
        <v>0</v>
      </c>
      <c r="J52" s="29">
        <f>'Önk 2a'!K52+'PH 2b'!I52+'SZEI 2c'!K52+'PMK 2d'!L52+'FMC 2e'!L52+'Óvoda 2f'!M52+'Bölcsőde 2g'!L52+'Gondozási 2h'!K52</f>
        <v>2540</v>
      </c>
      <c r="K52" s="29">
        <f>'Önk 2a'!L52+'PH 2b'!J52+'SZEI 2c'!L52+'PMK 2d'!M52+'FMC 2e'!M52+'Óvoda 2f'!N52+'Bölcsőde 2g'!M52+'Gondozási 2h'!L52</f>
        <v>5182.1319999999996</v>
      </c>
      <c r="L52" s="29">
        <f>H52+J52+I52+K52</f>
        <v>99882.131999999998</v>
      </c>
      <c r="M52" s="29">
        <f>'Önk 2a'!N52+'PH 2b'!L52+'SZEI 2c'!N52+'PMK 2d'!O52+'FMC 2e'!O52+'Óvoda 2f'!P52+'Bölcsőde 2g'!O52+'Gondozási 2h'!N52</f>
        <v>34376.169000000002</v>
      </c>
      <c r="N52" s="163">
        <f t="shared" si="25"/>
        <v>0.34416735317584135</v>
      </c>
    </row>
    <row r="53" spans="1:14" ht="16.5" customHeight="1" x14ac:dyDescent="0.25">
      <c r="A53" s="64"/>
      <c r="B53" s="65" t="s">
        <v>42</v>
      </c>
      <c r="C53" s="66">
        <f t="shared" ref="C53:H53" si="26">C3-C33</f>
        <v>1770628.0699999994</v>
      </c>
      <c r="D53" s="66">
        <f t="shared" si="26"/>
        <v>-2027224</v>
      </c>
      <c r="E53" s="66">
        <f t="shared" si="26"/>
        <v>-256595.93000000063</v>
      </c>
      <c r="F53" s="66">
        <f t="shared" si="26"/>
        <v>1856276.3297165362</v>
      </c>
      <c r="G53" s="66">
        <f t="shared" si="26"/>
        <v>-2067171</v>
      </c>
      <c r="H53" s="66">
        <f t="shared" si="26"/>
        <v>-210894.67028346378</v>
      </c>
      <c r="I53" s="66">
        <f>I3-I33</f>
        <v>-232374</v>
      </c>
      <c r="J53" s="66">
        <f>J3-J33</f>
        <v>0</v>
      </c>
      <c r="K53" s="66">
        <f>K3-K33</f>
        <v>0</v>
      </c>
      <c r="L53" s="66">
        <f>L3-L33</f>
        <v>-443268.67028346378</v>
      </c>
      <c r="M53" s="67">
        <f>M3-M33</f>
        <v>300728.9320000005</v>
      </c>
      <c r="N53" s="169">
        <f t="shared" si="25"/>
        <v>-0.67843489098313392</v>
      </c>
    </row>
    <row r="54" spans="1:14" ht="16.5" customHeight="1" x14ac:dyDescent="0.25">
      <c r="A54" s="68"/>
      <c r="B54" s="69" t="s">
        <v>43</v>
      </c>
      <c r="C54" s="93">
        <f t="shared" ref="C54:H54" si="27">C6+C8+C15+C31-C34-C37-C38-C44-C45</f>
        <v>2103340.0700000003</v>
      </c>
      <c r="D54" s="93">
        <f t="shared" si="27"/>
        <v>-1963544</v>
      </c>
      <c r="E54" s="93">
        <f t="shared" si="27"/>
        <v>139796.06999999937</v>
      </c>
      <c r="F54" s="93">
        <f t="shared" si="27"/>
        <v>2025068.829716536</v>
      </c>
      <c r="G54" s="93">
        <f t="shared" si="27"/>
        <v>-2005390</v>
      </c>
      <c r="H54" s="93">
        <f t="shared" si="27"/>
        <v>19678.829716535984</v>
      </c>
      <c r="I54" s="93">
        <f>I6+I8+I15+I31-I34-I37-I38-I44-I45</f>
        <v>-102815</v>
      </c>
      <c r="J54" s="93">
        <f>J6+J8+J15+J31-J34-J37-J38-J44-J45</f>
        <v>-665</v>
      </c>
      <c r="K54" s="93">
        <f>K6+K8+K15+K31-K34-K37-K38-K44-K45</f>
        <v>-56085.671999999999</v>
      </c>
      <c r="L54" s="93">
        <f>L6+L8+L15+L31-L34-L37-L38-L44-L45</f>
        <v>-139886.8422834638</v>
      </c>
      <c r="M54" s="70">
        <f>M6+M8+M15+M31-M34-M37-M38-M44-M45+M49</f>
        <v>473757.90200000053</v>
      </c>
      <c r="N54" s="170">
        <f t="shared" si="25"/>
        <v>-3.386722398379594</v>
      </c>
    </row>
    <row r="55" spans="1:14" ht="16.5" customHeight="1" x14ac:dyDescent="0.25">
      <c r="A55" s="68"/>
      <c r="B55" s="69" t="s">
        <v>44</v>
      </c>
      <c r="C55" s="93">
        <f t="shared" ref="C55:H55" si="28">C7+C27+C32-C52-C51-C50</f>
        <v>-332712</v>
      </c>
      <c r="D55" s="93">
        <f t="shared" si="28"/>
        <v>-63680</v>
      </c>
      <c r="E55" s="93">
        <f t="shared" si="28"/>
        <v>-396392</v>
      </c>
      <c r="F55" s="93">
        <f t="shared" si="28"/>
        <v>-168792.5</v>
      </c>
      <c r="G55" s="93">
        <f t="shared" si="28"/>
        <v>-61781</v>
      </c>
      <c r="H55" s="93">
        <f t="shared" si="28"/>
        <v>-230573.5</v>
      </c>
      <c r="I55" s="93">
        <f>I7+I27+I32-I52-I51-I50</f>
        <v>-129559</v>
      </c>
      <c r="J55" s="93">
        <f>J7+J27+J32-J52-J51-J50</f>
        <v>665</v>
      </c>
      <c r="K55" s="93">
        <f>K7+K27+K32-K52-K51-K50</f>
        <v>56085.671999999999</v>
      </c>
      <c r="L55" s="93">
        <f>L7+L27+L32-L52-L51-L50</f>
        <v>-303381.82799999998</v>
      </c>
      <c r="M55" s="70">
        <f>M7+M27+M32-M49-M50-M51-M52</f>
        <v>-173028.96999999997</v>
      </c>
      <c r="N55" s="170">
        <f t="shared" si="25"/>
        <v>0.57033399508687777</v>
      </c>
    </row>
    <row r="56" spans="1:14" s="4" customFormat="1" ht="16.5" customHeight="1" x14ac:dyDescent="0.25">
      <c r="A56" s="71" t="s">
        <v>132</v>
      </c>
      <c r="B56" s="72" t="s">
        <v>45</v>
      </c>
      <c r="C56" s="73">
        <f t="shared" ref="C56:H56" si="29">C57+C65</f>
        <v>406596</v>
      </c>
      <c r="D56" s="73">
        <f t="shared" si="29"/>
        <v>0</v>
      </c>
      <c r="E56" s="73">
        <f t="shared" si="29"/>
        <v>406596</v>
      </c>
      <c r="F56" s="73">
        <f t="shared" si="29"/>
        <v>360894</v>
      </c>
      <c r="G56" s="73">
        <f t="shared" si="29"/>
        <v>2067170.9</v>
      </c>
      <c r="H56" s="73">
        <f t="shared" si="29"/>
        <v>2428064.9</v>
      </c>
      <c r="I56" s="73">
        <f>I57+I65</f>
        <v>317950</v>
      </c>
      <c r="J56" s="73">
        <f>J57+J65</f>
        <v>361202</v>
      </c>
      <c r="K56" s="73">
        <f>K57+K65</f>
        <v>39340</v>
      </c>
      <c r="L56" s="73">
        <f>L57+L65</f>
        <v>3146556.9</v>
      </c>
      <c r="M56" s="74">
        <f t="shared" ref="M56" si="30">M57</f>
        <v>1640174.8109999998</v>
      </c>
      <c r="N56" s="171">
        <f t="shared" si="25"/>
        <v>0.52126017838736682</v>
      </c>
    </row>
    <row r="57" spans="1:14" ht="16.5" customHeight="1" x14ac:dyDescent="0.25">
      <c r="A57" s="50" t="s">
        <v>120</v>
      </c>
      <c r="B57" s="50" t="s">
        <v>50</v>
      </c>
      <c r="C57" s="55">
        <f t="shared" ref="C57:H57" si="31">C58+C59+C60+C63+C64</f>
        <v>406596</v>
      </c>
      <c r="D57" s="55">
        <f t="shared" si="31"/>
        <v>0</v>
      </c>
      <c r="E57" s="55">
        <f t="shared" si="31"/>
        <v>406596</v>
      </c>
      <c r="F57" s="55">
        <f t="shared" si="31"/>
        <v>360894</v>
      </c>
      <c r="G57" s="55">
        <f t="shared" si="31"/>
        <v>2067170.9</v>
      </c>
      <c r="H57" s="55">
        <f t="shared" si="31"/>
        <v>2428064.9</v>
      </c>
      <c r="I57" s="55">
        <f>I58+I59+I60+I63+I64</f>
        <v>317950</v>
      </c>
      <c r="J57" s="55">
        <f>J58+J59+J60+J63+J64</f>
        <v>361202</v>
      </c>
      <c r="K57" s="55">
        <f>K58+K59+K60+K63+K64</f>
        <v>39340</v>
      </c>
      <c r="L57" s="55">
        <f>L58+L59+L60+L63+L64</f>
        <v>3146556.9</v>
      </c>
      <c r="M57" s="35">
        <f>M58+M59+M60+M64</f>
        <v>1640174.8109999998</v>
      </c>
      <c r="N57" s="168">
        <f t="shared" si="25"/>
        <v>0.52126017838736682</v>
      </c>
    </row>
    <row r="58" spans="1:14" ht="16.5" customHeight="1" x14ac:dyDescent="0.25">
      <c r="A58" s="50" t="s">
        <v>79</v>
      </c>
      <c r="B58" s="50" t="s">
        <v>47</v>
      </c>
      <c r="C58" s="31">
        <v>150000</v>
      </c>
      <c r="D58" s="31">
        <f>'PH 2b'!C58+'SZEI 2c'!C58+'PMK 2d'!C58+'FMC 2e'!C58+'Óvoda 2f'!C58+'Bölcsőde 2g'!C58+'Gondozási 2h'!C58</f>
        <v>0</v>
      </c>
      <c r="E58" s="31">
        <f t="shared" ref="E58:E65" si="32">C58+D58</f>
        <v>150000</v>
      </c>
      <c r="F58" s="31">
        <f>'Önk 2a'!I58</f>
        <v>150000</v>
      </c>
      <c r="G58" s="31">
        <f>'PH 2b'!F58+'SZEI 2c'!H58+'PMK 2d'!I58+'FMC 2e'!I58+'Óvoda 2f'!J58+'Bölcsőde 2g'!I58+'Gondozási 2h'!H58</f>
        <v>0</v>
      </c>
      <c r="H58" s="31">
        <f t="shared" ref="H58:H65" si="33">F58+G58</f>
        <v>150000</v>
      </c>
      <c r="I58" s="31">
        <f>'Önk 2a'!J58+'PH 2b'!H58+'SZEI 2c'!J58+'PMK 2d'!K58+'FMC 2e'!K58+'Óvoda 2f'!L58+'Bölcsőde 2g'!K58+'Gondozási 2h'!J58</f>
        <v>0</v>
      </c>
      <c r="J58" s="31">
        <f>'Önk 2a'!K58+'PH 2b'!I58+'SZEI 2c'!K58+'PMK 2d'!L58+'FMC 2e'!L58+'Óvoda 2f'!M58+'Bölcsőde 2g'!L58+'Gondozási 2h'!K58</f>
        <v>400000</v>
      </c>
      <c r="K58" s="31">
        <f>'Önk 2a'!L58+'PH 2b'!J58+'SZEI 2c'!L58+'PMK 2d'!M58+'FMC 2e'!M58+'Óvoda 2f'!N58+'Bölcsőde 2g'!M58+'Gondozási 2h'!L58</f>
        <v>0</v>
      </c>
      <c r="L58" s="12">
        <f>H58+I58+J58+K58</f>
        <v>550000</v>
      </c>
      <c r="M58" s="141">
        <f>'Önk 2a'!N58+'PH 2b'!L58+'SZEI 2c'!N58+'PMK 2d'!O58+'FMC 2e'!O58+'Óvoda 2f'!P58+'Bölcsőde 2g'!O58+'Gondozási 2h'!N58</f>
        <v>50000</v>
      </c>
      <c r="N58" s="162">
        <f t="shared" si="25"/>
        <v>9.0909090909090912E-2</v>
      </c>
    </row>
    <row r="59" spans="1:14" ht="16.5" customHeight="1" x14ac:dyDescent="0.25">
      <c r="A59" s="50" t="s">
        <v>80</v>
      </c>
      <c r="B59" s="50" t="s">
        <v>48</v>
      </c>
      <c r="C59" s="31">
        <v>0</v>
      </c>
      <c r="D59" s="31">
        <f>'PH 2b'!C59+'SZEI 2c'!C59+'PMK 2d'!C59+'FMC 2e'!C59+'Óvoda 2f'!C59+'Bölcsőde 2g'!C59+'Gondozási 2h'!C59</f>
        <v>0</v>
      </c>
      <c r="E59" s="31">
        <f t="shared" si="32"/>
        <v>0</v>
      </c>
      <c r="F59" s="31">
        <f>'Önk 2a'!I59</f>
        <v>0</v>
      </c>
      <c r="G59" s="31">
        <f>'PH 2b'!F59+'SZEI 2c'!H59+'PMK 2d'!I59+'FMC 2e'!I59+'Óvoda 2f'!J59+'Bölcsőde 2g'!I59+'Gondozási 2h'!H59</f>
        <v>0</v>
      </c>
      <c r="H59" s="31">
        <f t="shared" si="33"/>
        <v>0</v>
      </c>
      <c r="I59" s="31">
        <f>'Önk 2a'!J59+'PH 2b'!H59+'SZEI 2c'!J59+'PMK 2d'!K59+'FMC 2e'!K59+'Óvoda 2f'!L59+'Bölcsőde 2g'!K59+'Gondozási 2h'!J59</f>
        <v>0</v>
      </c>
      <c r="J59" s="31">
        <f>'Önk 2a'!K59+'PH 2b'!I59+'SZEI 2c'!K59+'PMK 2d'!L59+'FMC 2e'!L59+'Óvoda 2f'!M59+'Bölcsőde 2g'!L59+'Gondozási 2h'!K59</f>
        <v>0</v>
      </c>
      <c r="K59" s="31">
        <f>'Önk 2a'!L59+'PH 2b'!J59+'SZEI 2c'!L59+'PMK 2d'!M59+'FMC 2e'!M59+'Óvoda 2f'!N59+'Bölcsőde 2g'!M59+'Gondozási 2h'!L59</f>
        <v>0</v>
      </c>
      <c r="L59" s="12">
        <f>H59+I59+J59+K59</f>
        <v>0</v>
      </c>
      <c r="M59" s="141">
        <f>'Önk 2a'!N59+'PH 2b'!L59+'SZEI 2c'!N59+'PMK 2d'!O59+'FMC 2e'!O59+'Óvoda 2f'!P59+'Bölcsőde 2g'!O59+'Gondozási 2h'!N59</f>
        <v>0</v>
      </c>
      <c r="N59" s="162"/>
    </row>
    <row r="60" spans="1:14" ht="16.5" customHeight="1" x14ac:dyDescent="0.25">
      <c r="A60" s="50" t="s">
        <v>81</v>
      </c>
      <c r="B60" s="50" t="s">
        <v>49</v>
      </c>
      <c r="C60" s="31">
        <f t="shared" ref="C60:H60" si="34">SUM(C61,C62)</f>
        <v>256596</v>
      </c>
      <c r="D60" s="31">
        <f t="shared" si="34"/>
        <v>0</v>
      </c>
      <c r="E60" s="31">
        <f t="shared" si="34"/>
        <v>256596</v>
      </c>
      <c r="F60" s="31">
        <f t="shared" si="34"/>
        <v>210894</v>
      </c>
      <c r="G60" s="31">
        <f t="shared" si="34"/>
        <v>0</v>
      </c>
      <c r="H60" s="31">
        <f t="shared" si="34"/>
        <v>210894</v>
      </c>
      <c r="I60" s="31">
        <f>SUM(I61:I62)</f>
        <v>276512</v>
      </c>
      <c r="J60" s="31">
        <f t="shared" ref="J60:L60" si="35">SUM(J61:J62)</f>
        <v>0</v>
      </c>
      <c r="K60" s="31">
        <f t="shared" si="35"/>
        <v>0</v>
      </c>
      <c r="L60" s="31">
        <f t="shared" si="35"/>
        <v>487406</v>
      </c>
      <c r="M60" s="158">
        <f>'Önk 2a'!N60+'PH 2b'!L60+'SZEI 2c'!N60+'PMK 2d'!O60+'FMC 2e'!O60+'Óvoda 2f'!P60+'Bölcsőde 2g'!O60+'Gondozási 2h'!N60</f>
        <v>487406.2</v>
      </c>
      <c r="N60" s="172">
        <f>M60/L60</f>
        <v>1.0000004103355313</v>
      </c>
    </row>
    <row r="61" spans="1:14" ht="16.5" customHeight="1" x14ac:dyDescent="0.25">
      <c r="A61" s="50"/>
      <c r="B61" s="62" t="s">
        <v>82</v>
      </c>
      <c r="C61" s="31">
        <v>208568</v>
      </c>
      <c r="D61" s="31">
        <f>'PH 2b'!C61+'SZEI 2c'!C61+'PMK 2d'!C61+'FMC 2e'!C61+'Óvoda 2f'!C61+'Bölcsőde 2g'!C61+'Gondozási 2h'!C61</f>
        <v>0</v>
      </c>
      <c r="E61" s="31">
        <f t="shared" si="32"/>
        <v>208568</v>
      </c>
      <c r="F61" s="31">
        <f>'Önk 2a'!I61</f>
        <v>95894</v>
      </c>
      <c r="G61" s="31">
        <f>'PH 2b'!F61+'SZEI 2c'!H61+'PMK 2d'!I61+'FMC 2e'!I61+'Óvoda 2f'!J61+'Bölcsőde 2g'!I61+'Gondozási 2h'!H61</f>
        <v>0</v>
      </c>
      <c r="H61" s="31">
        <f t="shared" si="33"/>
        <v>95894</v>
      </c>
      <c r="I61" s="31">
        <f>'Önk 2a'!J61+'PH 2b'!H61+'SZEI 2c'!J61+'PMK 2d'!K61+'FMC 2e'!K61+'Óvoda 2f'!L61+'Bölcsőde 2g'!K61+'Gondozási 2h'!J61</f>
        <v>248377</v>
      </c>
      <c r="J61" s="31">
        <f>'Önk 2a'!K61+'PH 2b'!I61+'SZEI 2c'!K61+'PMK 2d'!L61+'FMC 2e'!L61+'Óvoda 2f'!M61+'Bölcsőde 2g'!L61+'Gondozási 2h'!K61</f>
        <v>0</v>
      </c>
      <c r="K61" s="31">
        <f>'Önk 2a'!L61+'PH 2b'!J61+'SZEI 2c'!L61+'PMK 2d'!M61+'FMC 2e'!M61+'Óvoda 2f'!N61+'Bölcsőde 2g'!M61+'Gondozási 2h'!L61</f>
        <v>0</v>
      </c>
      <c r="L61" s="12">
        <f>H61+I61+J61+K61</f>
        <v>344271</v>
      </c>
      <c r="M61" s="141"/>
      <c r="N61" s="162">
        <f>M61/L61</f>
        <v>0</v>
      </c>
    </row>
    <row r="62" spans="1:14" ht="16.5" customHeight="1" x14ac:dyDescent="0.25">
      <c r="A62" s="50"/>
      <c r="B62" s="62" t="s">
        <v>83</v>
      </c>
      <c r="C62" s="31">
        <v>48028</v>
      </c>
      <c r="D62" s="31">
        <f>'PH 2b'!C62+'SZEI 2c'!C62+'PMK 2d'!C62+'FMC 2e'!C62+'Óvoda 2f'!C62+'Bölcsőde 2g'!C62+'Gondozási 2h'!C62</f>
        <v>0</v>
      </c>
      <c r="E62" s="31">
        <f t="shared" si="32"/>
        <v>48028</v>
      </c>
      <c r="F62" s="31">
        <f>'Önk 2a'!I62</f>
        <v>115000</v>
      </c>
      <c r="G62" s="31">
        <f>'PH 2b'!F62+'SZEI 2c'!H62+'PMK 2d'!I62+'FMC 2e'!I62+'Óvoda 2f'!J62+'Bölcsőde 2g'!I62+'Gondozási 2h'!H62</f>
        <v>0</v>
      </c>
      <c r="H62" s="31">
        <f t="shared" si="33"/>
        <v>115000</v>
      </c>
      <c r="I62" s="31">
        <f>'Önk 2a'!J62+'PH 2b'!H62+'SZEI 2c'!J62+'PMK 2d'!K62+'FMC 2e'!K62+'Óvoda 2f'!L62+'Bölcsőde 2g'!K62+'Gondozási 2h'!J62</f>
        <v>28135</v>
      </c>
      <c r="J62" s="31">
        <f>'Önk 2a'!K62+'PH 2b'!I62+'SZEI 2c'!K62+'PMK 2d'!L62+'FMC 2e'!L62+'Óvoda 2f'!M62+'Bölcsőde 2g'!L62+'Gondozási 2h'!K62</f>
        <v>0</v>
      </c>
      <c r="K62" s="31"/>
      <c r="L62" s="12">
        <f>H62+I62+J62+K62</f>
        <v>143135</v>
      </c>
      <c r="M62" s="141"/>
      <c r="N62" s="162">
        <f>M62/L62</f>
        <v>0</v>
      </c>
    </row>
    <row r="63" spans="1:14" ht="16.5" customHeight="1" x14ac:dyDescent="0.25">
      <c r="A63" s="50" t="s">
        <v>84</v>
      </c>
      <c r="B63" s="50" t="s">
        <v>131</v>
      </c>
      <c r="C63" s="31"/>
      <c r="D63" s="31">
        <f>'PH 2b'!C63+'SZEI 2c'!C63+'PMK 2d'!C63+'FMC 2e'!C63+'Óvoda 2f'!C63+'Bölcsőde 2g'!C63+'Gondozási 2h'!C63</f>
        <v>0</v>
      </c>
      <c r="E63" s="31">
        <f t="shared" si="32"/>
        <v>0</v>
      </c>
      <c r="F63" s="31">
        <f>'Önk 2a'!I63</f>
        <v>0</v>
      </c>
      <c r="G63" s="31">
        <f>'PH 2b'!F63+'SZEI 2c'!H63+'PMK 2d'!I63+'FMC 2e'!I63+'Óvoda 2f'!J63+'Bölcsőde 2g'!I63+'Gondozási 2h'!H63</f>
        <v>0</v>
      </c>
      <c r="H63" s="31">
        <f t="shared" si="33"/>
        <v>0</v>
      </c>
      <c r="I63" s="31">
        <f>'Önk 2a'!J63+'PH 2b'!H63+'SZEI 2c'!J63+'PMK 2d'!K63+'FMC 2e'!K63+'Óvoda 2f'!L63+'Bölcsőde 2g'!K63+'Gondozási 2h'!J63</f>
        <v>0</v>
      </c>
      <c r="J63" s="31">
        <f>'Önk 2a'!K63+'PH 2b'!I63+'SZEI 2c'!K63+'PMK 2d'!L63+'FMC 2e'!L63+'Óvoda 2f'!M63+'Bölcsőde 2g'!L63+'Gondozási 2h'!K63</f>
        <v>0</v>
      </c>
      <c r="K63" s="31"/>
      <c r="L63" s="12">
        <f>H63+I63+J63+K63</f>
        <v>0</v>
      </c>
      <c r="M63" s="141">
        <f>'Önk 2a'!N63+'PH 2b'!L63+'SZEI 2c'!N63+'PMK 2d'!O63+'FMC 2e'!O63+'Óvoda 2f'!P63+'Bölcsőde 2g'!O63+'Gondozási 2h'!N63</f>
        <v>0</v>
      </c>
      <c r="N63" s="162"/>
    </row>
    <row r="64" spans="1:14" s="1" customFormat="1" ht="16.5" customHeight="1" x14ac:dyDescent="0.25">
      <c r="A64" s="75" t="s">
        <v>121</v>
      </c>
      <c r="B64" s="75" t="s">
        <v>122</v>
      </c>
      <c r="C64" s="96"/>
      <c r="D64" s="96"/>
      <c r="E64" s="96">
        <f t="shared" si="32"/>
        <v>0</v>
      </c>
      <c r="F64" s="31">
        <f>'Önk 2a'!I64</f>
        <v>0</v>
      </c>
      <c r="G64" s="31">
        <f>'PH 2b'!F64+'SZEI 2c'!H64+'PMK 2d'!I64+'FMC 2e'!I64+'Óvoda 2f'!J64+'Bölcsőde 2g'!I64+'Gondozási 2h'!H64</f>
        <v>2067170.9</v>
      </c>
      <c r="H64" s="96">
        <f t="shared" si="33"/>
        <v>2067170.9</v>
      </c>
      <c r="I64" s="31">
        <f>'Önk 2a'!J64+'PH 2b'!H64+'SZEI 2c'!J64+'PMK 2d'!K64+'FMC 2e'!K64+'Óvoda 2f'!L64+'Bölcsőde 2g'!K64+'Gondozási 2h'!J64</f>
        <v>41438</v>
      </c>
      <c r="J64" s="96">
        <f>'Önk 2a'!K64+'PH 2b'!I64+'SZEI 2c'!K64+'PMK 2d'!L64+'FMC 2e'!L64+'Óvoda 2f'!M64+'Bölcsőde 2g'!L64+'Gondozási 2h'!K64</f>
        <v>-38798</v>
      </c>
      <c r="K64" s="96">
        <f>'Önk 2a'!L64+'PH 2b'!J64+'SZEI 2c'!L64+'PMK 2d'!M64+'FMC 2e'!M64+'Óvoda 2f'!N64+'Bölcsőde 2g'!M64+'Gondozási 2h'!L64</f>
        <v>39340</v>
      </c>
      <c r="L64" s="12">
        <f>H64+I64+J64+K64</f>
        <v>2109150.9</v>
      </c>
      <c r="M64" s="158">
        <f>'Önk 2a'!N64+'PH 2b'!L64+'SZEI 2c'!N64+'PMK 2d'!O64+'FMC 2e'!O64+'Óvoda 2f'!P64+'Bölcsőde 2g'!O64+'Gondozási 2h'!N64</f>
        <v>1102768.6109999998</v>
      </c>
      <c r="N64" s="172">
        <f>M64/L64</f>
        <v>0.52284955571457681</v>
      </c>
    </row>
    <row r="65" spans="1:15" ht="16.5" customHeight="1" x14ac:dyDescent="0.25">
      <c r="A65" s="50" t="s">
        <v>85</v>
      </c>
      <c r="B65" s="75" t="s">
        <v>51</v>
      </c>
      <c r="C65" s="31"/>
      <c r="D65" s="31">
        <f>'PH 2b'!C66+'SZEI 2c'!R73+'PMK 2d'!R72+'FMC 2e'!R72+'Óvoda 2f'!S73+'Bölcsőde 2g'!R72+'Gondozási 2h'!R72</f>
        <v>0</v>
      </c>
      <c r="E65" s="31">
        <f t="shared" si="32"/>
        <v>0</v>
      </c>
      <c r="F65" s="31">
        <f>'Önk 2a'!I65</f>
        <v>0</v>
      </c>
      <c r="G65" s="31">
        <f>'PH 2b'!F65+'SZEI 2c'!H65+'PMK 2d'!I65+'FMC 2e'!I65+'Óvoda 2f'!J65+'Bölcsőde 2g'!I65+'Gondozási 2h'!H65</f>
        <v>0</v>
      </c>
      <c r="H65" s="31">
        <f t="shared" si="33"/>
        <v>0</v>
      </c>
      <c r="I65" s="31">
        <f>'Önk 2a'!J65+'PH 2b'!H65+'SZEI 2c'!J65+'PMK 2d'!K65+'FMC 2e'!K65+'Óvoda 2f'!L65+'Bölcsőde 2g'!K65+'Gondozási 2h'!J65</f>
        <v>0</v>
      </c>
      <c r="J65" s="31">
        <f>'Önk 2a'!K65+'PH 2b'!I65+'SZEI 2c'!K65+'PMK 2d'!L65+'FMC 2e'!L65+'Óvoda 2f'!M65+'Bölcsőde 2g'!L65+'Gondozási 2h'!K65</f>
        <v>0</v>
      </c>
      <c r="K65" s="31"/>
      <c r="L65" s="31"/>
      <c r="M65" s="141">
        <f>SUM(H65:L65)</f>
        <v>0</v>
      </c>
      <c r="N65" s="162"/>
    </row>
    <row r="66" spans="1:15" ht="16.5" customHeight="1" x14ac:dyDescent="0.25">
      <c r="A66" s="76" t="s">
        <v>133</v>
      </c>
      <c r="B66" s="77" t="s">
        <v>52</v>
      </c>
      <c r="C66" s="78">
        <f t="shared" ref="C66:H66" si="36">C67</f>
        <v>150000</v>
      </c>
      <c r="D66" s="78">
        <f t="shared" si="36"/>
        <v>0</v>
      </c>
      <c r="E66" s="78">
        <f t="shared" si="36"/>
        <v>150000</v>
      </c>
      <c r="F66" s="78">
        <f t="shared" si="36"/>
        <v>2217170.5</v>
      </c>
      <c r="G66" s="78">
        <f t="shared" si="36"/>
        <v>0</v>
      </c>
      <c r="H66" s="78">
        <f t="shared" si="36"/>
        <v>2217170.5</v>
      </c>
      <c r="I66" s="78">
        <f>I67+I71</f>
        <v>85576</v>
      </c>
      <c r="J66" s="78">
        <f>J67+J71</f>
        <v>361202</v>
      </c>
      <c r="K66" s="78">
        <f>K67+K71</f>
        <v>39340</v>
      </c>
      <c r="L66" s="78">
        <f>L67+L71</f>
        <v>2663948.5</v>
      </c>
      <c r="M66" s="79">
        <f>M67+M71</f>
        <v>1200906.128</v>
      </c>
      <c r="N66" s="173">
        <f>M66/L66</f>
        <v>0.45079930336491114</v>
      </c>
    </row>
    <row r="67" spans="1:15" ht="16.5" customHeight="1" x14ac:dyDescent="0.25">
      <c r="A67" s="50" t="s">
        <v>138</v>
      </c>
      <c r="B67" s="50" t="s">
        <v>139</v>
      </c>
      <c r="C67" s="55">
        <f t="shared" ref="C67:H67" si="37">SUM(C68:C70)</f>
        <v>150000</v>
      </c>
      <c r="D67" s="55">
        <f t="shared" si="37"/>
        <v>0</v>
      </c>
      <c r="E67" s="55">
        <f t="shared" si="37"/>
        <v>150000</v>
      </c>
      <c r="F67" s="55">
        <f t="shared" si="37"/>
        <v>2217170.5</v>
      </c>
      <c r="G67" s="55">
        <f t="shared" si="37"/>
        <v>0</v>
      </c>
      <c r="H67" s="55">
        <f t="shared" si="37"/>
        <v>2217170.5</v>
      </c>
      <c r="I67" s="55">
        <f>SUM(I68:I70)</f>
        <v>85576</v>
      </c>
      <c r="J67" s="55">
        <f>SUM(J68:J70)</f>
        <v>361202</v>
      </c>
      <c r="K67" s="55">
        <f>SUM(K68:K70)</f>
        <v>39340</v>
      </c>
      <c r="L67" s="55">
        <f>SUM(L68:L70)</f>
        <v>2663948.5</v>
      </c>
      <c r="M67" s="35">
        <f>M68+M69+M70</f>
        <v>1200906.128</v>
      </c>
      <c r="N67" s="168">
        <f>M67/L67</f>
        <v>0.45079930336491114</v>
      </c>
    </row>
    <row r="68" spans="1:15" ht="16.5" customHeight="1" x14ac:dyDescent="0.25">
      <c r="A68" s="50" t="s">
        <v>86</v>
      </c>
      <c r="B68" s="50" t="s">
        <v>46</v>
      </c>
      <c r="C68" s="31">
        <v>150000</v>
      </c>
      <c r="D68" s="31">
        <f>'PH 2b'!C68+'SZEI 2c'!C68+'PMK 2d'!C68+'FMC 2e'!C68+'Óvoda 2f'!C68+'Bölcsőde 2g'!C68+'Gondozási 2h'!C68</f>
        <v>0</v>
      </c>
      <c r="E68" s="31">
        <f>C68+D68</f>
        <v>150000</v>
      </c>
      <c r="F68" s="31">
        <f>'Önk 2a'!I68</f>
        <v>150000</v>
      </c>
      <c r="G68" s="31">
        <f>'PH 2b'!F68+'SZEI 2c'!H68+'PMK 2d'!I68+'FMC 2e'!I68+'Óvoda 2f'!J68+'Bölcsőde 2g'!I68+'Gondozási 2h'!H68</f>
        <v>0</v>
      </c>
      <c r="H68" s="31">
        <f>F68+G68</f>
        <v>150000</v>
      </c>
      <c r="I68" s="31">
        <f>'Önk 2a'!J68+'PH 2b'!H68+'SZEI 2c'!J68+'PMK 2d'!K68+'FMC 2e'!K68+'Óvoda 2f'!L68+'Bölcsőde 2g'!K68+'Gondozási 2h'!J68</f>
        <v>0</v>
      </c>
      <c r="J68" s="31">
        <f>'Önk 2a'!K68+'PH 2b'!I68+'SZEI 2c'!K68+'PMK 2d'!L68+'FMC 2e'!L68+'Óvoda 2f'!M68+'Bölcsőde 2g'!L68+'Gondozási 2h'!K68</f>
        <v>400000</v>
      </c>
      <c r="K68" s="31">
        <f>'Önk 2a'!L68+'PH 2b'!J68+'SZEI 2c'!L68+'PMK 2d'!M68+'FMC 2e'!M68+'Óvoda 2f'!N68+'Bölcsőde 2g'!M68+'Gondozási 2h'!L68</f>
        <v>0</v>
      </c>
      <c r="L68" s="12">
        <f>H68+I68+J68</f>
        <v>550000</v>
      </c>
      <c r="M68" s="141">
        <f>'Önk 2a'!N68+'PH 2b'!L68+'SZEI 2c'!N68+'PMK 2d'!O68+'FMC 2e'!O68+'Óvoda 2f'!P68+'Bölcsőde 2g'!O68+'Gondozási 2h'!N68</f>
        <v>50000</v>
      </c>
      <c r="N68" s="168">
        <f t="shared" ref="N68:N70" si="38">M68/L68</f>
        <v>9.0909090909090912E-2</v>
      </c>
    </row>
    <row r="69" spans="1:15" ht="26.25" customHeight="1" x14ac:dyDescent="0.25">
      <c r="A69" s="184" t="s">
        <v>195</v>
      </c>
      <c r="B69" s="50" t="s">
        <v>178</v>
      </c>
      <c r="C69" s="31"/>
      <c r="D69" s="31">
        <f>'PH 2b'!C69+'SZEI 2c'!C69+'PMK 2d'!C69+'FMC 2e'!C69+'Óvoda 2f'!C69+'Bölcsőde 2g'!C69+'Gondozási 2h'!C69</f>
        <v>0</v>
      </c>
      <c r="E69" s="31">
        <f>C69+D69</f>
        <v>0</v>
      </c>
      <c r="F69" s="31">
        <f>'Önk 2a'!I69</f>
        <v>0</v>
      </c>
      <c r="G69" s="31">
        <f>'PH 2b'!F69+'SZEI 2c'!H69+'PMK 2d'!I69+'FMC 2e'!I69+'Óvoda 2f'!J69+'Bölcsőde 2g'!I69+'Gondozási 2h'!H69</f>
        <v>0</v>
      </c>
      <c r="H69" s="31">
        <f>F69+G69</f>
        <v>0</v>
      </c>
      <c r="I69" s="31">
        <f>'Önk 2a'!J69+'PH 2b'!H69+'SZEI 2c'!J69+'PMK 2d'!K69+'FMC 2e'!K69+'Óvoda 2f'!L69+'Bölcsőde 2g'!K69+'Gondozási 2h'!J69</f>
        <v>44138</v>
      </c>
      <c r="J69" s="31">
        <f>'Önk 2a'!K69+'PH 2b'!I69+'SZEI 2c'!K69+'PMK 2d'!L69+'FMC 2e'!L69+'Óvoda 2f'!M69+'Bölcsőde 2g'!L69+'Gondozási 2h'!K69</f>
        <v>0</v>
      </c>
      <c r="K69" s="31">
        <v>0</v>
      </c>
      <c r="L69" s="12">
        <f>H69+I69+J69</f>
        <v>44138</v>
      </c>
      <c r="M69" s="141">
        <f>'Önk 2a'!N69+'PH 2b'!L69+'SZEI 2c'!N69+'PMK 2d'!O69+'FMC 2e'!O69+'Óvoda 2f'!P69+'Bölcsőde 2g'!O69+'Gondozási 2h'!N69</f>
        <v>48137.517</v>
      </c>
      <c r="N69" s="168">
        <f t="shared" si="38"/>
        <v>1.0906139154470071</v>
      </c>
    </row>
    <row r="70" spans="1:15" ht="16.5" customHeight="1" x14ac:dyDescent="0.25">
      <c r="A70" s="50" t="s">
        <v>88</v>
      </c>
      <c r="B70" s="50" t="s">
        <v>54</v>
      </c>
      <c r="C70" s="31"/>
      <c r="D70" s="31">
        <f>'PH 2b'!C70+'SZEI 2c'!C70+'PMK 2d'!C70+'FMC 2e'!C70+'Óvoda 2f'!C70+'Bölcsőde 2g'!C70+'Gondozási 2h'!C70</f>
        <v>0</v>
      </c>
      <c r="E70" s="31">
        <f>C70+D70</f>
        <v>0</v>
      </c>
      <c r="F70" s="31">
        <f>'Önk 2a'!I70</f>
        <v>2067170.5</v>
      </c>
      <c r="G70" s="31">
        <f>'PH 2b'!F70+'SZEI 2c'!H70+'PMK 2d'!I70+'FMC 2e'!I70+'Óvoda 2f'!J70+'Bölcsőde 2g'!I70+'Gondozási 2h'!H70</f>
        <v>0</v>
      </c>
      <c r="H70" s="31">
        <f>F70+G70</f>
        <v>2067170.5</v>
      </c>
      <c r="I70" s="31">
        <f>'Önk 2a'!J70+'PH 2b'!H70+'SZEI 2c'!J70+'PMK 2d'!K70+'FMC 2e'!K70+'Óvoda 2f'!L70+'Bölcsőde 2g'!K70+'Gondozási 2h'!J70</f>
        <v>41438</v>
      </c>
      <c r="J70" s="31">
        <f>'Önk 2a'!K70+'PH 2b'!I70+'SZEI 2c'!K70+'PMK 2d'!L70+'FMC 2e'!L70+'Óvoda 2f'!M70+'Bölcsőde 2g'!L70+'Gondozási 2h'!K70</f>
        <v>-38798</v>
      </c>
      <c r="K70" s="31">
        <f>'Önk 2a'!L70+'PH 2b'!J70+'SZEI 2c'!L70+'PMK 2d'!M70+'FMC 2e'!M70+'Óvoda 2f'!N70+'Bölcsőde 2g'!M70+'Gondozási 2h'!L70</f>
        <v>39340</v>
      </c>
      <c r="L70" s="12">
        <f>H70+I70+J70</f>
        <v>2069810.5</v>
      </c>
      <c r="M70" s="141">
        <f>'Önk 2a'!N70+'PH 2b'!L70+'SZEI 2c'!N70+'PMK 2d'!O70+'FMC 2e'!O70+'Óvoda 2f'!P70+'Bölcsőde 2g'!O70+'Gondozási 2h'!N70</f>
        <v>1102768.611</v>
      </c>
      <c r="N70" s="168">
        <f t="shared" si="38"/>
        <v>0.53278723390378013</v>
      </c>
    </row>
    <row r="71" spans="1:15" ht="16.5" customHeight="1" x14ac:dyDescent="0.25">
      <c r="A71" s="50" t="s">
        <v>90</v>
      </c>
      <c r="B71" s="75" t="s">
        <v>89</v>
      </c>
      <c r="C71" s="31"/>
      <c r="D71" s="31">
        <f>'PH 2b'!C71+'SZEI 2c'!C71+'PMK 2d'!C71+'FMC 2e'!C71+'Óvoda 2f'!C71+'Bölcsőde 2g'!C71+'Gondozási 2h'!C71</f>
        <v>0</v>
      </c>
      <c r="E71" s="31">
        <f>C71+D71</f>
        <v>0</v>
      </c>
      <c r="F71" s="31">
        <v>0</v>
      </c>
      <c r="G71" s="31">
        <f>'PH 2b'!F71+'SZEI 2c'!H71+'PMK 2d'!I71+'FMC 2e'!I71+'Óvoda 2f'!J71+'Bölcsőde 2g'!I71+'Gondozási 2h'!H71</f>
        <v>0</v>
      </c>
      <c r="H71" s="31">
        <f>F71+G71</f>
        <v>0</v>
      </c>
      <c r="I71" s="31">
        <f>'Önk 2a'!J71+'PH 2b'!H71+'SZEI 2c'!J71+'PMK 2d'!K71+'FMC 2e'!K71+'Óvoda 2f'!L71+'Bölcsőde 2g'!K71+'Gondozási 2h'!J71</f>
        <v>0</v>
      </c>
      <c r="J71" s="31">
        <f>'Önk 2a'!K71+'PH 2b'!I71+'SZEI 2c'!K71+'PMK 2d'!L71+'FMC 2e'!L71+'Óvoda 2f'!M71+'Bölcsőde 2g'!L71+'Gondozási 2h'!K71</f>
        <v>0</v>
      </c>
      <c r="K71" s="31"/>
      <c r="L71" s="54"/>
      <c r="M71" s="142"/>
      <c r="N71" s="162"/>
    </row>
    <row r="72" spans="1:15" ht="16.5" customHeight="1" x14ac:dyDescent="0.25">
      <c r="A72" s="64"/>
      <c r="B72" s="80" t="s">
        <v>57</v>
      </c>
      <c r="C72" s="67">
        <f t="shared" ref="C72:H72" si="39">+C56-C66</f>
        <v>256596</v>
      </c>
      <c r="D72" s="67">
        <f t="shared" si="39"/>
        <v>0</v>
      </c>
      <c r="E72" s="67">
        <f t="shared" si="39"/>
        <v>256596</v>
      </c>
      <c r="F72" s="67">
        <f t="shared" si="39"/>
        <v>-1856276.5</v>
      </c>
      <c r="G72" s="67">
        <f t="shared" si="39"/>
        <v>2067170.9</v>
      </c>
      <c r="H72" s="67">
        <f t="shared" si="39"/>
        <v>210894.39999999991</v>
      </c>
      <c r="I72" s="67">
        <f>I56-I66</f>
        <v>232374</v>
      </c>
      <c r="J72" s="67">
        <f>J56-J66</f>
        <v>0</v>
      </c>
      <c r="K72" s="67">
        <f>K56-K66</f>
        <v>0</v>
      </c>
      <c r="L72" s="66">
        <f>L56-L66</f>
        <v>482608.39999999991</v>
      </c>
      <c r="M72" s="67">
        <f>+M56-M66</f>
        <v>439268.68299999973</v>
      </c>
      <c r="N72" s="169">
        <f t="shared" ref="N72:N80" si="40">M72/L72</f>
        <v>0.91019692777829775</v>
      </c>
    </row>
    <row r="73" spans="1:15" ht="16.5" customHeight="1" x14ac:dyDescent="0.25">
      <c r="A73" s="81"/>
      <c r="B73" s="82" t="s">
        <v>58</v>
      </c>
      <c r="C73" s="37">
        <f t="shared" ref="C73:E73" si="41">+C3+C56</f>
        <v>5870036.3499999996</v>
      </c>
      <c r="D73" s="37">
        <f t="shared" si="41"/>
        <v>986840</v>
      </c>
      <c r="E73" s="37">
        <f t="shared" si="41"/>
        <v>6856876.3499999996</v>
      </c>
      <c r="F73" s="37">
        <f>+F3+F56-F64</f>
        <v>5116926.3266929137</v>
      </c>
      <c r="G73" s="37">
        <f>+G3+G56-G64</f>
        <v>841608</v>
      </c>
      <c r="H73" s="37">
        <f>+H3+H56-H64</f>
        <v>5958534.3266929127</v>
      </c>
      <c r="I73" s="37">
        <f>I3+I56-I64</f>
        <v>314802</v>
      </c>
      <c r="J73" s="37">
        <f>J3+J56-J64</f>
        <v>425120</v>
      </c>
      <c r="K73" s="37">
        <f>K3+K56-K64</f>
        <v>101596.89000000001</v>
      </c>
      <c r="L73" s="37">
        <f>L3+L56-L64</f>
        <v>6800053.2166929133</v>
      </c>
      <c r="M73" s="37">
        <f>+M3+M56</f>
        <v>4362444.4639999997</v>
      </c>
      <c r="N73" s="161">
        <f t="shared" si="40"/>
        <v>0.64153092997728012</v>
      </c>
    </row>
    <row r="74" spans="1:15" ht="16.5" customHeight="1" x14ac:dyDescent="0.25">
      <c r="A74" s="71"/>
      <c r="B74" s="72" t="s">
        <v>140</v>
      </c>
      <c r="C74" s="73">
        <f t="shared" ref="C74:G74" si="42">+C6+C8+C15+C31</f>
        <v>3978832.35</v>
      </c>
      <c r="D74" s="73">
        <f t="shared" si="42"/>
        <v>896283</v>
      </c>
      <c r="E74" s="73">
        <f t="shared" si="42"/>
        <v>4875115.3499999996</v>
      </c>
      <c r="F74" s="73">
        <f t="shared" si="42"/>
        <v>4289237.8266929137</v>
      </c>
      <c r="G74" s="73">
        <f t="shared" si="42"/>
        <v>832608</v>
      </c>
      <c r="H74" s="73">
        <f>+H6+H8+H15+H31</f>
        <v>5121845.8266929137</v>
      </c>
      <c r="I74" s="73">
        <f>I6+I8+I15+I31</f>
        <v>18105</v>
      </c>
      <c r="J74" s="73">
        <f>J6+J8+J15+J31</f>
        <v>24184</v>
      </c>
      <c r="K74" s="73">
        <f>K6+K8+K15+K31</f>
        <v>67969.735000000001</v>
      </c>
      <c r="L74" s="73">
        <f>L6+L8+L15+L31</f>
        <v>5232104.561692914</v>
      </c>
      <c r="M74" s="73">
        <f>+M6+M8+M15+M31</f>
        <v>2610351.9690000005</v>
      </c>
      <c r="N74" s="174">
        <f t="shared" si="40"/>
        <v>0.49891051262847619</v>
      </c>
    </row>
    <row r="75" spans="1:15" ht="16.5" customHeight="1" x14ac:dyDescent="0.25">
      <c r="A75" s="71"/>
      <c r="B75" s="72" t="s">
        <v>141</v>
      </c>
      <c r="C75" s="73">
        <f t="shared" ref="C75:G75" si="43">C7+C27+C32</f>
        <v>1484608</v>
      </c>
      <c r="D75" s="73">
        <f t="shared" si="43"/>
        <v>90557</v>
      </c>
      <c r="E75" s="73">
        <f t="shared" si="43"/>
        <v>1575165</v>
      </c>
      <c r="F75" s="73">
        <f t="shared" si="43"/>
        <v>466794.5</v>
      </c>
      <c r="G75" s="73">
        <f t="shared" si="43"/>
        <v>9000</v>
      </c>
      <c r="H75" s="73">
        <f>H7+H27+H32+H63</f>
        <v>475794.5</v>
      </c>
      <c r="I75" s="73">
        <f>I7+I27+I32</f>
        <v>20185</v>
      </c>
      <c r="J75" s="73">
        <f>J7+J27+J32</f>
        <v>936</v>
      </c>
      <c r="K75" s="73">
        <f>K7+K27+K32</f>
        <v>33627.154999999999</v>
      </c>
      <c r="L75" s="73">
        <f>L7+L27+L32</f>
        <v>530542.65500000003</v>
      </c>
      <c r="M75" s="73">
        <f>M7+M27+M32</f>
        <v>111917.68399999999</v>
      </c>
      <c r="N75" s="174">
        <f t="shared" si="40"/>
        <v>0.21094945513853167</v>
      </c>
    </row>
    <row r="76" spans="1:15" ht="16.5" customHeight="1" x14ac:dyDescent="0.25">
      <c r="A76" s="71"/>
      <c r="B76" s="72" t="s">
        <v>144</v>
      </c>
      <c r="C76" s="73">
        <f t="shared" ref="C76:G76" si="44">C68+C60</f>
        <v>406596</v>
      </c>
      <c r="D76" s="73">
        <f t="shared" si="44"/>
        <v>0</v>
      </c>
      <c r="E76" s="73">
        <f t="shared" si="44"/>
        <v>406596</v>
      </c>
      <c r="F76" s="73">
        <f t="shared" si="44"/>
        <v>360894</v>
      </c>
      <c r="G76" s="73">
        <f t="shared" si="44"/>
        <v>0</v>
      </c>
      <c r="H76" s="73">
        <f>H56-H64</f>
        <v>360894</v>
      </c>
      <c r="I76" s="73">
        <f>I56-I64</f>
        <v>276512</v>
      </c>
      <c r="J76" s="73">
        <f>J56-J64</f>
        <v>400000</v>
      </c>
      <c r="K76" s="73">
        <f>K56-K64</f>
        <v>0</v>
      </c>
      <c r="L76" s="73">
        <f>L56-L64</f>
        <v>1037406</v>
      </c>
      <c r="M76" s="73">
        <f>M68+M64</f>
        <v>1152768.6109999998</v>
      </c>
      <c r="N76" s="174">
        <f t="shared" si="40"/>
        <v>1.1112029533278194</v>
      </c>
    </row>
    <row r="77" spans="1:15" ht="16.5" customHeight="1" x14ac:dyDescent="0.25">
      <c r="A77" s="83"/>
      <c r="B77" s="84" t="s">
        <v>59</v>
      </c>
      <c r="C77" s="38">
        <f t="shared" ref="C77:G77" si="45">C33+C66</f>
        <v>3842812.2800000003</v>
      </c>
      <c r="D77" s="38">
        <f t="shared" si="45"/>
        <v>3014064</v>
      </c>
      <c r="E77" s="38">
        <f t="shared" si="45"/>
        <v>6856876.2800000003</v>
      </c>
      <c r="F77" s="38">
        <f>F33+F66-F70-1</f>
        <v>3049754.9969763774</v>
      </c>
      <c r="G77" s="38">
        <f t="shared" si="45"/>
        <v>2908779</v>
      </c>
      <c r="H77" s="38">
        <f>H33+H66-H70-1</f>
        <v>5958533.9969763774</v>
      </c>
      <c r="I77" s="38">
        <f>I33+I66-I70</f>
        <v>314802</v>
      </c>
      <c r="J77" s="38">
        <f>J33+J66-J70</f>
        <v>425120</v>
      </c>
      <c r="K77" s="38">
        <f>K33+K66-K70</f>
        <v>101596.89000000001</v>
      </c>
      <c r="L77" s="38">
        <f>L33+L66-L70-1</f>
        <v>6800052.886976378</v>
      </c>
      <c r="M77" s="38">
        <f>M33+M66</f>
        <v>3622446.8489999999</v>
      </c>
      <c r="N77" s="175">
        <f t="shared" si="40"/>
        <v>0.532708628772255</v>
      </c>
      <c r="O77" s="175">
        <f>M77/M73</f>
        <v>0.83037088010938631</v>
      </c>
    </row>
    <row r="78" spans="1:15" s="5" customFormat="1" ht="16.5" customHeight="1" x14ac:dyDescent="0.25">
      <c r="A78" s="76"/>
      <c r="B78" s="77" t="s">
        <v>142</v>
      </c>
      <c r="C78" s="78">
        <f t="shared" ref="C78:G78" si="46">+C34+C37+C38+C44+C45-C49</f>
        <v>1875492.28</v>
      </c>
      <c r="D78" s="78">
        <f t="shared" si="46"/>
        <v>2859827</v>
      </c>
      <c r="E78" s="78">
        <f t="shared" si="46"/>
        <v>4735319.28</v>
      </c>
      <c r="F78" s="78">
        <f>+F34+F37+F38+F44+F45-F49-1</f>
        <v>2264167.9969763774</v>
      </c>
      <c r="G78" s="78">
        <f t="shared" si="46"/>
        <v>2837998</v>
      </c>
      <c r="H78" s="78">
        <f>+H34+H37+H38+H44+H45-H49-1</f>
        <v>5102165.9969763774</v>
      </c>
      <c r="I78" s="78">
        <f>I34+I37+I38+I44+I45-I49</f>
        <v>120920</v>
      </c>
      <c r="J78" s="78">
        <f>J34+J37+J38+J44+J45-J49</f>
        <v>24849</v>
      </c>
      <c r="K78" s="78">
        <f>K34+K37+K38+K44+K45-K49</f>
        <v>124055.40700000001</v>
      </c>
      <c r="L78" s="78">
        <f>L34+L37+L38+L44+L45-L49-1</f>
        <v>5371990.403976378</v>
      </c>
      <c r="M78" s="78">
        <f>+M34+M37+M38+M44+M45-M49</f>
        <v>2136594.0669999998</v>
      </c>
      <c r="N78" s="176">
        <f t="shared" si="40"/>
        <v>0.39772857103737203</v>
      </c>
    </row>
    <row r="79" spans="1:15" ht="16.5" customHeight="1" x14ac:dyDescent="0.25">
      <c r="A79" s="76"/>
      <c r="B79" s="77" t="s">
        <v>141</v>
      </c>
      <c r="C79" s="78">
        <f t="shared" ref="C79:I79" si="47">C49+C50+C51+C52</f>
        <v>1817320</v>
      </c>
      <c r="D79" s="78">
        <f t="shared" si="47"/>
        <v>154237</v>
      </c>
      <c r="E79" s="78">
        <f t="shared" si="47"/>
        <v>1971557</v>
      </c>
      <c r="F79" s="78">
        <f t="shared" si="47"/>
        <v>635587</v>
      </c>
      <c r="G79" s="78">
        <f t="shared" si="47"/>
        <v>70781</v>
      </c>
      <c r="H79" s="78">
        <f t="shared" si="47"/>
        <v>706368</v>
      </c>
      <c r="I79" s="78">
        <f t="shared" si="47"/>
        <v>149744</v>
      </c>
      <c r="J79" s="78">
        <f>J49+J50+J51+J52</f>
        <v>271</v>
      </c>
      <c r="K79" s="78">
        <f>K49+K50+K51+K52</f>
        <v>-22458.517</v>
      </c>
      <c r="L79" s="78">
        <f>L49+L50+L51+L52</f>
        <v>833924.48300000001</v>
      </c>
      <c r="M79" s="78">
        <f>M49+M50+M51+M52</f>
        <v>284946.65399999998</v>
      </c>
      <c r="N79" s="176">
        <f t="shared" si="40"/>
        <v>0.34169359433472823</v>
      </c>
    </row>
    <row r="80" spans="1:15" ht="16.5" customHeight="1" x14ac:dyDescent="0.25">
      <c r="A80" s="76"/>
      <c r="B80" s="77" t="s">
        <v>144</v>
      </c>
      <c r="C80" s="78">
        <f t="shared" ref="C80:G80" si="48">+C66</f>
        <v>150000</v>
      </c>
      <c r="D80" s="78">
        <f t="shared" si="48"/>
        <v>0</v>
      </c>
      <c r="E80" s="78">
        <f t="shared" si="48"/>
        <v>150000</v>
      </c>
      <c r="F80" s="78">
        <f>+F66-F70</f>
        <v>150000</v>
      </c>
      <c r="G80" s="78">
        <f t="shared" si="48"/>
        <v>0</v>
      </c>
      <c r="H80" s="78">
        <f>+H66-H70</f>
        <v>150000</v>
      </c>
      <c r="I80" s="78">
        <f>I66-I70</f>
        <v>44138</v>
      </c>
      <c r="J80" s="78">
        <f>J66-J70</f>
        <v>400000</v>
      </c>
      <c r="K80" s="78">
        <f>K66-K70</f>
        <v>0</v>
      </c>
      <c r="L80" s="78">
        <f>L66-L70</f>
        <v>594138</v>
      </c>
      <c r="M80" s="78">
        <f>+M66</f>
        <v>1200906.128</v>
      </c>
      <c r="N80" s="176">
        <f t="shared" si="40"/>
        <v>2.0212579030460938</v>
      </c>
    </row>
    <row r="81" spans="1:14" ht="16.5" customHeight="1" x14ac:dyDescent="0.25">
      <c r="A81" s="85"/>
      <c r="B81" s="86" t="s">
        <v>55</v>
      </c>
      <c r="C81" s="87">
        <f t="shared" ref="C81:H82" si="49">+C73-C77</f>
        <v>2027224.0699999994</v>
      </c>
      <c r="D81" s="87">
        <f t="shared" si="49"/>
        <v>-2027224</v>
      </c>
      <c r="E81" s="87">
        <f t="shared" si="49"/>
        <v>6.9999999366700649E-2</v>
      </c>
      <c r="F81" s="87">
        <f t="shared" si="49"/>
        <v>2067171.3297165362</v>
      </c>
      <c r="G81" s="87">
        <f t="shared" si="49"/>
        <v>-2067171</v>
      </c>
      <c r="H81" s="87">
        <f>+H73-H77</f>
        <v>0.32971653528511524</v>
      </c>
      <c r="I81" s="87">
        <f t="shared" ref="I81:M84" si="50">I73-I77</f>
        <v>0</v>
      </c>
      <c r="J81" s="87">
        <f t="shared" si="50"/>
        <v>0</v>
      </c>
      <c r="K81" s="87">
        <f t="shared" ref="K81" si="51">K73-K77</f>
        <v>0</v>
      </c>
      <c r="L81" s="87">
        <f t="shared" si="50"/>
        <v>0.32971653528511524</v>
      </c>
      <c r="M81" s="87">
        <f t="shared" ref="M81:M82" si="52">+M73-M77</f>
        <v>739997.61499999976</v>
      </c>
      <c r="N81" s="177"/>
    </row>
    <row r="82" spans="1:14" ht="16.5" customHeight="1" x14ac:dyDescent="0.25">
      <c r="A82" s="95"/>
      <c r="B82" s="89" t="s">
        <v>140</v>
      </c>
      <c r="C82" s="90">
        <f t="shared" si="49"/>
        <v>2103340.0700000003</v>
      </c>
      <c r="D82" s="90">
        <f t="shared" si="49"/>
        <v>-1963544</v>
      </c>
      <c r="E82" s="90">
        <f t="shared" si="49"/>
        <v>139796.06999999937</v>
      </c>
      <c r="F82" s="90">
        <f t="shared" si="49"/>
        <v>2025069.8297165362</v>
      </c>
      <c r="G82" s="90">
        <f t="shared" si="49"/>
        <v>-2005390</v>
      </c>
      <c r="H82" s="90">
        <f t="shared" si="49"/>
        <v>19679.829716536216</v>
      </c>
      <c r="I82" s="90">
        <f t="shared" si="50"/>
        <v>-102815</v>
      </c>
      <c r="J82" s="90">
        <f t="shared" si="50"/>
        <v>-665</v>
      </c>
      <c r="K82" s="90">
        <f t="shared" ref="K82" si="53">K74-K78</f>
        <v>-56085.672000000006</v>
      </c>
      <c r="L82" s="90">
        <f t="shared" si="50"/>
        <v>-139885.84228346404</v>
      </c>
      <c r="M82" s="90">
        <f t="shared" si="52"/>
        <v>473757.9020000007</v>
      </c>
      <c r="N82" s="178">
        <f>M82/L82</f>
        <v>-3.3867466089954967</v>
      </c>
    </row>
    <row r="83" spans="1:14" ht="16.5" customHeight="1" x14ac:dyDescent="0.25">
      <c r="A83" s="95"/>
      <c r="B83" s="89" t="s">
        <v>143</v>
      </c>
      <c r="C83" s="90">
        <f t="shared" ref="C83:J84" si="54">C75-C79</f>
        <v>-332712</v>
      </c>
      <c r="D83" s="90">
        <f t="shared" si="54"/>
        <v>-63680</v>
      </c>
      <c r="E83" s="90">
        <f t="shared" si="54"/>
        <v>-396392</v>
      </c>
      <c r="F83" s="90">
        <f t="shared" si="54"/>
        <v>-168792.5</v>
      </c>
      <c r="G83" s="90">
        <f t="shared" si="54"/>
        <v>-61781</v>
      </c>
      <c r="H83" s="90">
        <f t="shared" si="54"/>
        <v>-230573.5</v>
      </c>
      <c r="I83" s="90">
        <f t="shared" si="50"/>
        <v>-129559</v>
      </c>
      <c r="J83" s="90">
        <f t="shared" si="50"/>
        <v>665</v>
      </c>
      <c r="K83" s="90">
        <f t="shared" ref="K83:K84" si="55">K75-K79</f>
        <v>56085.671999999999</v>
      </c>
      <c r="L83" s="90">
        <f t="shared" si="50"/>
        <v>-303381.82799999998</v>
      </c>
      <c r="M83" s="90">
        <f t="shared" si="50"/>
        <v>-173028.96999999997</v>
      </c>
      <c r="N83" s="178">
        <f>M83/L83</f>
        <v>0.57033399508687777</v>
      </c>
    </row>
    <row r="84" spans="1:14" ht="16.5" customHeight="1" x14ac:dyDescent="0.25">
      <c r="A84" s="95"/>
      <c r="B84" s="89" t="s">
        <v>144</v>
      </c>
      <c r="C84" s="90">
        <f t="shared" si="54"/>
        <v>256596</v>
      </c>
      <c r="D84" s="90">
        <f t="shared" si="54"/>
        <v>0</v>
      </c>
      <c r="E84" s="90">
        <f t="shared" si="54"/>
        <v>256596</v>
      </c>
      <c r="F84" s="90">
        <f t="shared" si="54"/>
        <v>210894</v>
      </c>
      <c r="G84" s="90">
        <f t="shared" si="54"/>
        <v>0</v>
      </c>
      <c r="H84" s="90">
        <f t="shared" si="54"/>
        <v>210894</v>
      </c>
      <c r="I84" s="90">
        <f t="shared" si="54"/>
        <v>232374</v>
      </c>
      <c r="J84" s="90">
        <f t="shared" si="54"/>
        <v>0</v>
      </c>
      <c r="K84" s="90">
        <f t="shared" si="55"/>
        <v>0</v>
      </c>
      <c r="L84" s="90">
        <f>L76-L80</f>
        <v>443268</v>
      </c>
      <c r="M84" s="90">
        <f t="shared" si="50"/>
        <v>-48137.517000000225</v>
      </c>
      <c r="N84" s="178">
        <f>M84/L84</f>
        <v>-0.10859686916267411</v>
      </c>
    </row>
    <row r="85" spans="1:14" ht="13.9" customHeight="1" x14ac:dyDescent="0.25"/>
    <row r="86" spans="1:14" ht="13.9" customHeight="1" x14ac:dyDescent="0.25"/>
    <row r="87" spans="1:14" ht="13.9" customHeight="1" x14ac:dyDescent="0.25"/>
    <row r="88" spans="1:14" ht="13.9" customHeight="1" x14ac:dyDescent="0.25"/>
    <row r="91" spans="1:14" ht="13.9" customHeight="1" x14ac:dyDescent="0.25"/>
  </sheetData>
  <mergeCells count="5">
    <mergeCell ref="M1:N1"/>
    <mergeCell ref="A1:A2"/>
    <mergeCell ref="B1:B2"/>
    <mergeCell ref="F1:L1"/>
    <mergeCell ref="C1:E1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78" fitToHeight="2" orientation="landscape" r:id="rId1"/>
  <headerFooter>
    <oddHeader>&amp;C&amp;"Times New Roman,Félkövér"&amp;10Szentendre Város Önkormányzat összevont bevételei és kiadásai mérlegszerűen 
2016. év&amp;R&amp;"Times New Roman,Normál"&amp;10 1. sz. melléklet
EFt</oddHeader>
    <oddFooter>&amp;R&amp;D</oddFooter>
  </headerFooter>
  <rowBreaks count="1" manualBreakCount="1">
    <brk id="5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14"/>
  <sheetViews>
    <sheetView view="pageBreakPreview" zoomScale="80" zoomScaleNormal="90" zoomScaleSheetLayoutView="80" workbookViewId="0">
      <pane xSplit="2" ySplit="2" topLeftCell="G65" activePane="bottomRight" state="frozen"/>
      <selection activeCell="B6" sqref="B6"/>
      <selection pane="topRight" activeCell="B6" sqref="B6"/>
      <selection pane="bottomLeft" activeCell="B6" sqref="B6"/>
      <selection pane="bottomRight" activeCell="M84" sqref="M84"/>
    </sheetView>
  </sheetViews>
  <sheetFormatPr defaultColWidth="9.28515625" defaultRowHeight="15" x14ac:dyDescent="0.25"/>
  <cols>
    <col min="1" max="1" width="9.7109375" style="3" customWidth="1"/>
    <col min="2" max="2" width="68.5703125" style="3" customWidth="1"/>
    <col min="3" max="3" width="15.7109375" style="1" hidden="1" customWidth="1"/>
    <col min="4" max="4" width="15.7109375" style="9" hidden="1" customWidth="1"/>
    <col min="5" max="5" width="15.7109375" style="1" hidden="1" customWidth="1"/>
    <col min="6" max="6" width="16.7109375" style="1" hidden="1" customWidth="1"/>
    <col min="7" max="12" width="14.5703125" style="1" customWidth="1"/>
    <col min="13" max="13" width="14.5703125" style="143" customWidth="1"/>
    <col min="14" max="14" width="13.28515625" style="155" hidden="1" customWidth="1"/>
    <col min="15" max="15" width="9.28515625" style="155" hidden="1" customWidth="1"/>
    <col min="16" max="16384" width="9.28515625" style="1"/>
  </cols>
  <sheetData>
    <row r="1" spans="1:15" ht="29.25" customHeight="1" x14ac:dyDescent="0.25">
      <c r="A1" s="188"/>
      <c r="B1" s="189" t="s">
        <v>135</v>
      </c>
      <c r="C1" s="194" t="s">
        <v>162</v>
      </c>
      <c r="D1" s="194"/>
      <c r="E1" s="194"/>
      <c r="F1" s="193" t="s">
        <v>176</v>
      </c>
      <c r="G1" s="194" t="s">
        <v>173</v>
      </c>
      <c r="H1" s="194"/>
      <c r="I1" s="194"/>
      <c r="J1" s="194"/>
      <c r="K1" s="194"/>
      <c r="L1" s="194"/>
      <c r="M1" s="197"/>
      <c r="N1" s="195" t="s">
        <v>187</v>
      </c>
      <c r="O1" s="196"/>
    </row>
    <row r="2" spans="1:15" ht="46.5" customHeight="1" x14ac:dyDescent="0.25">
      <c r="A2" s="188"/>
      <c r="B2" s="189"/>
      <c r="C2" s="39" t="s">
        <v>8</v>
      </c>
      <c r="D2" s="46" t="s">
        <v>9</v>
      </c>
      <c r="E2" s="39" t="s">
        <v>157</v>
      </c>
      <c r="F2" s="193"/>
      <c r="G2" s="39" t="s">
        <v>8</v>
      </c>
      <c r="H2" s="46" t="s">
        <v>9</v>
      </c>
      <c r="I2" s="39" t="s">
        <v>157</v>
      </c>
      <c r="J2" s="39" t="s">
        <v>166</v>
      </c>
      <c r="K2" s="181" t="s">
        <v>192</v>
      </c>
      <c r="L2" s="183" t="s">
        <v>193</v>
      </c>
      <c r="M2" s="140" t="s">
        <v>186</v>
      </c>
      <c r="N2" s="159" t="s">
        <v>190</v>
      </c>
      <c r="O2" s="159" t="s">
        <v>191</v>
      </c>
    </row>
    <row r="3" spans="1:15" ht="16.5" customHeight="1" x14ac:dyDescent="0.25">
      <c r="A3" s="47" t="s">
        <v>0</v>
      </c>
      <c r="B3" s="48" t="s">
        <v>91</v>
      </c>
      <c r="C3" s="37">
        <f>SUM(C6,C7,C8,C15,C27,C31,C32)</f>
        <v>5463440.3499999996</v>
      </c>
      <c r="D3" s="37">
        <v>0</v>
      </c>
      <c r="E3" s="37">
        <v>5463440.3499999996</v>
      </c>
      <c r="F3" s="37">
        <f t="shared" ref="F3:I3" si="0">F6+F7+F8+F15+F27+F31+F32</f>
        <v>6397372</v>
      </c>
      <c r="G3" s="37">
        <f t="shared" si="0"/>
        <v>4756032.87</v>
      </c>
      <c r="H3" s="37">
        <f t="shared" si="0"/>
        <v>0</v>
      </c>
      <c r="I3" s="37">
        <f t="shared" si="0"/>
        <v>4756032.87</v>
      </c>
      <c r="J3" s="37">
        <f>J6+J7+J8+J15+J27+J31+J32</f>
        <v>33626</v>
      </c>
      <c r="K3" s="37">
        <f>K6+K7+K8+K15+K27+K31+K32</f>
        <v>22435</v>
      </c>
      <c r="L3" s="37">
        <f>L6+L7+L8+L15+L27+L31+L32</f>
        <v>67366.749000000011</v>
      </c>
      <c r="M3" s="37">
        <f>M6+M7+M8+M15+M27+M31+M32</f>
        <v>4879460.6189999999</v>
      </c>
      <c r="N3" s="37">
        <f>N6+N7+N8+N15+N27+N31+N32</f>
        <v>2334740.8289999999</v>
      </c>
      <c r="O3" s="161">
        <f t="shared" ref="O3:O14" si="1">N3/M3</f>
        <v>0.47848338398486417</v>
      </c>
    </row>
    <row r="4" spans="1:15" ht="16.5" customHeight="1" x14ac:dyDescent="0.25">
      <c r="A4" s="49" t="s">
        <v>182</v>
      </c>
      <c r="B4" s="50" t="s">
        <v>12</v>
      </c>
      <c r="C4" s="28">
        <v>1383056</v>
      </c>
      <c r="D4" s="28"/>
      <c r="E4" s="28">
        <v>1383056</v>
      </c>
      <c r="F4" s="28">
        <f>1447711+8952</f>
        <v>1456663</v>
      </c>
      <c r="G4" s="28">
        <v>1428548</v>
      </c>
      <c r="H4" s="28"/>
      <c r="I4" s="28">
        <f t="shared" ref="I4:I5" si="2">SUM(G4:H4)</f>
        <v>1428548</v>
      </c>
      <c r="J4" s="28">
        <f>4385+2433+4305-53+62+1</f>
        <v>11133</v>
      </c>
      <c r="K4" s="28">
        <f>2328+5099+2595+2275+1640+7562</f>
        <v>21499</v>
      </c>
      <c r="L4" s="28">
        <f>('[1]Állami támogatás'!$C$15+'[1]Állami támogatás'!$C$19+'[1]Állami támogatás'!$C$24+'[1]Állami támogatás'!$C$27+'[1]Állami támogatás'!$C$31)/1000</f>
        <v>26303.958999999999</v>
      </c>
      <c r="M4" s="141">
        <f>SUM(I4:L4)</f>
        <v>1487483.959</v>
      </c>
      <c r="N4" s="141">
        <f>800509.028</f>
        <v>800509.02800000005</v>
      </c>
      <c r="O4" s="162">
        <f t="shared" si="1"/>
        <v>0.53816313322676979</v>
      </c>
    </row>
    <row r="5" spans="1:15" ht="16.5" customHeight="1" x14ac:dyDescent="0.25">
      <c r="A5" s="50" t="s">
        <v>163</v>
      </c>
      <c r="B5" s="50" t="s">
        <v>164</v>
      </c>
      <c r="C5" s="28">
        <v>31394</v>
      </c>
      <c r="D5" s="28"/>
      <c r="E5" s="28">
        <v>31394</v>
      </c>
      <c r="F5" s="28">
        <v>47478</v>
      </c>
      <c r="G5" s="28">
        <v>39610</v>
      </c>
      <c r="H5" s="28"/>
      <c r="I5" s="28">
        <f t="shared" si="2"/>
        <v>39610</v>
      </c>
      <c r="J5" s="28"/>
      <c r="K5" s="28"/>
      <c r="L5" s="28"/>
      <c r="M5" s="141">
        <f>SUM(I5:L5)</f>
        <v>39610</v>
      </c>
      <c r="N5" s="141">
        <v>10179.834000000001</v>
      </c>
      <c r="O5" s="162">
        <f t="shared" si="1"/>
        <v>0.25700161575359759</v>
      </c>
    </row>
    <row r="6" spans="1:15" ht="16.5" customHeight="1" x14ac:dyDescent="0.25">
      <c r="A6" s="51" t="s">
        <v>93</v>
      </c>
      <c r="B6" s="51" t="s">
        <v>13</v>
      </c>
      <c r="C6" s="29">
        <v>1414450</v>
      </c>
      <c r="D6" s="29"/>
      <c r="E6" s="29">
        <v>1414450</v>
      </c>
      <c r="F6" s="29">
        <f t="shared" ref="F6" si="3">SUM(F4:F5)</f>
        <v>1504141</v>
      </c>
      <c r="G6" s="29">
        <f t="shared" ref="G6:L6" si="4">G4+G5</f>
        <v>1468158</v>
      </c>
      <c r="H6" s="29">
        <f t="shared" si="4"/>
        <v>0</v>
      </c>
      <c r="I6" s="29">
        <f t="shared" si="4"/>
        <v>1468158</v>
      </c>
      <c r="J6" s="29">
        <f t="shared" si="4"/>
        <v>11133</v>
      </c>
      <c r="K6" s="29">
        <f t="shared" si="4"/>
        <v>21499</v>
      </c>
      <c r="L6" s="29">
        <f t="shared" si="4"/>
        <v>26303.958999999999</v>
      </c>
      <c r="M6" s="29">
        <f>M4+M5</f>
        <v>1527093.959</v>
      </c>
      <c r="N6" s="29">
        <f>N4+N5</f>
        <v>810688.86200000008</v>
      </c>
      <c r="O6" s="163">
        <f t="shared" si="1"/>
        <v>0.53087032217118479</v>
      </c>
    </row>
    <row r="7" spans="1:15" ht="16.5" customHeight="1" x14ac:dyDescent="0.25">
      <c r="A7" s="51" t="s">
        <v>94</v>
      </c>
      <c r="B7" s="51" t="s">
        <v>14</v>
      </c>
      <c r="C7" s="30">
        <v>1067671</v>
      </c>
      <c r="D7" s="32"/>
      <c r="E7" s="32">
        <v>1067671</v>
      </c>
      <c r="F7" s="30">
        <v>380231</v>
      </c>
      <c r="G7" s="30">
        <v>64300</v>
      </c>
      <c r="H7" s="32"/>
      <c r="I7" s="30">
        <v>64300</v>
      </c>
      <c r="J7" s="30"/>
      <c r="K7" s="30"/>
      <c r="L7" s="30">
        <f>('[1]Állami támogatás'!$C$5+'[1]Állami támogatás'!$C$6+'[1]Állami támogatás'!$C$7)/1000</f>
        <v>14340</v>
      </c>
      <c r="M7" s="141">
        <f>SUM(I7:L7)</f>
        <v>78640</v>
      </c>
      <c r="N7" s="141">
        <v>26181.794999999998</v>
      </c>
      <c r="O7" s="164">
        <f t="shared" si="1"/>
        <v>0.33293228636826039</v>
      </c>
    </row>
    <row r="8" spans="1:15" ht="16.5" customHeight="1" x14ac:dyDescent="0.25">
      <c r="A8" s="51" t="s">
        <v>95</v>
      </c>
      <c r="B8" s="52" t="s">
        <v>4</v>
      </c>
      <c r="C8" s="29">
        <v>1926600</v>
      </c>
      <c r="D8" s="29"/>
      <c r="E8" s="29">
        <v>1926600</v>
      </c>
      <c r="F8" s="29">
        <f>SUM(F9,F10,F14)</f>
        <v>1981150</v>
      </c>
      <c r="G8" s="29">
        <f t="shared" ref="G8:N8" si="5">SUM(G9,G10,G14)</f>
        <v>2130000</v>
      </c>
      <c r="H8" s="29">
        <f t="shared" si="5"/>
        <v>0</v>
      </c>
      <c r="I8" s="29">
        <f t="shared" si="5"/>
        <v>2130000</v>
      </c>
      <c r="J8" s="29">
        <f t="shared" si="5"/>
        <v>0</v>
      </c>
      <c r="K8" s="29">
        <f t="shared" si="5"/>
        <v>0</v>
      </c>
      <c r="L8" s="29">
        <f t="shared" si="5"/>
        <v>0</v>
      </c>
      <c r="M8" s="29">
        <f t="shared" si="5"/>
        <v>2130000</v>
      </c>
      <c r="N8" s="29">
        <f t="shared" si="5"/>
        <v>1100864.0000000002</v>
      </c>
      <c r="O8" s="163">
        <f t="shared" si="1"/>
        <v>0.51683755868544612</v>
      </c>
    </row>
    <row r="9" spans="1:15" ht="16.5" hidden="1" customHeight="1" x14ac:dyDescent="0.25">
      <c r="A9" s="50" t="s">
        <v>96</v>
      </c>
      <c r="B9" s="53" t="s">
        <v>127</v>
      </c>
      <c r="C9" s="28">
        <v>550000</v>
      </c>
      <c r="D9" s="28"/>
      <c r="E9" s="28">
        <v>550000</v>
      </c>
      <c r="F9" s="28">
        <v>615619</v>
      </c>
      <c r="G9" s="28">
        <v>670000</v>
      </c>
      <c r="H9" s="28"/>
      <c r="I9" s="28">
        <f t="shared" ref="I9:I13" si="6">SUM(G9:H9)</f>
        <v>670000</v>
      </c>
      <c r="J9" s="28"/>
      <c r="K9" s="28"/>
      <c r="L9" s="28"/>
      <c r="M9" s="141">
        <f>SUM(I9:L9)</f>
        <v>670000</v>
      </c>
      <c r="N9" s="141">
        <v>384834.799</v>
      </c>
      <c r="O9" s="162">
        <f t="shared" si="1"/>
        <v>0.57438029701492532</v>
      </c>
    </row>
    <row r="10" spans="1:15" ht="16.5" hidden="1" customHeight="1" x14ac:dyDescent="0.25">
      <c r="A10" s="50" t="s">
        <v>125</v>
      </c>
      <c r="B10" s="53" t="s">
        <v>126</v>
      </c>
      <c r="C10" s="31">
        <v>1355200</v>
      </c>
      <c r="D10" s="31"/>
      <c r="E10" s="31">
        <v>1355200</v>
      </c>
      <c r="F10" s="31">
        <f>SUM(F11:F13)</f>
        <v>1331849</v>
      </c>
      <c r="G10" s="31">
        <f t="shared" ref="G10:L10" si="7">SUM(G11:G13)</f>
        <v>1425000</v>
      </c>
      <c r="H10" s="31">
        <f t="shared" si="7"/>
        <v>0</v>
      </c>
      <c r="I10" s="28">
        <f t="shared" si="6"/>
        <v>1425000</v>
      </c>
      <c r="J10" s="31">
        <f t="shared" si="7"/>
        <v>0</v>
      </c>
      <c r="K10" s="31">
        <f t="shared" si="7"/>
        <v>0</v>
      </c>
      <c r="L10" s="31">
        <f t="shared" si="7"/>
        <v>0</v>
      </c>
      <c r="M10" s="31">
        <f>SUM(M11:M13)</f>
        <v>1425000</v>
      </c>
      <c r="N10" s="31">
        <f>SUM(N11:N13)</f>
        <v>704764.02300000004</v>
      </c>
      <c r="O10" s="162">
        <f t="shared" si="1"/>
        <v>0.49457124421052634</v>
      </c>
    </row>
    <row r="11" spans="1:15" ht="16.5" hidden="1" customHeight="1" x14ac:dyDescent="0.25">
      <c r="A11" s="50" t="s">
        <v>97</v>
      </c>
      <c r="B11" s="53" t="s">
        <v>159</v>
      </c>
      <c r="C11" s="28">
        <v>1250000</v>
      </c>
      <c r="D11" s="28"/>
      <c r="E11" s="28">
        <v>1250000</v>
      </c>
      <c r="F11" s="28">
        <v>1213148</v>
      </c>
      <c r="G11" s="28">
        <v>1300000</v>
      </c>
      <c r="H11" s="28"/>
      <c r="I11" s="28">
        <f t="shared" si="6"/>
        <v>1300000</v>
      </c>
      <c r="J11" s="28"/>
      <c r="K11" s="28"/>
      <c r="L11" s="28"/>
      <c r="M11" s="141">
        <f>SUM(I11:L11)</f>
        <v>1300000</v>
      </c>
      <c r="N11" s="141">
        <v>633592.14899999998</v>
      </c>
      <c r="O11" s="162">
        <f t="shared" si="1"/>
        <v>0.48737857615384611</v>
      </c>
    </row>
    <row r="12" spans="1:15" ht="16.5" hidden="1" customHeight="1" x14ac:dyDescent="0.25">
      <c r="A12" s="50" t="s">
        <v>98</v>
      </c>
      <c r="B12" s="53" t="s">
        <v>160</v>
      </c>
      <c r="C12" s="28">
        <v>92000</v>
      </c>
      <c r="D12" s="28"/>
      <c r="E12" s="28">
        <v>92000</v>
      </c>
      <c r="F12" s="28">
        <v>104820</v>
      </c>
      <c r="G12" s="28">
        <v>110000</v>
      </c>
      <c r="H12" s="28"/>
      <c r="I12" s="28">
        <f t="shared" si="6"/>
        <v>110000</v>
      </c>
      <c r="J12" s="28"/>
      <c r="K12" s="28"/>
      <c r="L12" s="28"/>
      <c r="M12" s="141">
        <f>SUM(I12:L12)</f>
        <v>110000</v>
      </c>
      <c r="N12" s="141">
        <v>65575.987999999998</v>
      </c>
      <c r="O12" s="162">
        <f t="shared" si="1"/>
        <v>0.59614534545454545</v>
      </c>
    </row>
    <row r="13" spans="1:15" ht="16.5" hidden="1" customHeight="1" x14ac:dyDescent="0.25">
      <c r="A13" s="50" t="s">
        <v>99</v>
      </c>
      <c r="B13" s="50" t="s">
        <v>161</v>
      </c>
      <c r="C13" s="28">
        <v>13200</v>
      </c>
      <c r="D13" s="28"/>
      <c r="E13" s="28">
        <v>13200</v>
      </c>
      <c r="F13" s="28">
        <v>13881</v>
      </c>
      <c r="G13" s="28">
        <v>15000</v>
      </c>
      <c r="H13" s="28"/>
      <c r="I13" s="28">
        <f t="shared" si="6"/>
        <v>15000</v>
      </c>
      <c r="J13" s="28"/>
      <c r="K13" s="28"/>
      <c r="L13" s="28"/>
      <c r="M13" s="141">
        <f>SUM(I13:L13)</f>
        <v>15000</v>
      </c>
      <c r="N13" s="141">
        <v>5595.8860000000004</v>
      </c>
      <c r="O13" s="162">
        <f t="shared" si="1"/>
        <v>0.37305906666666672</v>
      </c>
    </row>
    <row r="14" spans="1:15" ht="16.5" hidden="1" customHeight="1" x14ac:dyDescent="0.25">
      <c r="A14" s="50" t="s">
        <v>100</v>
      </c>
      <c r="B14" s="50" t="s">
        <v>130</v>
      </c>
      <c r="C14" s="28">
        <v>21400</v>
      </c>
      <c r="D14" s="28"/>
      <c r="E14" s="28">
        <v>21400</v>
      </c>
      <c r="F14" s="28">
        <v>33682</v>
      </c>
      <c r="G14" s="28">
        <v>35000</v>
      </c>
      <c r="H14" s="28"/>
      <c r="I14" s="28">
        <f t="shared" ref="I14:I25" si="8">SUM(G14:H14)</f>
        <v>35000</v>
      </c>
      <c r="J14" s="28"/>
      <c r="K14" s="28"/>
      <c r="L14" s="28"/>
      <c r="M14" s="141">
        <f>SUM(I14:L14)</f>
        <v>35000</v>
      </c>
      <c r="N14" s="141">
        <v>11265.178</v>
      </c>
      <c r="O14" s="162">
        <f t="shared" si="1"/>
        <v>0.32186222857142854</v>
      </c>
    </row>
    <row r="15" spans="1:15" ht="16.5" customHeight="1" x14ac:dyDescent="0.25">
      <c r="A15" s="51" t="s">
        <v>101</v>
      </c>
      <c r="B15" s="51" t="s">
        <v>20</v>
      </c>
      <c r="C15" s="30">
        <v>624482.35</v>
      </c>
      <c r="D15" s="32"/>
      <c r="E15" s="32">
        <v>624482.35</v>
      </c>
      <c r="F15" s="30">
        <f>SUM(F16:F26)</f>
        <v>628014</v>
      </c>
      <c r="G15" s="30">
        <f t="shared" ref="G15:I15" si="9">SUM(G16:G26)</f>
        <v>648385.37</v>
      </c>
      <c r="H15" s="30">
        <f t="shared" si="9"/>
        <v>0</v>
      </c>
      <c r="I15" s="30">
        <f t="shared" si="9"/>
        <v>648385.37</v>
      </c>
      <c r="J15" s="30">
        <f>SUM(J16:J26)</f>
        <v>2311</v>
      </c>
      <c r="K15" s="30">
        <f>SUM(K16:K26)</f>
        <v>0</v>
      </c>
      <c r="L15" s="30">
        <f>SUM(L16:L26)</f>
        <v>680</v>
      </c>
      <c r="M15" s="30">
        <f>SUM(M16:M26)</f>
        <v>651376.37</v>
      </c>
      <c r="N15" s="30">
        <f>SUM(N16:N26)</f>
        <v>306558.342</v>
      </c>
      <c r="O15" s="165">
        <f>N15/M15</f>
        <v>0.47063165954270036</v>
      </c>
    </row>
    <row r="16" spans="1:15" ht="16.5" hidden="1" customHeight="1" x14ac:dyDescent="0.25">
      <c r="A16" s="53" t="s">
        <v>102</v>
      </c>
      <c r="B16" s="54" t="s">
        <v>21</v>
      </c>
      <c r="C16" s="28">
        <v>300</v>
      </c>
      <c r="D16" s="28"/>
      <c r="E16" s="28">
        <v>300</v>
      </c>
      <c r="F16" s="28">
        <v>91</v>
      </c>
      <c r="G16" s="28">
        <v>0</v>
      </c>
      <c r="H16" s="28"/>
      <c r="I16" s="28">
        <f t="shared" si="8"/>
        <v>0</v>
      </c>
      <c r="J16" s="28"/>
      <c r="K16" s="28"/>
      <c r="L16" s="28"/>
      <c r="M16" s="141">
        <f t="shared" ref="M16:M26" si="10">SUM(I16:L16)</f>
        <v>0</v>
      </c>
      <c r="N16" s="141"/>
      <c r="O16" s="162"/>
    </row>
    <row r="17" spans="1:15" ht="16.5" hidden="1" customHeight="1" x14ac:dyDescent="0.25">
      <c r="A17" s="53" t="s">
        <v>103</v>
      </c>
      <c r="B17" s="54" t="s">
        <v>22</v>
      </c>
      <c r="C17" s="28">
        <v>378305</v>
      </c>
      <c r="D17" s="28"/>
      <c r="E17" s="28">
        <v>378305</v>
      </c>
      <c r="F17" s="28">
        <v>358084</v>
      </c>
      <c r="G17" s="28">
        <v>401022</v>
      </c>
      <c r="H17" s="28"/>
      <c r="I17" s="28">
        <f t="shared" si="8"/>
        <v>401022</v>
      </c>
      <c r="J17" s="28"/>
      <c r="K17" s="28"/>
      <c r="L17" s="28"/>
      <c r="M17" s="141">
        <f t="shared" si="10"/>
        <v>401022</v>
      </c>
      <c r="N17" s="141">
        <v>200230.47899999999</v>
      </c>
      <c r="O17" s="162">
        <f t="shared" ref="O17:O26" si="11">N17/M17</f>
        <v>0.49930048476143452</v>
      </c>
    </row>
    <row r="18" spans="1:15" ht="16.5" hidden="1" customHeight="1" x14ac:dyDescent="0.25">
      <c r="A18" s="53" t="s">
        <v>104</v>
      </c>
      <c r="B18" s="54" t="s">
        <v>23</v>
      </c>
      <c r="C18" s="28">
        <v>21100</v>
      </c>
      <c r="D18" s="28"/>
      <c r="E18" s="28">
        <v>21100</v>
      </c>
      <c r="F18" s="28">
        <v>22791</v>
      </c>
      <c r="G18" s="28">
        <v>51346</v>
      </c>
      <c r="H18" s="28"/>
      <c r="I18" s="28">
        <f t="shared" si="8"/>
        <v>51346</v>
      </c>
      <c r="J18" s="28"/>
      <c r="K18" s="28"/>
      <c r="L18" s="28"/>
      <c r="M18" s="141">
        <f t="shared" si="10"/>
        <v>51346</v>
      </c>
      <c r="N18" s="141">
        <v>9472.6440000000002</v>
      </c>
      <c r="O18" s="162">
        <f t="shared" si="11"/>
        <v>0.18448650333034705</v>
      </c>
    </row>
    <row r="19" spans="1:15" ht="16.5" hidden="1" customHeight="1" x14ac:dyDescent="0.25">
      <c r="A19" s="53" t="s">
        <v>105</v>
      </c>
      <c r="B19" s="54" t="s">
        <v>24</v>
      </c>
      <c r="C19" s="28">
        <v>6600</v>
      </c>
      <c r="D19" s="28"/>
      <c r="E19" s="28">
        <v>6600</v>
      </c>
      <c r="F19" s="28">
        <v>4141</v>
      </c>
      <c r="G19" s="28">
        <v>4000</v>
      </c>
      <c r="H19" s="28"/>
      <c r="I19" s="28">
        <f t="shared" si="8"/>
        <v>4000</v>
      </c>
      <c r="J19" s="28"/>
      <c r="K19" s="28"/>
      <c r="L19" s="28"/>
      <c r="M19" s="141">
        <f t="shared" si="10"/>
        <v>4000</v>
      </c>
      <c r="N19" s="141">
        <v>1605.6949999999999</v>
      </c>
      <c r="O19" s="162">
        <f t="shared" si="11"/>
        <v>0.40142374999999997</v>
      </c>
    </row>
    <row r="20" spans="1:15" ht="16.5" hidden="1" customHeight="1" x14ac:dyDescent="0.25">
      <c r="A20" s="53" t="s">
        <v>106</v>
      </c>
      <c r="B20" s="54" t="s">
        <v>25</v>
      </c>
      <c r="C20" s="28">
        <v>62450</v>
      </c>
      <c r="D20" s="28"/>
      <c r="E20" s="28">
        <v>62450</v>
      </c>
      <c r="F20" s="28">
        <v>86998</v>
      </c>
      <c r="G20" s="28">
        <v>62599.023622047243</v>
      </c>
      <c r="H20" s="28"/>
      <c r="I20" s="28">
        <f t="shared" si="8"/>
        <v>62599.023622047243</v>
      </c>
      <c r="J20" s="28"/>
      <c r="K20" s="28"/>
      <c r="L20" s="28"/>
      <c r="M20" s="141">
        <f t="shared" si="10"/>
        <v>62599.023622047243</v>
      </c>
      <c r="N20" s="141">
        <v>37109.951000000001</v>
      </c>
      <c r="O20" s="162">
        <f t="shared" si="11"/>
        <v>0.59281996511731461</v>
      </c>
    </row>
    <row r="21" spans="1:15" ht="16.5" hidden="1" customHeight="1" x14ac:dyDescent="0.25">
      <c r="A21" s="53" t="s">
        <v>107</v>
      </c>
      <c r="B21" s="54" t="s">
        <v>26</v>
      </c>
      <c r="C21" s="28">
        <v>125913.35</v>
      </c>
      <c r="D21" s="28"/>
      <c r="E21" s="28">
        <v>125913.35</v>
      </c>
      <c r="F21" s="28">
        <v>118429</v>
      </c>
      <c r="G21" s="28">
        <v>124586.34637795277</v>
      </c>
      <c r="H21" s="28"/>
      <c r="I21" s="28">
        <f t="shared" si="8"/>
        <v>124586.34637795277</v>
      </c>
      <c r="J21" s="28"/>
      <c r="K21" s="28"/>
      <c r="L21" s="28"/>
      <c r="M21" s="141">
        <f t="shared" si="10"/>
        <v>124586.34637795277</v>
      </c>
      <c r="N21" s="141">
        <v>47571.582999999999</v>
      </c>
      <c r="O21" s="162">
        <f t="shared" si="11"/>
        <v>0.38183624757470558</v>
      </c>
    </row>
    <row r="22" spans="1:15" ht="16.5" hidden="1" customHeight="1" x14ac:dyDescent="0.25">
      <c r="A22" s="53" t="s">
        <v>108</v>
      </c>
      <c r="B22" s="54" t="s">
        <v>27</v>
      </c>
      <c r="C22" s="28">
        <v>9065</v>
      </c>
      <c r="D22" s="28"/>
      <c r="E22" s="28">
        <v>9065</v>
      </c>
      <c r="F22" s="28">
        <v>0</v>
      </c>
      <c r="G22" s="28">
        <v>0</v>
      </c>
      <c r="H22" s="28"/>
      <c r="I22" s="28">
        <f t="shared" si="8"/>
        <v>0</v>
      </c>
      <c r="J22" s="28"/>
      <c r="K22" s="28"/>
      <c r="L22" s="28"/>
      <c r="M22" s="141">
        <f t="shared" si="10"/>
        <v>0</v>
      </c>
      <c r="N22" s="141"/>
      <c r="O22" s="162"/>
    </row>
    <row r="23" spans="1:15" ht="16.5" hidden="1" customHeight="1" x14ac:dyDescent="0.25">
      <c r="A23" s="53" t="s">
        <v>109</v>
      </c>
      <c r="B23" s="54" t="s">
        <v>28</v>
      </c>
      <c r="C23" s="28">
        <v>15000</v>
      </c>
      <c r="D23" s="28"/>
      <c r="E23" s="28">
        <v>15000</v>
      </c>
      <c r="F23" s="28">
        <v>11353</v>
      </c>
      <c r="G23" s="28">
        <v>0</v>
      </c>
      <c r="H23" s="28"/>
      <c r="I23" s="28">
        <f t="shared" si="8"/>
        <v>0</v>
      </c>
      <c r="J23" s="28"/>
      <c r="K23" s="28"/>
      <c r="L23" s="28"/>
      <c r="M23" s="141">
        <f t="shared" si="10"/>
        <v>0</v>
      </c>
      <c r="N23" s="141">
        <v>2915.8420000000001</v>
      </c>
      <c r="O23" s="162"/>
    </row>
    <row r="24" spans="1:15" ht="16.5" hidden="1" customHeight="1" x14ac:dyDescent="0.25">
      <c r="A24" s="53" t="s">
        <v>110</v>
      </c>
      <c r="B24" s="54" t="s">
        <v>29</v>
      </c>
      <c r="C24" s="28">
        <v>0</v>
      </c>
      <c r="D24" s="28"/>
      <c r="E24" s="28">
        <v>0</v>
      </c>
      <c r="F24" s="28"/>
      <c r="G24" s="28">
        <v>0</v>
      </c>
      <c r="H24" s="28"/>
      <c r="I24" s="28">
        <f t="shared" si="8"/>
        <v>0</v>
      </c>
      <c r="J24" s="28"/>
      <c r="K24" s="28"/>
      <c r="L24" s="28"/>
      <c r="M24" s="141">
        <f t="shared" si="10"/>
        <v>0</v>
      </c>
      <c r="N24" s="141"/>
      <c r="O24" s="162"/>
    </row>
    <row r="25" spans="1:15" ht="16.5" hidden="1" customHeight="1" x14ac:dyDescent="0.25">
      <c r="A25" s="53" t="s">
        <v>111</v>
      </c>
      <c r="B25" s="54" t="s">
        <v>177</v>
      </c>
      <c r="C25" s="28">
        <v>5749</v>
      </c>
      <c r="D25" s="28"/>
      <c r="E25" s="28">
        <v>5749</v>
      </c>
      <c r="F25" s="28">
        <v>2632</v>
      </c>
      <c r="G25" s="28">
        <v>2632</v>
      </c>
      <c r="H25" s="28"/>
      <c r="I25" s="28">
        <f t="shared" si="8"/>
        <v>2632</v>
      </c>
      <c r="J25" s="28"/>
      <c r="K25" s="28"/>
      <c r="L25" s="28"/>
      <c r="M25" s="141">
        <f t="shared" si="10"/>
        <v>2632</v>
      </c>
      <c r="N25" s="141">
        <v>92.866</v>
      </c>
      <c r="O25" s="162"/>
    </row>
    <row r="26" spans="1:15" ht="16.5" hidden="1" customHeight="1" x14ac:dyDescent="0.25">
      <c r="A26" s="53" t="s">
        <v>165</v>
      </c>
      <c r="B26" s="54" t="s">
        <v>30</v>
      </c>
      <c r="C26" s="28">
        <v>0</v>
      </c>
      <c r="D26" s="28"/>
      <c r="E26" s="28">
        <v>0</v>
      </c>
      <c r="F26" s="28">
        <v>23495</v>
      </c>
      <c r="G26" s="28">
        <v>2200</v>
      </c>
      <c r="H26" s="28"/>
      <c r="I26" s="28">
        <f>SUM(G26:H26)</f>
        <v>2200</v>
      </c>
      <c r="J26" s="28">
        <v>2311</v>
      </c>
      <c r="K26" s="28"/>
      <c r="L26" s="28">
        <f>'[1]Testületi kezdv ei mód'!$C$4/1000</f>
        <v>680</v>
      </c>
      <c r="M26" s="141">
        <f t="shared" si="10"/>
        <v>5191</v>
      </c>
      <c r="N26" s="141">
        <v>7559.2820000000002</v>
      </c>
      <c r="O26" s="162">
        <f t="shared" si="11"/>
        <v>1.4562284723560008</v>
      </c>
    </row>
    <row r="27" spans="1:15" ht="16.5" customHeight="1" x14ac:dyDescent="0.25">
      <c r="A27" s="51" t="s">
        <v>112</v>
      </c>
      <c r="B27" s="51" t="s">
        <v>31</v>
      </c>
      <c r="C27" s="30">
        <v>350974</v>
      </c>
      <c r="D27" s="32"/>
      <c r="E27" s="32">
        <v>350974</v>
      </c>
      <c r="F27" s="30">
        <f t="shared" ref="F27" si="12">F28+F29+F30</f>
        <v>120460</v>
      </c>
      <c r="G27" s="30">
        <f t="shared" ref="G27:I27" si="13">SUM(G28:G30)</f>
        <v>402494.5</v>
      </c>
      <c r="H27" s="30">
        <f t="shared" si="13"/>
        <v>0</v>
      </c>
      <c r="I27" s="30">
        <f t="shared" si="13"/>
        <v>402494.5</v>
      </c>
      <c r="J27" s="30">
        <f>SUM(J28:J30)</f>
        <v>11235</v>
      </c>
      <c r="K27" s="30">
        <f>SUM(K28:K30)</f>
        <v>0</v>
      </c>
      <c r="L27" s="30">
        <f>SUM(L28:L30)</f>
        <v>0</v>
      </c>
      <c r="M27" s="30">
        <f>SUM(M28:M30)</f>
        <v>413729.5</v>
      </c>
      <c r="N27" s="30">
        <f>SUM(N28:N30)</f>
        <v>72437.592999999993</v>
      </c>
      <c r="O27" s="165">
        <f>N27/M27</f>
        <v>0.17508442835234131</v>
      </c>
    </row>
    <row r="28" spans="1:15" ht="16.5" hidden="1" customHeight="1" x14ac:dyDescent="0.25">
      <c r="A28" s="53" t="s">
        <v>113</v>
      </c>
      <c r="B28" s="54" t="s">
        <v>32</v>
      </c>
      <c r="C28" s="28">
        <v>0</v>
      </c>
      <c r="D28" s="28"/>
      <c r="E28" s="28">
        <v>0</v>
      </c>
      <c r="F28" s="28"/>
      <c r="G28" s="28">
        <v>0</v>
      </c>
      <c r="H28" s="28"/>
      <c r="I28" s="28">
        <f>SUM(G28:H28)</f>
        <v>0</v>
      </c>
      <c r="J28" s="28"/>
      <c r="K28" s="28"/>
      <c r="L28" s="28"/>
      <c r="M28" s="141">
        <f>SUM(I28:L28)</f>
        <v>0</v>
      </c>
      <c r="N28" s="141"/>
      <c r="O28" s="162"/>
    </row>
    <row r="29" spans="1:15" ht="16.5" hidden="1" customHeight="1" x14ac:dyDescent="0.25">
      <c r="A29" s="53" t="s">
        <v>114</v>
      </c>
      <c r="B29" s="54" t="s">
        <v>33</v>
      </c>
      <c r="C29" s="28">
        <v>350974</v>
      </c>
      <c r="D29" s="28"/>
      <c r="E29" s="28">
        <v>350974</v>
      </c>
      <c r="F29" s="28">
        <v>120460</v>
      </c>
      <c r="G29" s="28">
        <v>402494.5</v>
      </c>
      <c r="H29" s="28"/>
      <c r="I29" s="28">
        <f>SUM(G29:H29)</f>
        <v>402494.5</v>
      </c>
      <c r="J29" s="28">
        <v>11235</v>
      </c>
      <c r="K29" s="28"/>
      <c r="L29" s="28"/>
      <c r="M29" s="141">
        <f>SUM(I29:L29)</f>
        <v>413729.5</v>
      </c>
      <c r="N29" s="141">
        <v>72437.592999999993</v>
      </c>
      <c r="O29" s="162">
        <f t="shared" ref="O29:O43" si="14">N29/M29</f>
        <v>0.17508442835234131</v>
      </c>
    </row>
    <row r="30" spans="1:15" ht="16.5" hidden="1" customHeight="1" x14ac:dyDescent="0.25">
      <c r="A30" s="53" t="s">
        <v>115</v>
      </c>
      <c r="B30" s="54" t="s">
        <v>34</v>
      </c>
      <c r="C30" s="28">
        <v>0</v>
      </c>
      <c r="D30" s="28"/>
      <c r="E30" s="28">
        <v>0</v>
      </c>
      <c r="F30" s="28"/>
      <c r="G30" s="28">
        <v>0</v>
      </c>
      <c r="H30" s="28"/>
      <c r="I30" s="28">
        <f>SUM(G30:H30)</f>
        <v>0</v>
      </c>
      <c r="J30" s="28">
        <v>0</v>
      </c>
      <c r="K30" s="28"/>
      <c r="L30" s="28"/>
      <c r="M30" s="141">
        <f>SUM(I30:L30)</f>
        <v>0</v>
      </c>
      <c r="N30" s="141"/>
      <c r="O30" s="162"/>
    </row>
    <row r="31" spans="1:15" s="7" customFormat="1" ht="16.5" customHeight="1" x14ac:dyDescent="0.25">
      <c r="A31" s="52" t="s">
        <v>116</v>
      </c>
      <c r="B31" s="56" t="s">
        <v>5</v>
      </c>
      <c r="C31" s="30">
        <v>13300</v>
      </c>
      <c r="D31" s="32"/>
      <c r="E31" s="32">
        <v>13300</v>
      </c>
      <c r="F31" s="30">
        <v>1758101</v>
      </c>
      <c r="G31" s="30">
        <v>42695</v>
      </c>
      <c r="H31" s="32">
        <v>0</v>
      </c>
      <c r="I31" s="30">
        <v>42695</v>
      </c>
      <c r="J31" s="30">
        <v>0</v>
      </c>
      <c r="K31" s="30"/>
      <c r="L31" s="30">
        <f>'[1]Egyéb ei módosítás'!$C$21/1000+'[1]Egyéb ei módosítás'!$C$27/1000+'[1]Egyéb ei módosítás'!$C$33/1000</f>
        <v>13200.635</v>
      </c>
      <c r="M31" s="13">
        <f>SUM(I31:L31)</f>
        <v>55895.635000000002</v>
      </c>
      <c r="N31" s="13">
        <v>8200.6350000000002</v>
      </c>
      <c r="O31" s="164">
        <f t="shared" si="14"/>
        <v>0.1467133345922271</v>
      </c>
    </row>
    <row r="32" spans="1:15" s="7" customFormat="1" ht="16.5" customHeight="1" x14ac:dyDescent="0.25">
      <c r="A32" s="52" t="s">
        <v>117</v>
      </c>
      <c r="B32" s="58" t="s">
        <v>7</v>
      </c>
      <c r="C32" s="30">
        <v>65963</v>
      </c>
      <c r="D32" s="30"/>
      <c r="E32" s="30">
        <v>65963</v>
      </c>
      <c r="F32" s="30">
        <v>25275</v>
      </c>
      <c r="G32" s="30">
        <v>0</v>
      </c>
      <c r="H32" s="30">
        <v>0</v>
      </c>
      <c r="I32" s="30">
        <v>0</v>
      </c>
      <c r="J32" s="30">
        <v>8947</v>
      </c>
      <c r="K32" s="30">
        <v>936</v>
      </c>
      <c r="L32" s="30">
        <f>'[1]Egyéb ei módosítás'!$C$13/1000+'[1]Egyéb ei módosítás'!$C$17/1000</f>
        <v>12842.154999999999</v>
      </c>
      <c r="M32" s="13">
        <f>SUM(I32:L32)</f>
        <v>22725.154999999999</v>
      </c>
      <c r="N32" s="13">
        <v>9809.6020000000008</v>
      </c>
      <c r="O32" s="164">
        <f t="shared" si="14"/>
        <v>0.43166271033134873</v>
      </c>
    </row>
    <row r="33" spans="1:15" ht="16.5" customHeight="1" x14ac:dyDescent="0.25">
      <c r="A33" s="59" t="s">
        <v>6</v>
      </c>
      <c r="B33" s="60" t="s">
        <v>76</v>
      </c>
      <c r="C33" s="61">
        <v>1942300</v>
      </c>
      <c r="D33" s="61">
        <v>1750512</v>
      </c>
      <c r="E33" s="61">
        <v>3692812</v>
      </c>
      <c r="F33" s="61">
        <f>F34+F37+F38+F44+F45+F50+F51+F52</f>
        <v>4612774</v>
      </c>
      <c r="G33" s="61">
        <f t="shared" ref="G33:N33" si="15">SUM(G34,G37,G38,G44,G45,G50,G52,G51)</f>
        <v>2110254.9969763779</v>
      </c>
      <c r="H33" s="61">
        <f t="shared" si="15"/>
        <v>789501</v>
      </c>
      <c r="I33" s="61">
        <f t="shared" si="15"/>
        <v>2899755.9969763774</v>
      </c>
      <c r="J33" s="61">
        <f t="shared" si="15"/>
        <v>141567</v>
      </c>
      <c r="K33" s="61">
        <f t="shared" si="15"/>
        <v>61233</v>
      </c>
      <c r="L33" s="61">
        <f t="shared" si="15"/>
        <v>28026.748999999996</v>
      </c>
      <c r="M33" s="61">
        <f t="shared" si="15"/>
        <v>3130582.7459763782</v>
      </c>
      <c r="N33" s="61">
        <f t="shared" si="15"/>
        <v>951664.86600000004</v>
      </c>
      <c r="O33" s="166">
        <f t="shared" si="14"/>
        <v>0.30398968601712878</v>
      </c>
    </row>
    <row r="34" spans="1:15" s="7" customFormat="1" ht="16.5" customHeight="1" x14ac:dyDescent="0.25">
      <c r="A34" s="52" t="s">
        <v>60</v>
      </c>
      <c r="B34" s="56" t="s">
        <v>1</v>
      </c>
      <c r="C34" s="30">
        <v>4680</v>
      </c>
      <c r="D34" s="32"/>
      <c r="E34" s="32">
        <v>4680</v>
      </c>
      <c r="F34" s="30">
        <f t="shared" ref="F34" si="16">F35+F36</f>
        <v>2360</v>
      </c>
      <c r="G34" s="30">
        <f t="shared" ref="G34:I34" si="17">SUM(G35:G36)</f>
        <v>4650</v>
      </c>
      <c r="H34" s="30">
        <f t="shared" si="17"/>
        <v>0</v>
      </c>
      <c r="I34" s="30">
        <f t="shared" si="17"/>
        <v>4650</v>
      </c>
      <c r="J34" s="30">
        <f>SUM(J35:J36)</f>
        <v>-650</v>
      </c>
      <c r="K34" s="30">
        <f>SUM(K35:K36)</f>
        <v>55473</v>
      </c>
      <c r="L34" s="30">
        <f>SUM(L35:L36)</f>
        <v>1525</v>
      </c>
      <c r="M34" s="30">
        <f>SUM(M35:M36)</f>
        <v>60998</v>
      </c>
      <c r="N34" s="30">
        <f>SUM(N35:N36)</f>
        <v>646.68799999999999</v>
      </c>
      <c r="O34" s="163">
        <f t="shared" si="14"/>
        <v>1.0601790222630249E-2</v>
      </c>
    </row>
    <row r="35" spans="1:15" ht="16.5" hidden="1" customHeight="1" x14ac:dyDescent="0.25">
      <c r="A35" s="50" t="s">
        <v>61</v>
      </c>
      <c r="B35" s="50" t="s">
        <v>35</v>
      </c>
      <c r="C35" s="28">
        <v>0</v>
      </c>
      <c r="D35" s="28"/>
      <c r="E35" s="28">
        <v>0</v>
      </c>
      <c r="F35" s="28">
        <v>1333</v>
      </c>
      <c r="G35" s="28">
        <v>0</v>
      </c>
      <c r="H35" s="28">
        <v>0</v>
      </c>
      <c r="I35" s="28">
        <f>SUM(G35:H35)</f>
        <v>0</v>
      </c>
      <c r="J35" s="28"/>
      <c r="K35" s="28"/>
      <c r="L35" s="28"/>
      <c r="M35" s="141">
        <f>SUM(I35:L35)</f>
        <v>0</v>
      </c>
      <c r="N35" s="141"/>
      <c r="O35" s="162" t="e">
        <f t="shared" si="14"/>
        <v>#DIV/0!</v>
      </c>
    </row>
    <row r="36" spans="1:15" ht="16.5" hidden="1" customHeight="1" x14ac:dyDescent="0.25">
      <c r="A36" s="50" t="s">
        <v>62</v>
      </c>
      <c r="B36" s="50" t="s">
        <v>36</v>
      </c>
      <c r="C36" s="28">
        <v>4680</v>
      </c>
      <c r="D36" s="28"/>
      <c r="E36" s="28">
        <v>4680</v>
      </c>
      <c r="F36" s="28">
        <v>1027</v>
      </c>
      <c r="G36" s="28">
        <v>4650</v>
      </c>
      <c r="H36" s="28"/>
      <c r="I36" s="28">
        <f>SUM(G36:H36)</f>
        <v>4650</v>
      </c>
      <c r="J36" s="28">
        <v>-650</v>
      </c>
      <c r="K36" s="28">
        <v>55473</v>
      </c>
      <c r="L36" s="28">
        <f>'[1]Egyéb ei módosítás'!$D$22/1000+'[1]Egyéb ei módosítás'!$D$28/1000</f>
        <v>1525</v>
      </c>
      <c r="M36" s="141">
        <f>SUM(I36:L36)</f>
        <v>60998</v>
      </c>
      <c r="N36" s="141">
        <v>646.68799999999999</v>
      </c>
      <c r="O36" s="162">
        <f t="shared" si="14"/>
        <v>1.0601790222630249E-2</v>
      </c>
    </row>
    <row r="37" spans="1:15" s="7" customFormat="1" ht="16.5" customHeight="1" x14ac:dyDescent="0.25">
      <c r="A37" s="52" t="s">
        <v>63</v>
      </c>
      <c r="B37" s="56" t="s">
        <v>2</v>
      </c>
      <c r="C37" s="30">
        <v>0</v>
      </c>
      <c r="D37" s="32"/>
      <c r="E37" s="32">
        <v>0</v>
      </c>
      <c r="F37" s="30">
        <v>501</v>
      </c>
      <c r="G37" s="30">
        <v>0</v>
      </c>
      <c r="H37" s="30">
        <v>0</v>
      </c>
      <c r="I37" s="30">
        <v>0</v>
      </c>
      <c r="J37" s="30">
        <v>650</v>
      </c>
      <c r="K37" s="30">
        <v>14978</v>
      </c>
      <c r="L37" s="30">
        <f>'[1]Egyéb ei módosítás'!$D$23/1000+'[1]Egyéb ei módosítás'!$D$29/1000</f>
        <v>412</v>
      </c>
      <c r="M37" s="13">
        <f>SUM(I37:L37)</f>
        <v>16040</v>
      </c>
      <c r="N37" s="13">
        <v>325.52300000000002</v>
      </c>
      <c r="O37" s="167">
        <f t="shared" si="14"/>
        <v>2.0294451371571074E-2</v>
      </c>
    </row>
    <row r="38" spans="1:15" s="7" customFormat="1" ht="16.5" customHeight="1" x14ac:dyDescent="0.25">
      <c r="A38" s="52" t="s">
        <v>64</v>
      </c>
      <c r="B38" s="56" t="s">
        <v>3</v>
      </c>
      <c r="C38" s="30">
        <v>1491124.28</v>
      </c>
      <c r="D38" s="32"/>
      <c r="E38" s="32">
        <v>1491124.28</v>
      </c>
      <c r="F38" s="30">
        <f>SUM(F39:F43)</f>
        <v>992396</v>
      </c>
      <c r="G38" s="30">
        <f t="shared" ref="G38:L38" si="18">SUM(G39:G43)</f>
        <v>1083656.2969763777</v>
      </c>
      <c r="H38" s="30">
        <f t="shared" si="18"/>
        <v>0</v>
      </c>
      <c r="I38" s="30">
        <f t="shared" si="18"/>
        <v>1083656.2969763777</v>
      </c>
      <c r="J38" s="30">
        <f t="shared" si="18"/>
        <v>27245</v>
      </c>
      <c r="K38" s="30">
        <f t="shared" si="18"/>
        <v>7418</v>
      </c>
      <c r="L38" s="30">
        <f t="shared" si="18"/>
        <v>4963</v>
      </c>
      <c r="M38" s="30">
        <f>SUM(M39:M43)</f>
        <v>1123282.2969763777</v>
      </c>
      <c r="N38" s="30">
        <f>SUM(N39:N43)</f>
        <v>498944.58200000005</v>
      </c>
      <c r="O38" s="163">
        <f t="shared" si="14"/>
        <v>0.44418449693638562</v>
      </c>
    </row>
    <row r="39" spans="1:15" ht="16.5" hidden="1" customHeight="1" x14ac:dyDescent="0.25">
      <c r="A39" s="50" t="s">
        <v>65</v>
      </c>
      <c r="B39" s="50" t="s">
        <v>37</v>
      </c>
      <c r="C39" s="28">
        <v>7302</v>
      </c>
      <c r="D39" s="28"/>
      <c r="E39" s="28">
        <v>7302</v>
      </c>
      <c r="F39" s="28">
        <v>7850</v>
      </c>
      <c r="G39" s="28">
        <v>14841</v>
      </c>
      <c r="H39" s="28"/>
      <c r="I39" s="28">
        <f>SUM(G39:H39)</f>
        <v>14841</v>
      </c>
      <c r="J39" s="28"/>
      <c r="K39" s="28"/>
      <c r="L39" s="28"/>
      <c r="M39" s="141">
        <f t="shared" ref="M39:M44" si="19">SUM(I39:L39)</f>
        <v>14841</v>
      </c>
      <c r="N39" s="141">
        <v>13664.267</v>
      </c>
      <c r="O39" s="162">
        <f t="shared" si="14"/>
        <v>0.92071066639714305</v>
      </c>
    </row>
    <row r="40" spans="1:15" ht="16.5" hidden="1" customHeight="1" x14ac:dyDescent="0.25">
      <c r="A40" s="50" t="s">
        <v>66</v>
      </c>
      <c r="B40" s="50" t="s">
        <v>38</v>
      </c>
      <c r="C40" s="28">
        <v>11499</v>
      </c>
      <c r="D40" s="28"/>
      <c r="E40" s="28">
        <v>11499</v>
      </c>
      <c r="F40" s="28">
        <v>19393</v>
      </c>
      <c r="G40" s="28">
        <v>15655</v>
      </c>
      <c r="H40" s="28"/>
      <c r="I40" s="28">
        <f t="shared" ref="I40:I43" si="20">SUM(G40:H40)</f>
        <v>15655</v>
      </c>
      <c r="J40" s="28"/>
      <c r="K40" s="28"/>
      <c r="L40" s="28"/>
      <c r="M40" s="141">
        <f t="shared" si="19"/>
        <v>15655</v>
      </c>
      <c r="N40" s="141">
        <v>3937.1219999999998</v>
      </c>
      <c r="O40" s="162">
        <f t="shared" si="14"/>
        <v>0.25149294155221974</v>
      </c>
    </row>
    <row r="41" spans="1:15" ht="16.5" hidden="1" customHeight="1" x14ac:dyDescent="0.25">
      <c r="A41" s="50" t="s">
        <v>67</v>
      </c>
      <c r="B41" s="50" t="s">
        <v>39</v>
      </c>
      <c r="C41" s="28">
        <v>1144094</v>
      </c>
      <c r="D41" s="28"/>
      <c r="E41" s="28">
        <v>1144094</v>
      </c>
      <c r="F41" s="28">
        <v>607641</v>
      </c>
      <c r="G41" s="28">
        <v>733063.26535433065</v>
      </c>
      <c r="H41" s="28"/>
      <c r="I41" s="28">
        <f t="shared" si="20"/>
        <v>733063.26535433065</v>
      </c>
      <c r="J41" s="28">
        <v>27245</v>
      </c>
      <c r="K41" s="28">
        <f>5499+5499-3580</f>
        <v>7418</v>
      </c>
      <c r="L41" s="28">
        <f>'[1]Egyéb ei módosítás'!$D$24/1000+'[1]Egyéb ei módosítás'!$D$30/1000+'[2]Egyéb ei módosítás'!$D$6/1000</f>
        <v>4963</v>
      </c>
      <c r="M41" s="141">
        <f t="shared" si="19"/>
        <v>772689.26535433065</v>
      </c>
      <c r="N41" s="141">
        <v>349045.85600000003</v>
      </c>
      <c r="O41" s="162">
        <f t="shared" si="14"/>
        <v>0.45172862061172642</v>
      </c>
    </row>
    <row r="42" spans="1:15" ht="16.5" hidden="1" customHeight="1" x14ac:dyDescent="0.25">
      <c r="A42" s="50" t="s">
        <v>68</v>
      </c>
      <c r="B42" s="50" t="s">
        <v>40</v>
      </c>
      <c r="C42" s="28">
        <v>1250</v>
      </c>
      <c r="D42" s="28"/>
      <c r="E42" s="28">
        <v>1250</v>
      </c>
      <c r="F42" s="28">
        <v>4433</v>
      </c>
      <c r="G42" s="28">
        <v>1998</v>
      </c>
      <c r="H42" s="28"/>
      <c r="I42" s="28">
        <f t="shared" si="20"/>
        <v>1998</v>
      </c>
      <c r="J42" s="28"/>
      <c r="K42" s="28"/>
      <c r="L42" s="28"/>
      <c r="M42" s="141">
        <f t="shared" si="19"/>
        <v>1998</v>
      </c>
      <c r="N42" s="141">
        <v>3783.8609999999999</v>
      </c>
      <c r="O42" s="162">
        <f t="shared" si="14"/>
        <v>1.8938243243243242</v>
      </c>
    </row>
    <row r="43" spans="1:15" ht="16.5" hidden="1" customHeight="1" x14ac:dyDescent="0.25">
      <c r="A43" s="50" t="s">
        <v>69</v>
      </c>
      <c r="B43" s="50" t="s">
        <v>41</v>
      </c>
      <c r="C43" s="28">
        <v>326979.28000000003</v>
      </c>
      <c r="D43" s="28"/>
      <c r="E43" s="28">
        <v>326979.28000000003</v>
      </c>
      <c r="F43" s="28">
        <v>353079</v>
      </c>
      <c r="G43" s="28">
        <v>318099.03162204719</v>
      </c>
      <c r="H43" s="28"/>
      <c r="I43" s="28">
        <f t="shared" si="20"/>
        <v>318099.03162204719</v>
      </c>
      <c r="J43" s="28"/>
      <c r="K43" s="28"/>
      <c r="L43" s="28"/>
      <c r="M43" s="141">
        <f t="shared" si="19"/>
        <v>318099.03162204719</v>
      </c>
      <c r="N43" s="141">
        <v>128513.476</v>
      </c>
      <c r="O43" s="162">
        <f t="shared" si="14"/>
        <v>0.40400461247771002</v>
      </c>
    </row>
    <row r="44" spans="1:15" s="7" customFormat="1" ht="16.5" customHeight="1" x14ac:dyDescent="0.25">
      <c r="A44" s="51" t="s">
        <v>70</v>
      </c>
      <c r="B44" s="51" t="s">
        <v>145</v>
      </c>
      <c r="C44" s="32">
        <v>0</v>
      </c>
      <c r="D44" s="32">
        <v>15010</v>
      </c>
      <c r="E44" s="32">
        <v>15010</v>
      </c>
      <c r="F44" s="32">
        <v>39391</v>
      </c>
      <c r="G44" s="32">
        <v>20250</v>
      </c>
      <c r="H44" s="32">
        <v>0</v>
      </c>
      <c r="I44" s="32">
        <v>20250</v>
      </c>
      <c r="J44" s="32"/>
      <c r="K44" s="32"/>
      <c r="L44" s="32"/>
      <c r="M44" s="13">
        <f t="shared" si="19"/>
        <v>20250</v>
      </c>
      <c r="N44" s="13">
        <v>7739.2380000000003</v>
      </c>
      <c r="O44" s="167">
        <f>N44/M44</f>
        <v>0.38218459259259263</v>
      </c>
    </row>
    <row r="45" spans="1:15" s="7" customFormat="1" ht="16.5" customHeight="1" x14ac:dyDescent="0.25">
      <c r="A45" s="52" t="s">
        <v>71</v>
      </c>
      <c r="B45" s="56" t="s">
        <v>146</v>
      </c>
      <c r="C45" s="32">
        <v>80000</v>
      </c>
      <c r="D45" s="32">
        <v>284678</v>
      </c>
      <c r="E45" s="32">
        <v>364678</v>
      </c>
      <c r="F45" s="32">
        <f t="shared" ref="F45" si="21">SUM(F47,F46)</f>
        <v>2802905</v>
      </c>
      <c r="G45" s="32">
        <f t="shared" ref="G45:N45" si="22">SUM(G46,G47)</f>
        <v>928698.70000000007</v>
      </c>
      <c r="H45" s="32">
        <f t="shared" si="22"/>
        <v>226914</v>
      </c>
      <c r="I45" s="32">
        <f t="shared" si="22"/>
        <v>1155612.7</v>
      </c>
      <c r="J45" s="32">
        <f t="shared" si="22"/>
        <v>9080</v>
      </c>
      <c r="K45" s="32">
        <f t="shared" si="22"/>
        <v>-9218</v>
      </c>
      <c r="L45" s="32">
        <f t="shared" si="22"/>
        <v>60373.616999999998</v>
      </c>
      <c r="M45" s="32">
        <f t="shared" si="22"/>
        <v>1215848.317</v>
      </c>
      <c r="N45" s="32">
        <f t="shared" si="22"/>
        <v>227052.74900000001</v>
      </c>
      <c r="O45" s="163">
        <f>N45/M45</f>
        <v>0.18674430504639997</v>
      </c>
    </row>
    <row r="46" spans="1:15" s="151" customFormat="1" ht="16.5" customHeight="1" x14ac:dyDescent="0.25">
      <c r="A46" s="156" t="s">
        <v>188</v>
      </c>
      <c r="B46" s="147" t="s">
        <v>134</v>
      </c>
      <c r="C46" s="149">
        <v>0</v>
      </c>
      <c r="D46" s="148">
        <v>284678</v>
      </c>
      <c r="E46" s="148">
        <v>284678</v>
      </c>
      <c r="F46" s="148">
        <v>2802905</v>
      </c>
      <c r="G46" s="148">
        <f>874830+2500.3</f>
        <v>877330.3</v>
      </c>
      <c r="H46" s="148">
        <v>226914</v>
      </c>
      <c r="I46" s="33">
        <f t="shared" ref="I46:I49" si="23">SUM(G46:H46)</f>
        <v>1104244.3</v>
      </c>
      <c r="J46" s="148">
        <v>-1534</v>
      </c>
      <c r="K46" s="148">
        <f>296+2036+1158</f>
        <v>3490</v>
      </c>
      <c r="L46" s="148">
        <f>'[1]Testületi kezdv ei mód'!$D$8/1000+'[1]Testületi kezdv ei mód'!$D$35/1000+'[1]Testületi kezdv ei mód'!$D$19/1000+'[1]Egyéb ei módosítás'!$D$4/1000+'[1]Egyéb ei módosítás'!$D$5/1000+'[1]Egyéb ei módosítás'!$D$9/1000</f>
        <v>44141.296000000002</v>
      </c>
      <c r="M46" s="150">
        <f>SUM(I46:L46)</f>
        <v>1150341.5960000001</v>
      </c>
      <c r="N46" s="150">
        <v>227052.74900000001</v>
      </c>
      <c r="O46" s="162">
        <f>N46/M46</f>
        <v>0.1973785437208514</v>
      </c>
    </row>
    <row r="47" spans="1:15" s="151" customFormat="1" ht="16.5" customHeight="1" x14ac:dyDescent="0.25">
      <c r="A47" s="147" t="s">
        <v>168</v>
      </c>
      <c r="B47" s="147" t="s">
        <v>56</v>
      </c>
      <c r="C47" s="152">
        <v>80000</v>
      </c>
      <c r="D47" s="152">
        <v>0</v>
      </c>
      <c r="E47" s="152">
        <v>80000</v>
      </c>
      <c r="F47" s="152">
        <f t="shared" ref="F47" si="24">SUM(F48:F49)</f>
        <v>0</v>
      </c>
      <c r="G47" s="152">
        <f t="shared" ref="G47:H47" si="25">G48+G49</f>
        <v>51368.4</v>
      </c>
      <c r="H47" s="152">
        <f t="shared" si="25"/>
        <v>0</v>
      </c>
      <c r="I47" s="152">
        <f>I48+I49</f>
        <v>51368.4</v>
      </c>
      <c r="J47" s="152">
        <f>SUM(J48:J49)</f>
        <v>10614</v>
      </c>
      <c r="K47" s="152">
        <f>SUM(K48:K49)</f>
        <v>-12708</v>
      </c>
      <c r="L47" s="152">
        <f>SUM(L48:L49)</f>
        <v>16232.321</v>
      </c>
      <c r="M47" s="152">
        <f>SUM(M48:M49)</f>
        <v>65506.721000000005</v>
      </c>
      <c r="N47" s="152">
        <f>SUM(N48:N49)</f>
        <v>0</v>
      </c>
      <c r="O47" s="162">
        <f>N47/M47</f>
        <v>0</v>
      </c>
    </row>
    <row r="48" spans="1:15" s="151" customFormat="1" ht="16.5" customHeight="1" x14ac:dyDescent="0.25">
      <c r="A48" s="147"/>
      <c r="B48" s="147" t="s">
        <v>77</v>
      </c>
      <c r="C48" s="148">
        <v>80000</v>
      </c>
      <c r="D48" s="148"/>
      <c r="E48" s="148">
        <v>80000</v>
      </c>
      <c r="F48" s="148"/>
      <c r="G48" s="148">
        <f>50000+1368.4</f>
        <v>51368.4</v>
      </c>
      <c r="H48" s="148">
        <v>0</v>
      </c>
      <c r="I48" s="33">
        <f t="shared" si="23"/>
        <v>51368.4</v>
      </c>
      <c r="J48" s="148">
        <v>10614</v>
      </c>
      <c r="K48" s="148">
        <f>2050+-2433+-1083+7562-21107+936+199+1168</f>
        <v>-12708</v>
      </c>
      <c r="L48" s="148">
        <f>'[1]Állami támogatás'!$D$16/1000+'[1]Állami támogatás'!$D$20/1000+'[1]Állami támogatás'!$D$23/1000+'[1]Állami támogatás'!$D$28/1000+'[1]Állami támogatás'!$D$32/1000+'[1]Testületi kezdv ei mód'!$D$5/1000+'[1]Testületi kezdv ei mód'!$D$9/1000+'[1]Testületi kezdv ei mód'!$D$13/1000+'[1]Testületi kezdv ei mód'!$D$31/1000+'[1]Egyéb ei módosítás'!$D$14/1000+'[1]Egyéb ei módosítás'!$D$34/1000</f>
        <v>16232.321</v>
      </c>
      <c r="M48" s="150">
        <f>SUM(I48:L48)</f>
        <v>65506.721000000005</v>
      </c>
      <c r="N48" s="150">
        <v>0</v>
      </c>
      <c r="O48" s="162">
        <f>N48/M48</f>
        <v>0</v>
      </c>
    </row>
    <row r="49" spans="1:15" s="151" customFormat="1" ht="16.5" customHeight="1" x14ac:dyDescent="0.25">
      <c r="A49" s="147"/>
      <c r="B49" s="147" t="s">
        <v>78</v>
      </c>
      <c r="C49" s="148">
        <v>0</v>
      </c>
      <c r="D49" s="148"/>
      <c r="E49" s="148">
        <v>0</v>
      </c>
      <c r="F49" s="148"/>
      <c r="G49" s="148">
        <v>0</v>
      </c>
      <c r="H49" s="148">
        <v>0</v>
      </c>
      <c r="I49" s="33">
        <f t="shared" si="23"/>
        <v>0</v>
      </c>
      <c r="J49" s="148"/>
      <c r="K49" s="148"/>
      <c r="L49" s="148"/>
      <c r="M49" s="150">
        <f>SUM(I49:L49)</f>
        <v>0</v>
      </c>
      <c r="N49" s="150">
        <v>0</v>
      </c>
      <c r="O49" s="162"/>
    </row>
    <row r="50" spans="1:15" s="7" customFormat="1" ht="16.5" customHeight="1" x14ac:dyDescent="0.25">
      <c r="A50" s="51" t="s">
        <v>73</v>
      </c>
      <c r="B50" s="51" t="s">
        <v>147</v>
      </c>
      <c r="C50" s="30">
        <v>301575</v>
      </c>
      <c r="D50" s="32">
        <v>1104192</v>
      </c>
      <c r="E50" s="32">
        <v>1405767</v>
      </c>
      <c r="F50" s="30">
        <v>494778</v>
      </c>
      <c r="G50" s="30">
        <v>0</v>
      </c>
      <c r="H50" s="30">
        <v>150727</v>
      </c>
      <c r="I50" s="30">
        <v>150727</v>
      </c>
      <c r="J50" s="139">
        <f>28780+14121-500</f>
        <v>42401</v>
      </c>
      <c r="K50" s="30">
        <f>-2540+4000+3580</f>
        <v>5040</v>
      </c>
      <c r="L50" s="30">
        <f>'[1]Testületi kezdv ei mód'!$D$25/1000+'[1]Testületi kezdv ei mód'!$D$27/1000+'[1]Testületi kezdv ei mód'!$D$30/1000+'[1]Testületi kezdv ei mód'!$D$34/1000</f>
        <v>1771</v>
      </c>
      <c r="M50" s="13">
        <f>SUM(I50:L50)</f>
        <v>199939</v>
      </c>
      <c r="N50" s="13">
        <v>71042.448999999993</v>
      </c>
      <c r="O50" s="163">
        <f t="shared" ref="O50:O58" si="26">N50/M50</f>
        <v>0.35532061778842544</v>
      </c>
    </row>
    <row r="51" spans="1:15" s="7" customFormat="1" ht="16.5" customHeight="1" x14ac:dyDescent="0.25">
      <c r="A51" s="51" t="s">
        <v>74</v>
      </c>
      <c r="B51" s="51" t="s">
        <v>183</v>
      </c>
      <c r="C51" s="30">
        <v>48000</v>
      </c>
      <c r="D51" s="32">
        <v>341510</v>
      </c>
      <c r="E51" s="32">
        <v>389510</v>
      </c>
      <c r="F51" s="30">
        <v>246672</v>
      </c>
      <c r="G51" s="30">
        <v>48000</v>
      </c>
      <c r="H51" s="30">
        <v>344700</v>
      </c>
      <c r="I51" s="30">
        <v>392700</v>
      </c>
      <c r="J51" s="139">
        <f>14014+11235+6000+12000+5499+500+13593</f>
        <v>62841</v>
      </c>
      <c r="K51" s="30">
        <f>-5499-5499-4000</f>
        <v>-14998</v>
      </c>
      <c r="L51" s="30">
        <f>'[1]Testületi kezdv ei mód'!$D$20/1000+'[1]Testületi kezdv ei mód'!$D$21/1000+'[1]Testületi kezdv ei mód'!$D$24/1000+'[1]Testületi kezdv ei mód'!$D$28/1000</f>
        <v>-46200</v>
      </c>
      <c r="M51" s="13">
        <f>SUM(I51:L51)</f>
        <v>394343</v>
      </c>
      <c r="N51" s="13">
        <v>111537.46799999999</v>
      </c>
      <c r="O51" s="163">
        <f t="shared" si="26"/>
        <v>0.2828437882756889</v>
      </c>
    </row>
    <row r="52" spans="1:15" s="7" customFormat="1" ht="16.5" customHeight="1" x14ac:dyDescent="0.25">
      <c r="A52" s="51" t="s">
        <v>75</v>
      </c>
      <c r="B52" s="51" t="s">
        <v>158</v>
      </c>
      <c r="C52" s="32">
        <v>16921</v>
      </c>
      <c r="D52" s="32">
        <v>5122</v>
      </c>
      <c r="E52" s="32">
        <v>22043</v>
      </c>
      <c r="F52" s="32">
        <v>33771</v>
      </c>
      <c r="G52" s="30">
        <v>25000</v>
      </c>
      <c r="H52" s="30">
        <v>67160</v>
      </c>
      <c r="I52" s="30">
        <v>92160</v>
      </c>
      <c r="J52" s="30"/>
      <c r="K52" s="30">
        <f>2540</f>
        <v>2540</v>
      </c>
      <c r="L52" s="30">
        <f>'[1]Egyéb ei módosítás'!$D$10/1000+'[1]Egyéb ei módosítás'!$D$18/1000</f>
        <v>5182.1319999999996</v>
      </c>
      <c r="M52" s="13">
        <f>SUM(I52:L52)</f>
        <v>99882.131999999998</v>
      </c>
      <c r="N52" s="13">
        <v>34376.169000000002</v>
      </c>
      <c r="O52" s="163">
        <f t="shared" si="26"/>
        <v>0.34416735317584135</v>
      </c>
    </row>
    <row r="53" spans="1:15" ht="16.5" customHeight="1" x14ac:dyDescent="0.25">
      <c r="A53" s="64"/>
      <c r="B53" s="65" t="s">
        <v>42</v>
      </c>
      <c r="C53" s="67">
        <f t="shared" ref="C53:N53" si="27">C3-C33</f>
        <v>3521140.3499999996</v>
      </c>
      <c r="D53" s="67">
        <f t="shared" si="27"/>
        <v>-1750512</v>
      </c>
      <c r="E53" s="67">
        <f t="shared" si="27"/>
        <v>1770628.3499999996</v>
      </c>
      <c r="F53" s="67">
        <f t="shared" si="27"/>
        <v>1784598</v>
      </c>
      <c r="G53" s="67">
        <f t="shared" si="27"/>
        <v>2645777.8730236222</v>
      </c>
      <c r="H53" s="67">
        <f t="shared" si="27"/>
        <v>-789501</v>
      </c>
      <c r="I53" s="67">
        <f t="shared" si="27"/>
        <v>1856276.8730236227</v>
      </c>
      <c r="J53" s="67">
        <f t="shared" si="27"/>
        <v>-107941</v>
      </c>
      <c r="K53" s="67">
        <f t="shared" si="27"/>
        <v>-38798</v>
      </c>
      <c r="L53" s="67">
        <f t="shared" si="27"/>
        <v>39340.000000000015</v>
      </c>
      <c r="M53" s="67">
        <f t="shared" si="27"/>
        <v>1748877.8730236217</v>
      </c>
      <c r="N53" s="67">
        <f t="shared" si="27"/>
        <v>1383075.963</v>
      </c>
      <c r="O53" s="169">
        <f t="shared" si="26"/>
        <v>0.7908362180881221</v>
      </c>
    </row>
    <row r="54" spans="1:15" ht="16.5" customHeight="1" x14ac:dyDescent="0.25">
      <c r="A54" s="68"/>
      <c r="B54" s="69" t="s">
        <v>43</v>
      </c>
      <c r="C54" s="70">
        <f t="shared" ref="C54:N54" si="28">C6+C8+C15+C31-C34-C37-C38-C44-C45+C49</f>
        <v>2403028.0700000003</v>
      </c>
      <c r="D54" s="70">
        <f t="shared" si="28"/>
        <v>-299688</v>
      </c>
      <c r="E54" s="70">
        <f t="shared" si="28"/>
        <v>2103340.0700000003</v>
      </c>
      <c r="F54" s="70">
        <f t="shared" si="28"/>
        <v>2033853</v>
      </c>
      <c r="G54" s="70">
        <f t="shared" si="28"/>
        <v>2251983.3730236222</v>
      </c>
      <c r="H54" s="70">
        <f t="shared" si="28"/>
        <v>-226914</v>
      </c>
      <c r="I54" s="70">
        <f t="shared" si="28"/>
        <v>2025069.3730236224</v>
      </c>
      <c r="J54" s="70">
        <f t="shared" si="28"/>
        <v>-22881</v>
      </c>
      <c r="K54" s="70">
        <f t="shared" si="28"/>
        <v>-47152</v>
      </c>
      <c r="L54" s="70">
        <f t="shared" si="28"/>
        <v>-27089.023000000001</v>
      </c>
      <c r="M54" s="70">
        <f t="shared" si="28"/>
        <v>1927947.3500236219</v>
      </c>
      <c r="N54" s="70">
        <f t="shared" si="28"/>
        <v>1491603.0590000001</v>
      </c>
      <c r="O54" s="170">
        <f t="shared" si="26"/>
        <v>0.77367416645569931</v>
      </c>
    </row>
    <row r="55" spans="1:15" ht="16.5" customHeight="1" x14ac:dyDescent="0.25">
      <c r="A55" s="68"/>
      <c r="B55" s="69" t="s">
        <v>44</v>
      </c>
      <c r="C55" s="70">
        <f t="shared" ref="C55:N55" si="29">C7+C27+C32-C49-C50-C51-C52</f>
        <v>1118112</v>
      </c>
      <c r="D55" s="70">
        <f t="shared" si="29"/>
        <v>-1450824</v>
      </c>
      <c r="E55" s="70">
        <f t="shared" si="29"/>
        <v>-332712</v>
      </c>
      <c r="F55" s="70">
        <f t="shared" si="29"/>
        <v>-249255</v>
      </c>
      <c r="G55" s="70">
        <f t="shared" si="29"/>
        <v>393794.5</v>
      </c>
      <c r="H55" s="70">
        <f t="shared" si="29"/>
        <v>-562587</v>
      </c>
      <c r="I55" s="70">
        <f t="shared" si="29"/>
        <v>-168792.5</v>
      </c>
      <c r="J55" s="70">
        <f t="shared" si="29"/>
        <v>-85060</v>
      </c>
      <c r="K55" s="70">
        <f t="shared" si="29"/>
        <v>8354</v>
      </c>
      <c r="L55" s="70">
        <f t="shared" si="29"/>
        <v>66429.023000000001</v>
      </c>
      <c r="M55" s="70">
        <f t="shared" si="29"/>
        <v>-179069.47699999996</v>
      </c>
      <c r="N55" s="70">
        <f t="shared" si="29"/>
        <v>-108527.09599999999</v>
      </c>
      <c r="O55" s="170">
        <f t="shared" si="26"/>
        <v>0.606061389233856</v>
      </c>
    </row>
    <row r="56" spans="1:15" ht="16.5" customHeight="1" x14ac:dyDescent="0.25">
      <c r="A56" s="71" t="s">
        <v>132</v>
      </c>
      <c r="B56" s="72" t="s">
        <v>45</v>
      </c>
      <c r="C56" s="74">
        <f>C57</f>
        <v>406596</v>
      </c>
      <c r="D56" s="74">
        <f t="shared" ref="D56:N56" si="30">D57</f>
        <v>0</v>
      </c>
      <c r="E56" s="74">
        <f t="shared" si="30"/>
        <v>406596</v>
      </c>
      <c r="F56" s="74">
        <f t="shared" si="30"/>
        <v>990741</v>
      </c>
      <c r="G56" s="74">
        <f t="shared" si="30"/>
        <v>360894</v>
      </c>
      <c r="H56" s="74">
        <f t="shared" si="30"/>
        <v>0</v>
      </c>
      <c r="I56" s="74">
        <f t="shared" si="30"/>
        <v>360894</v>
      </c>
      <c r="J56" s="74">
        <f t="shared" si="30"/>
        <v>193517</v>
      </c>
      <c r="K56" s="74">
        <f t="shared" si="30"/>
        <v>400000</v>
      </c>
      <c r="L56" s="74">
        <f t="shared" si="30"/>
        <v>0</v>
      </c>
      <c r="M56" s="74">
        <f t="shared" si="30"/>
        <v>954411</v>
      </c>
      <c r="N56" s="74">
        <f t="shared" si="30"/>
        <v>454411</v>
      </c>
      <c r="O56" s="171">
        <f t="shared" si="26"/>
        <v>0.47611668348332115</v>
      </c>
    </row>
    <row r="57" spans="1:15" ht="16.5" customHeight="1" x14ac:dyDescent="0.25">
      <c r="A57" s="50" t="s">
        <v>120</v>
      </c>
      <c r="B57" s="50" t="s">
        <v>50</v>
      </c>
      <c r="C57" s="35">
        <v>406596</v>
      </c>
      <c r="D57" s="35">
        <v>0</v>
      </c>
      <c r="E57" s="35">
        <v>406596</v>
      </c>
      <c r="F57" s="35">
        <f>SUM(F58,F59,F60,F63,)</f>
        <v>990741</v>
      </c>
      <c r="G57" s="35">
        <v>360894</v>
      </c>
      <c r="H57" s="35">
        <v>0</v>
      </c>
      <c r="I57" s="35">
        <v>360894</v>
      </c>
      <c r="J57" s="35">
        <f>J58+J59+J60+J64</f>
        <v>193517</v>
      </c>
      <c r="K57" s="35">
        <f>K58+K59+K60+K64</f>
        <v>400000</v>
      </c>
      <c r="L57" s="35">
        <f>L58+L59+L60+L64</f>
        <v>0</v>
      </c>
      <c r="M57" s="35">
        <f>M58+M59+M60+M64</f>
        <v>954411</v>
      </c>
      <c r="N57" s="35">
        <f>N58+N59+N60+N64</f>
        <v>454411</v>
      </c>
      <c r="O57" s="168">
        <f t="shared" si="26"/>
        <v>0.47611668348332115</v>
      </c>
    </row>
    <row r="58" spans="1:15" ht="16.5" customHeight="1" x14ac:dyDescent="0.25">
      <c r="A58" s="50" t="s">
        <v>79</v>
      </c>
      <c r="B58" s="50" t="s">
        <v>47</v>
      </c>
      <c r="C58" s="28">
        <v>150000</v>
      </c>
      <c r="D58" s="28"/>
      <c r="E58" s="28">
        <v>150000</v>
      </c>
      <c r="F58" s="28">
        <v>300000</v>
      </c>
      <c r="G58" s="28">
        <v>150000</v>
      </c>
      <c r="H58" s="28"/>
      <c r="I58" s="28">
        <f t="shared" ref="I58" si="31">SUM(G58:H58)</f>
        <v>150000</v>
      </c>
      <c r="J58" s="28"/>
      <c r="K58" s="28">
        <v>400000</v>
      </c>
      <c r="L58" s="28"/>
      <c r="M58" s="141">
        <f>SUM(I58:L58)</f>
        <v>550000</v>
      </c>
      <c r="N58" s="141">
        <v>50000</v>
      </c>
      <c r="O58" s="162">
        <f t="shared" si="26"/>
        <v>9.0909090909090912E-2</v>
      </c>
    </row>
    <row r="59" spans="1:15" ht="16.5" customHeight="1" x14ac:dyDescent="0.25">
      <c r="A59" s="50" t="s">
        <v>80</v>
      </c>
      <c r="B59" s="50" t="s">
        <v>48</v>
      </c>
      <c r="C59" s="28">
        <v>0</v>
      </c>
      <c r="D59" s="28"/>
      <c r="E59" s="28">
        <v>0</v>
      </c>
      <c r="F59" s="28"/>
      <c r="G59" s="28">
        <v>0</v>
      </c>
      <c r="H59" s="28">
        <v>0</v>
      </c>
      <c r="I59" s="28">
        <v>0</v>
      </c>
      <c r="J59" s="28"/>
      <c r="K59" s="28"/>
      <c r="L59" s="28"/>
      <c r="M59" s="141">
        <f>SUM(I59:L59)</f>
        <v>0</v>
      </c>
      <c r="N59" s="141">
        <f>SUM(J59:M59)</f>
        <v>0</v>
      </c>
      <c r="O59" s="162"/>
    </row>
    <row r="60" spans="1:15" ht="16.5" customHeight="1" x14ac:dyDescent="0.25">
      <c r="A60" s="50" t="s">
        <v>81</v>
      </c>
      <c r="B60" s="50" t="s">
        <v>49</v>
      </c>
      <c r="C60" s="35">
        <v>256596</v>
      </c>
      <c r="D60" s="35">
        <v>0</v>
      </c>
      <c r="E60" s="35">
        <v>256596</v>
      </c>
      <c r="F60" s="35">
        <f t="shared" ref="F60" si="32">SUM(F61:F62)</f>
        <v>642603</v>
      </c>
      <c r="G60" s="35">
        <v>210894</v>
      </c>
      <c r="H60" s="35">
        <v>0</v>
      </c>
      <c r="I60" s="35">
        <v>210894</v>
      </c>
      <c r="J60" s="35">
        <f>SUM(J61:J62)</f>
        <v>193517</v>
      </c>
      <c r="K60" s="35">
        <f>SUM(K61:K62)</f>
        <v>0</v>
      </c>
      <c r="L60" s="35">
        <f>SUM(L61:L62)</f>
        <v>0</v>
      </c>
      <c r="M60" s="35">
        <f>SUM(M61:M62)</f>
        <v>404411</v>
      </c>
      <c r="N60" s="35">
        <v>404411</v>
      </c>
      <c r="O60" s="172">
        <f>N60/M60</f>
        <v>1</v>
      </c>
    </row>
    <row r="61" spans="1:15" s="146" customFormat="1" ht="16.5" customHeight="1" x14ac:dyDescent="0.25">
      <c r="A61" s="62"/>
      <c r="B61" s="62" t="s">
        <v>82</v>
      </c>
      <c r="C61" s="36">
        <v>208568</v>
      </c>
      <c r="D61" s="33"/>
      <c r="E61" s="33">
        <v>208568</v>
      </c>
      <c r="F61" s="36">
        <v>642603</v>
      </c>
      <c r="G61" s="36">
        <v>95894</v>
      </c>
      <c r="H61" s="36"/>
      <c r="I61" s="33">
        <f t="shared" ref="I61:I63" si="33">SUM(G61:H61)</f>
        <v>95894</v>
      </c>
      <c r="J61" s="36">
        <v>165382</v>
      </c>
      <c r="K61" s="36"/>
      <c r="L61" s="36"/>
      <c r="M61" s="145">
        <f t="shared" ref="M61:N65" si="34">SUM(I61:L61)</f>
        <v>261276</v>
      </c>
      <c r="N61" s="145"/>
      <c r="O61" s="162">
        <f>N61/M61</f>
        <v>0</v>
      </c>
    </row>
    <row r="62" spans="1:15" s="146" customFormat="1" ht="16.5" customHeight="1" x14ac:dyDescent="0.25">
      <c r="A62" s="62"/>
      <c r="B62" s="62" t="s">
        <v>83</v>
      </c>
      <c r="C62" s="36">
        <v>48028</v>
      </c>
      <c r="D62" s="33"/>
      <c r="E62" s="33">
        <v>48028</v>
      </c>
      <c r="F62" s="36"/>
      <c r="G62" s="36">
        <v>115000</v>
      </c>
      <c r="H62" s="36"/>
      <c r="I62" s="33">
        <f t="shared" si="33"/>
        <v>115000</v>
      </c>
      <c r="J62" s="36">
        <v>28135</v>
      </c>
      <c r="K62" s="36"/>
      <c r="L62" s="36"/>
      <c r="M62" s="145">
        <f t="shared" si="34"/>
        <v>143135</v>
      </c>
      <c r="N62" s="145"/>
      <c r="O62" s="162">
        <f>N62/M62</f>
        <v>0</v>
      </c>
    </row>
    <row r="63" spans="1:15" ht="16.5" hidden="1" customHeight="1" x14ac:dyDescent="0.25">
      <c r="A63" s="50" t="s">
        <v>84</v>
      </c>
      <c r="B63" s="50" t="s">
        <v>131</v>
      </c>
      <c r="C63" s="28"/>
      <c r="D63" s="28"/>
      <c r="E63" s="28">
        <v>0</v>
      </c>
      <c r="F63" s="28">
        <v>48138</v>
      </c>
      <c r="G63" s="28">
        <v>0</v>
      </c>
      <c r="H63" s="28">
        <v>0</v>
      </c>
      <c r="I63" s="33">
        <f t="shared" si="33"/>
        <v>0</v>
      </c>
      <c r="J63" s="28">
        <v>0</v>
      </c>
      <c r="K63" s="28"/>
      <c r="L63" s="28"/>
      <c r="M63" s="141">
        <f t="shared" si="34"/>
        <v>0</v>
      </c>
      <c r="N63" s="141">
        <f t="shared" si="34"/>
        <v>0</v>
      </c>
      <c r="O63" s="162"/>
    </row>
    <row r="64" spans="1:15" ht="16.5" customHeight="1" x14ac:dyDescent="0.25">
      <c r="A64" s="50" t="s">
        <v>121</v>
      </c>
      <c r="B64" s="50" t="s">
        <v>122</v>
      </c>
      <c r="C64" s="28">
        <v>2027224</v>
      </c>
      <c r="D64" s="28"/>
      <c r="E64" s="28">
        <v>2027224</v>
      </c>
      <c r="F64" s="28"/>
      <c r="G64" s="28">
        <v>0</v>
      </c>
      <c r="H64" s="28">
        <v>0</v>
      </c>
      <c r="I64" s="28">
        <v>0</v>
      </c>
      <c r="J64" s="28"/>
      <c r="K64" s="28"/>
      <c r="L64" s="28"/>
      <c r="M64" s="141">
        <f t="shared" si="34"/>
        <v>0</v>
      </c>
      <c r="N64" s="141">
        <f t="shared" si="34"/>
        <v>0</v>
      </c>
      <c r="O64" s="172" t="e">
        <f>N64/M64</f>
        <v>#DIV/0!</v>
      </c>
    </row>
    <row r="65" spans="1:15" ht="16.5" customHeight="1" x14ac:dyDescent="0.25">
      <c r="A65" s="50" t="s">
        <v>85</v>
      </c>
      <c r="B65" s="75" t="s">
        <v>51</v>
      </c>
      <c r="C65" s="28"/>
      <c r="D65" s="28"/>
      <c r="E65" s="28">
        <v>0</v>
      </c>
      <c r="F65" s="28"/>
      <c r="G65" s="28">
        <v>0</v>
      </c>
      <c r="H65" s="28">
        <v>0</v>
      </c>
      <c r="I65" s="28">
        <v>0</v>
      </c>
      <c r="J65" s="28"/>
      <c r="K65" s="28"/>
      <c r="L65" s="28"/>
      <c r="M65" s="141">
        <f t="shared" si="34"/>
        <v>0</v>
      </c>
      <c r="N65" s="141">
        <f t="shared" si="34"/>
        <v>0</v>
      </c>
      <c r="O65" s="162"/>
    </row>
    <row r="66" spans="1:15" ht="16.5" customHeight="1" x14ac:dyDescent="0.25">
      <c r="A66" s="76" t="s">
        <v>133</v>
      </c>
      <c r="B66" s="77" t="s">
        <v>52</v>
      </c>
      <c r="C66" s="79">
        <f>C67</f>
        <v>2177224</v>
      </c>
      <c r="D66" s="79">
        <f t="shared" ref="D66:I66" si="35">D67</f>
        <v>0</v>
      </c>
      <c r="E66" s="79">
        <f t="shared" si="35"/>
        <v>2177224</v>
      </c>
      <c r="F66" s="79">
        <f t="shared" si="35"/>
        <v>2325961</v>
      </c>
      <c r="G66" s="79">
        <f t="shared" si="35"/>
        <v>2217170.5</v>
      </c>
      <c r="H66" s="79">
        <f t="shared" si="35"/>
        <v>0</v>
      </c>
      <c r="I66" s="79">
        <f t="shared" si="35"/>
        <v>2217170.5</v>
      </c>
      <c r="J66" s="79">
        <f>J67+J71</f>
        <v>85576</v>
      </c>
      <c r="K66" s="79">
        <f>K67+K71</f>
        <v>361202</v>
      </c>
      <c r="L66" s="79">
        <f>L67+L71</f>
        <v>39340</v>
      </c>
      <c r="M66" s="79">
        <f>M67+M71</f>
        <v>2703288.5</v>
      </c>
      <c r="N66" s="79">
        <f>N67+N71</f>
        <v>1200906.128</v>
      </c>
      <c r="O66" s="173">
        <f>N66/M66</f>
        <v>0.44423898078211038</v>
      </c>
    </row>
    <row r="67" spans="1:15" ht="16.5" customHeight="1" x14ac:dyDescent="0.25">
      <c r="A67" s="50" t="s">
        <v>138</v>
      </c>
      <c r="B67" s="50" t="s">
        <v>139</v>
      </c>
      <c r="C67" s="35">
        <f>C68+C70</f>
        <v>2177224</v>
      </c>
      <c r="D67" s="35">
        <f t="shared" ref="D67:I67" si="36">D68+D70</f>
        <v>0</v>
      </c>
      <c r="E67" s="35">
        <f t="shared" si="36"/>
        <v>2177224</v>
      </c>
      <c r="F67" s="35">
        <f t="shared" si="36"/>
        <v>2325961</v>
      </c>
      <c r="G67" s="35">
        <f t="shared" si="36"/>
        <v>2217170.5</v>
      </c>
      <c r="H67" s="35">
        <f t="shared" si="36"/>
        <v>0</v>
      </c>
      <c r="I67" s="35">
        <f t="shared" si="36"/>
        <v>2217170.5</v>
      </c>
      <c r="J67" s="35">
        <f>J68+J69+J70</f>
        <v>85576</v>
      </c>
      <c r="K67" s="35">
        <f>K68+K69+K70</f>
        <v>361202</v>
      </c>
      <c r="L67" s="35">
        <f>L68+L69+L70</f>
        <v>39340</v>
      </c>
      <c r="M67" s="35">
        <f>M68+M69+M70</f>
        <v>2703288.5</v>
      </c>
      <c r="N67" s="35">
        <f>N68+N69+N70</f>
        <v>1200906.128</v>
      </c>
      <c r="O67" s="168">
        <f>N67/M67</f>
        <v>0.44423898078211038</v>
      </c>
    </row>
    <row r="68" spans="1:15" ht="16.5" customHeight="1" x14ac:dyDescent="0.25">
      <c r="A68" s="50" t="s">
        <v>86</v>
      </c>
      <c r="B68" s="50" t="s">
        <v>46</v>
      </c>
      <c r="C68" s="28">
        <v>150000</v>
      </c>
      <c r="D68" s="28"/>
      <c r="E68" s="28">
        <v>150000</v>
      </c>
      <c r="F68" s="28">
        <v>300000</v>
      </c>
      <c r="G68" s="28">
        <v>150000</v>
      </c>
      <c r="H68" s="28"/>
      <c r="I68" s="28">
        <v>150000</v>
      </c>
      <c r="J68" s="28"/>
      <c r="K68" s="28">
        <v>400000</v>
      </c>
      <c r="L68" s="28"/>
      <c r="M68" s="141">
        <f t="shared" ref="M68:M70" si="37">SUM(I68:L68)</f>
        <v>550000</v>
      </c>
      <c r="N68" s="141">
        <v>50000</v>
      </c>
      <c r="O68" s="168">
        <f t="shared" ref="O68:O70" si="38">N68/M68</f>
        <v>9.0909090909090912E-2</v>
      </c>
    </row>
    <row r="69" spans="1:15" ht="26.25" customHeight="1" x14ac:dyDescent="0.25">
      <c r="A69" s="50" t="s">
        <v>179</v>
      </c>
      <c r="B69" s="50" t="s">
        <v>178</v>
      </c>
      <c r="C69" s="28"/>
      <c r="D69" s="28"/>
      <c r="E69" s="28">
        <v>0</v>
      </c>
      <c r="F69" s="28">
        <v>44848</v>
      </c>
      <c r="G69" s="28">
        <v>0</v>
      </c>
      <c r="H69" s="28">
        <v>0</v>
      </c>
      <c r="I69" s="28">
        <v>0</v>
      </c>
      <c r="J69" s="28">
        <f>44138</f>
        <v>44138</v>
      </c>
      <c r="K69" s="28"/>
      <c r="L69" s="28"/>
      <c r="M69" s="141">
        <f t="shared" si="37"/>
        <v>44138</v>
      </c>
      <c r="N69" s="141">
        <v>48137.517</v>
      </c>
      <c r="O69" s="168">
        <f t="shared" si="38"/>
        <v>1.0906139154470071</v>
      </c>
    </row>
    <row r="70" spans="1:15" ht="16.5" customHeight="1" x14ac:dyDescent="0.25">
      <c r="A70" s="50" t="s">
        <v>88</v>
      </c>
      <c r="B70" s="50" t="s">
        <v>54</v>
      </c>
      <c r="C70" s="28">
        <v>2027224</v>
      </c>
      <c r="D70" s="28"/>
      <c r="E70" s="28">
        <v>2027224</v>
      </c>
      <c r="F70" s="28">
        <v>2025961</v>
      </c>
      <c r="G70" s="28">
        <v>2067170.5</v>
      </c>
      <c r="H70" s="28"/>
      <c r="I70" s="28">
        <v>2067170.5</v>
      </c>
      <c r="J70" s="28">
        <v>41438</v>
      </c>
      <c r="K70" s="182">
        <v>-38798</v>
      </c>
      <c r="L70" s="28">
        <f>'[1]Állami támogatás'!$D$8/1000+'[1]Testületi kezdv ei mód'!$D$12/1000</f>
        <v>39340</v>
      </c>
      <c r="M70" s="141">
        <f t="shared" si="37"/>
        <v>2109150.5</v>
      </c>
      <c r="N70" s="141">
        <v>1102768.611</v>
      </c>
      <c r="O70" s="168">
        <f t="shared" si="38"/>
        <v>0.52284965487289792</v>
      </c>
    </row>
    <row r="71" spans="1:15" ht="16.5" customHeight="1" x14ac:dyDescent="0.25">
      <c r="A71" s="50" t="s">
        <v>90</v>
      </c>
      <c r="B71" s="75" t="s">
        <v>89</v>
      </c>
      <c r="C71" s="28"/>
      <c r="D71" s="28"/>
      <c r="E71" s="28">
        <v>0</v>
      </c>
      <c r="F71" s="28"/>
      <c r="G71" s="28">
        <v>0</v>
      </c>
      <c r="H71" s="28">
        <v>0</v>
      </c>
      <c r="I71" s="28">
        <v>0</v>
      </c>
      <c r="J71" s="28">
        <v>0</v>
      </c>
      <c r="K71" s="28"/>
      <c r="L71" s="28"/>
      <c r="M71" s="142"/>
      <c r="N71" s="142">
        <v>0</v>
      </c>
      <c r="O71" s="162"/>
    </row>
    <row r="72" spans="1:15" ht="16.5" customHeight="1" x14ac:dyDescent="0.25">
      <c r="A72" s="64"/>
      <c r="B72" s="80" t="s">
        <v>57</v>
      </c>
      <c r="C72" s="67">
        <f t="shared" ref="C72:J72" si="39">+C56-C66</f>
        <v>-1770628</v>
      </c>
      <c r="D72" s="67">
        <f t="shared" si="39"/>
        <v>0</v>
      </c>
      <c r="E72" s="67">
        <f t="shared" si="39"/>
        <v>-1770628</v>
      </c>
      <c r="F72" s="67">
        <f t="shared" si="39"/>
        <v>-1335220</v>
      </c>
      <c r="G72" s="67">
        <f t="shared" si="39"/>
        <v>-1856276.5</v>
      </c>
      <c r="H72" s="67">
        <f t="shared" si="39"/>
        <v>0</v>
      </c>
      <c r="I72" s="67">
        <f t="shared" si="39"/>
        <v>-1856276.5</v>
      </c>
      <c r="J72" s="67">
        <f t="shared" si="39"/>
        <v>107941</v>
      </c>
      <c r="K72" s="67">
        <f>+K56-K66</f>
        <v>38798</v>
      </c>
      <c r="L72" s="67">
        <f>+L56-L66</f>
        <v>-39340</v>
      </c>
      <c r="M72" s="67">
        <f>+M56-M66</f>
        <v>-1748877.5</v>
      </c>
      <c r="N72" s="67">
        <f>+N56-N66</f>
        <v>-746495.12800000003</v>
      </c>
      <c r="O72" s="169">
        <f t="shared" ref="O72:O80" si="40">N72/M72</f>
        <v>0.42684243350377599</v>
      </c>
    </row>
    <row r="73" spans="1:15" ht="16.5" customHeight="1" x14ac:dyDescent="0.25">
      <c r="A73" s="81"/>
      <c r="B73" s="82" t="s">
        <v>58</v>
      </c>
      <c r="C73" s="37">
        <f t="shared" ref="C73:N73" si="41">+C3+C56</f>
        <v>5870036.3499999996</v>
      </c>
      <c r="D73" s="37">
        <f t="shared" si="41"/>
        <v>0</v>
      </c>
      <c r="E73" s="37">
        <f t="shared" si="41"/>
        <v>5870036.3499999996</v>
      </c>
      <c r="F73" s="37">
        <f t="shared" si="41"/>
        <v>7388113</v>
      </c>
      <c r="G73" s="37">
        <f t="shared" si="41"/>
        <v>5116926.87</v>
      </c>
      <c r="H73" s="37">
        <f t="shared" si="41"/>
        <v>0</v>
      </c>
      <c r="I73" s="37">
        <f t="shared" si="41"/>
        <v>5116926.87</v>
      </c>
      <c r="J73" s="37">
        <f t="shared" si="41"/>
        <v>227143</v>
      </c>
      <c r="K73" s="37">
        <f t="shared" si="41"/>
        <v>422435</v>
      </c>
      <c r="L73" s="37">
        <f t="shared" si="41"/>
        <v>67366.749000000011</v>
      </c>
      <c r="M73" s="37">
        <f t="shared" si="41"/>
        <v>5833871.6189999999</v>
      </c>
      <c r="N73" s="37">
        <f t="shared" si="41"/>
        <v>2789151.8289999999</v>
      </c>
      <c r="O73" s="161">
        <f t="shared" si="40"/>
        <v>0.47809619600064085</v>
      </c>
    </row>
    <row r="74" spans="1:15" ht="16.5" customHeight="1" x14ac:dyDescent="0.25">
      <c r="A74" s="71"/>
      <c r="B74" s="72" t="s">
        <v>140</v>
      </c>
      <c r="C74" s="73">
        <f t="shared" ref="C74:N74" si="42">+C6+C8+C15+C31</f>
        <v>3978832.35</v>
      </c>
      <c r="D74" s="73">
        <f t="shared" si="42"/>
        <v>0</v>
      </c>
      <c r="E74" s="73">
        <f t="shared" si="42"/>
        <v>3978832.35</v>
      </c>
      <c r="F74" s="73">
        <f t="shared" si="42"/>
        <v>5871406</v>
      </c>
      <c r="G74" s="73">
        <f t="shared" si="42"/>
        <v>4289238.37</v>
      </c>
      <c r="H74" s="73">
        <f t="shared" si="42"/>
        <v>0</v>
      </c>
      <c r="I74" s="73">
        <f t="shared" si="42"/>
        <v>4289238.37</v>
      </c>
      <c r="J74" s="73">
        <f t="shared" si="42"/>
        <v>13444</v>
      </c>
      <c r="K74" s="73">
        <f t="shared" si="42"/>
        <v>21499</v>
      </c>
      <c r="L74" s="73">
        <f t="shared" si="42"/>
        <v>40184.593999999997</v>
      </c>
      <c r="M74" s="73">
        <f t="shared" si="42"/>
        <v>4364365.9639999997</v>
      </c>
      <c r="N74" s="73">
        <f t="shared" si="42"/>
        <v>2226311.8390000002</v>
      </c>
      <c r="O74" s="174">
        <f t="shared" si="40"/>
        <v>0.51011117247361992</v>
      </c>
    </row>
    <row r="75" spans="1:15" ht="16.5" customHeight="1" x14ac:dyDescent="0.25">
      <c r="A75" s="71"/>
      <c r="B75" s="72" t="s">
        <v>141</v>
      </c>
      <c r="C75" s="73">
        <f t="shared" ref="C75:N75" si="43">C7+C27+C32</f>
        <v>1484608</v>
      </c>
      <c r="D75" s="73">
        <f t="shared" si="43"/>
        <v>0</v>
      </c>
      <c r="E75" s="73">
        <f t="shared" si="43"/>
        <v>1484608</v>
      </c>
      <c r="F75" s="73">
        <f t="shared" si="43"/>
        <v>525966</v>
      </c>
      <c r="G75" s="73">
        <f t="shared" si="43"/>
        <v>466794.5</v>
      </c>
      <c r="H75" s="73">
        <f t="shared" si="43"/>
        <v>0</v>
      </c>
      <c r="I75" s="73">
        <f t="shared" si="43"/>
        <v>466794.5</v>
      </c>
      <c r="J75" s="73">
        <f t="shared" si="43"/>
        <v>20182</v>
      </c>
      <c r="K75" s="73">
        <f t="shared" si="43"/>
        <v>936</v>
      </c>
      <c r="L75" s="73">
        <f t="shared" si="43"/>
        <v>27182.154999999999</v>
      </c>
      <c r="M75" s="73">
        <f t="shared" si="43"/>
        <v>515094.65500000003</v>
      </c>
      <c r="N75" s="73">
        <f t="shared" si="43"/>
        <v>108428.98999999999</v>
      </c>
      <c r="O75" s="174">
        <f t="shared" si="40"/>
        <v>0.21050303851434837</v>
      </c>
    </row>
    <row r="76" spans="1:15" ht="16.5" customHeight="1" x14ac:dyDescent="0.25">
      <c r="A76" s="71"/>
      <c r="B76" s="72" t="s">
        <v>144</v>
      </c>
      <c r="C76" s="73">
        <f>C68+C60</f>
        <v>406596</v>
      </c>
      <c r="D76" s="73">
        <f t="shared" ref="D76:I76" si="44">D68+D60</f>
        <v>0</v>
      </c>
      <c r="E76" s="73">
        <f t="shared" si="44"/>
        <v>406596</v>
      </c>
      <c r="F76" s="73">
        <f t="shared" si="44"/>
        <v>942603</v>
      </c>
      <c r="G76" s="73">
        <f t="shared" si="44"/>
        <v>360894</v>
      </c>
      <c r="H76" s="73">
        <f t="shared" si="44"/>
        <v>0</v>
      </c>
      <c r="I76" s="73">
        <f t="shared" si="44"/>
        <v>360894</v>
      </c>
      <c r="J76" s="73">
        <f>J68+J60</f>
        <v>193517</v>
      </c>
      <c r="K76" s="73">
        <f>K68+K60</f>
        <v>400000</v>
      </c>
      <c r="L76" s="73">
        <f>L68+L60</f>
        <v>0</v>
      </c>
      <c r="M76" s="73">
        <f>M68+M60</f>
        <v>954411</v>
      </c>
      <c r="N76" s="73">
        <f>N68+N60</f>
        <v>454411</v>
      </c>
      <c r="O76" s="174">
        <f t="shared" si="40"/>
        <v>0.47611668348332115</v>
      </c>
    </row>
    <row r="77" spans="1:15" ht="16.5" customHeight="1" x14ac:dyDescent="0.25">
      <c r="A77" s="83"/>
      <c r="B77" s="84" t="s">
        <v>59</v>
      </c>
      <c r="C77" s="38">
        <f t="shared" ref="C77:N77" si="45">C33+C66</f>
        <v>4119524</v>
      </c>
      <c r="D77" s="38">
        <f t="shared" si="45"/>
        <v>1750512</v>
      </c>
      <c r="E77" s="38">
        <f t="shared" si="45"/>
        <v>5870036</v>
      </c>
      <c r="F77" s="38">
        <f t="shared" si="45"/>
        <v>6938735</v>
      </c>
      <c r="G77" s="38">
        <f t="shared" si="45"/>
        <v>4327425.4969763774</v>
      </c>
      <c r="H77" s="38">
        <f t="shared" si="45"/>
        <v>789501</v>
      </c>
      <c r="I77" s="38">
        <f t="shared" si="45"/>
        <v>5116926.4969763774</v>
      </c>
      <c r="J77" s="38">
        <f t="shared" si="45"/>
        <v>227143</v>
      </c>
      <c r="K77" s="38">
        <f t="shared" si="45"/>
        <v>422435</v>
      </c>
      <c r="L77" s="38">
        <f t="shared" si="45"/>
        <v>67366.748999999996</v>
      </c>
      <c r="M77" s="38">
        <f t="shared" si="45"/>
        <v>5833871.2459763782</v>
      </c>
      <c r="N77" s="38">
        <f t="shared" si="45"/>
        <v>2152570.9939999999</v>
      </c>
      <c r="O77" s="175">
        <f t="shared" si="40"/>
        <v>0.36897814559836722</v>
      </c>
    </row>
    <row r="78" spans="1:15" ht="16.5" customHeight="1" x14ac:dyDescent="0.25">
      <c r="A78" s="76"/>
      <c r="B78" s="77" t="s">
        <v>142</v>
      </c>
      <c r="C78" s="78">
        <f t="shared" ref="C78:N78" si="46">+C34+C37+C38+C44+C45-C49</f>
        <v>1575804.28</v>
      </c>
      <c r="D78" s="78">
        <f t="shared" si="46"/>
        <v>299688</v>
      </c>
      <c r="E78" s="78">
        <f t="shared" si="46"/>
        <v>1875492.28</v>
      </c>
      <c r="F78" s="78">
        <f t="shared" si="46"/>
        <v>3837553</v>
      </c>
      <c r="G78" s="78">
        <f t="shared" si="46"/>
        <v>2037254.9969763779</v>
      </c>
      <c r="H78" s="78">
        <f t="shared" si="46"/>
        <v>226914</v>
      </c>
      <c r="I78" s="78">
        <f t="shared" si="46"/>
        <v>2264168.9969763774</v>
      </c>
      <c r="J78" s="78">
        <f t="shared" si="46"/>
        <v>36325</v>
      </c>
      <c r="K78" s="78">
        <f t="shared" si="46"/>
        <v>68651</v>
      </c>
      <c r="L78" s="78">
        <f t="shared" si="46"/>
        <v>67273.616999999998</v>
      </c>
      <c r="M78" s="78">
        <f t="shared" si="46"/>
        <v>2436418.613976378</v>
      </c>
      <c r="N78" s="78">
        <f t="shared" si="46"/>
        <v>734708.78</v>
      </c>
      <c r="O78" s="176">
        <f t="shared" si="40"/>
        <v>0.30155276921025992</v>
      </c>
    </row>
    <row r="79" spans="1:15" ht="16.5" customHeight="1" x14ac:dyDescent="0.25">
      <c r="A79" s="76"/>
      <c r="B79" s="77" t="s">
        <v>141</v>
      </c>
      <c r="C79" s="78">
        <f>C49+C50+C51+C52</f>
        <v>366496</v>
      </c>
      <c r="D79" s="78">
        <f t="shared" ref="D79:I79" si="47">D49+D50+D51+D52</f>
        <v>1450824</v>
      </c>
      <c r="E79" s="78">
        <f t="shared" si="47"/>
        <v>1817320</v>
      </c>
      <c r="F79" s="78">
        <f t="shared" si="47"/>
        <v>775221</v>
      </c>
      <c r="G79" s="78">
        <f t="shared" si="47"/>
        <v>73000</v>
      </c>
      <c r="H79" s="78">
        <f t="shared" si="47"/>
        <v>562587</v>
      </c>
      <c r="I79" s="78">
        <f t="shared" si="47"/>
        <v>635587</v>
      </c>
      <c r="J79" s="78">
        <f>J49+J50+J51+J52</f>
        <v>105242</v>
      </c>
      <c r="K79" s="78">
        <f>K49+K50+K51+K52</f>
        <v>-7418</v>
      </c>
      <c r="L79" s="78">
        <f>L49+L50+L51+L52</f>
        <v>-39246.868000000002</v>
      </c>
      <c r="M79" s="78">
        <f>M49+M50+M51+M52</f>
        <v>694164.13199999998</v>
      </c>
      <c r="N79" s="78">
        <f>N49+N50+N51+N52</f>
        <v>216956.08599999998</v>
      </c>
      <c r="O79" s="176">
        <f t="shared" si="40"/>
        <v>0.31254292176536713</v>
      </c>
    </row>
    <row r="80" spans="1:15" ht="16.5" customHeight="1" x14ac:dyDescent="0.25">
      <c r="A80" s="76"/>
      <c r="B80" s="77" t="s">
        <v>144</v>
      </c>
      <c r="C80" s="78">
        <f>+C66</f>
        <v>2177224</v>
      </c>
      <c r="D80" s="78">
        <f t="shared" ref="D80:I80" si="48">+D66</f>
        <v>0</v>
      </c>
      <c r="E80" s="78">
        <f t="shared" si="48"/>
        <v>2177224</v>
      </c>
      <c r="F80" s="78">
        <f t="shared" si="48"/>
        <v>2325961</v>
      </c>
      <c r="G80" s="78">
        <f t="shared" si="48"/>
        <v>2217170.5</v>
      </c>
      <c r="H80" s="78">
        <f t="shared" si="48"/>
        <v>0</v>
      </c>
      <c r="I80" s="78">
        <f t="shared" si="48"/>
        <v>2217170.5</v>
      </c>
      <c r="J80" s="78">
        <f>+J66</f>
        <v>85576</v>
      </c>
      <c r="K80" s="78">
        <f>+K66</f>
        <v>361202</v>
      </c>
      <c r="L80" s="78">
        <f>+L66</f>
        <v>39340</v>
      </c>
      <c r="M80" s="78">
        <f>+M66</f>
        <v>2703288.5</v>
      </c>
      <c r="N80" s="78">
        <f>+N66</f>
        <v>1200906.128</v>
      </c>
      <c r="O80" s="176">
        <f t="shared" si="40"/>
        <v>0.44423898078211038</v>
      </c>
    </row>
    <row r="81" spans="1:15" ht="16.5" customHeight="1" x14ac:dyDescent="0.25">
      <c r="A81" s="85"/>
      <c r="B81" s="86" t="s">
        <v>55</v>
      </c>
      <c r="C81" s="87">
        <f>+C73-C77</f>
        <v>1750512.3499999996</v>
      </c>
      <c r="D81" s="87">
        <f t="shared" ref="D81:I81" si="49">+D73-D77</f>
        <v>-1750512</v>
      </c>
      <c r="E81" s="87">
        <f t="shared" si="49"/>
        <v>0.34999999962747097</v>
      </c>
      <c r="F81" s="87">
        <f t="shared" si="49"/>
        <v>449378</v>
      </c>
      <c r="G81" s="87">
        <f t="shared" si="49"/>
        <v>789501.37302362267</v>
      </c>
      <c r="H81" s="87">
        <f t="shared" si="49"/>
        <v>-789501</v>
      </c>
      <c r="I81" s="87">
        <f t="shared" si="49"/>
        <v>0.37302362266927958</v>
      </c>
      <c r="J81" s="87">
        <f t="shared" ref="J81:M82" si="50">+J73-J77</f>
        <v>0</v>
      </c>
      <c r="K81" s="87">
        <f t="shared" si="50"/>
        <v>0</v>
      </c>
      <c r="L81" s="87">
        <f t="shared" si="50"/>
        <v>0</v>
      </c>
      <c r="M81" s="87">
        <f t="shared" si="50"/>
        <v>0.373023621737957</v>
      </c>
      <c r="N81" s="87">
        <f t="shared" ref="N81" si="51">+N73-N77</f>
        <v>636580.83499999996</v>
      </c>
      <c r="O81" s="177"/>
    </row>
    <row r="82" spans="1:15" ht="16.5" customHeight="1" x14ac:dyDescent="0.25">
      <c r="A82" s="88"/>
      <c r="B82" s="89" t="s">
        <v>140</v>
      </c>
      <c r="C82" s="90">
        <f>+C74-C78</f>
        <v>2403028.0700000003</v>
      </c>
      <c r="D82" s="90">
        <f t="shared" ref="D82:I82" si="52">+D74-D78</f>
        <v>-299688</v>
      </c>
      <c r="E82" s="90">
        <f t="shared" si="52"/>
        <v>2103340.0700000003</v>
      </c>
      <c r="F82" s="90">
        <f t="shared" si="52"/>
        <v>2033853</v>
      </c>
      <c r="G82" s="90">
        <f t="shared" si="52"/>
        <v>2251983.3730236222</v>
      </c>
      <c r="H82" s="90">
        <f t="shared" si="52"/>
        <v>-226914</v>
      </c>
      <c r="I82" s="90">
        <f t="shared" si="52"/>
        <v>2025069.3730236227</v>
      </c>
      <c r="J82" s="90">
        <f t="shared" si="50"/>
        <v>-22881</v>
      </c>
      <c r="K82" s="90">
        <f t="shared" si="50"/>
        <v>-47152</v>
      </c>
      <c r="L82" s="90">
        <f t="shared" si="50"/>
        <v>-27089.023000000001</v>
      </c>
      <c r="M82" s="90">
        <f t="shared" si="50"/>
        <v>1927947.3500236217</v>
      </c>
      <c r="N82" s="90">
        <f t="shared" ref="N82" si="53">+N74-N78</f>
        <v>1491603.0590000001</v>
      </c>
      <c r="O82" s="178">
        <f>N82/M82</f>
        <v>0.77367416645569942</v>
      </c>
    </row>
    <row r="83" spans="1:15" ht="16.5" customHeight="1" x14ac:dyDescent="0.25">
      <c r="A83" s="88"/>
      <c r="B83" s="89" t="s">
        <v>143</v>
      </c>
      <c r="C83" s="90">
        <f>C75-C79</f>
        <v>1118112</v>
      </c>
      <c r="D83" s="90">
        <f t="shared" ref="D83:I83" si="54">D75-D79</f>
        <v>-1450824</v>
      </c>
      <c r="E83" s="90">
        <f t="shared" si="54"/>
        <v>-332712</v>
      </c>
      <c r="F83" s="90">
        <f t="shared" si="54"/>
        <v>-249255</v>
      </c>
      <c r="G83" s="90">
        <f t="shared" si="54"/>
        <v>393794.5</v>
      </c>
      <c r="H83" s="90">
        <f t="shared" si="54"/>
        <v>-562587</v>
      </c>
      <c r="I83" s="90">
        <f t="shared" si="54"/>
        <v>-168792.5</v>
      </c>
      <c r="J83" s="90">
        <f t="shared" ref="J83:M84" si="55">J75-J79</f>
        <v>-85060</v>
      </c>
      <c r="K83" s="90">
        <f t="shared" si="55"/>
        <v>8354</v>
      </c>
      <c r="L83" s="90">
        <f t="shared" si="55"/>
        <v>66429.023000000001</v>
      </c>
      <c r="M83" s="90">
        <f t="shared" si="55"/>
        <v>-179069.47699999996</v>
      </c>
      <c r="N83" s="90">
        <f t="shared" ref="N83" si="56">N75-N79</f>
        <v>-108527.09599999999</v>
      </c>
      <c r="O83" s="178">
        <f>N83/M83</f>
        <v>0.606061389233856</v>
      </c>
    </row>
    <row r="84" spans="1:15" ht="16.5" customHeight="1" x14ac:dyDescent="0.25">
      <c r="A84" s="88"/>
      <c r="B84" s="89" t="s">
        <v>144</v>
      </c>
      <c r="C84" s="90">
        <f>C76-C80</f>
        <v>-1770628</v>
      </c>
      <c r="D84" s="90">
        <f t="shared" ref="D84:I84" si="57">D76-D80</f>
        <v>0</v>
      </c>
      <c r="E84" s="90">
        <f t="shared" si="57"/>
        <v>-1770628</v>
      </c>
      <c r="F84" s="90">
        <f t="shared" si="57"/>
        <v>-1383358</v>
      </c>
      <c r="G84" s="90">
        <f t="shared" si="57"/>
        <v>-1856276.5</v>
      </c>
      <c r="H84" s="90">
        <f t="shared" si="57"/>
        <v>0</v>
      </c>
      <c r="I84" s="90">
        <f t="shared" si="57"/>
        <v>-1856276.5</v>
      </c>
      <c r="J84" s="90">
        <f t="shared" si="55"/>
        <v>107941</v>
      </c>
      <c r="K84" s="90">
        <f t="shared" si="55"/>
        <v>38798</v>
      </c>
      <c r="L84" s="90">
        <f t="shared" si="55"/>
        <v>-39340</v>
      </c>
      <c r="M84" s="90">
        <f t="shared" si="55"/>
        <v>-1748877.5</v>
      </c>
      <c r="N84" s="90">
        <f t="shared" ref="N84" si="58">N76-N80</f>
        <v>-746495.12800000003</v>
      </c>
      <c r="O84" s="178">
        <f>N84/M84</f>
        <v>0.42684243350377599</v>
      </c>
    </row>
    <row r="85" spans="1:15" x14ac:dyDescent="0.25">
      <c r="C85" s="10"/>
      <c r="E85" s="10"/>
      <c r="F85" s="10"/>
      <c r="G85" s="10"/>
      <c r="H85" s="10"/>
      <c r="I85" s="10"/>
      <c r="J85" s="10"/>
      <c r="K85" s="10"/>
      <c r="L85" s="10"/>
    </row>
    <row r="86" spans="1:15" x14ac:dyDescent="0.25">
      <c r="C86" s="10"/>
      <c r="E86" s="10"/>
      <c r="F86" s="10"/>
      <c r="G86" s="10"/>
      <c r="H86" s="10"/>
      <c r="I86" s="10"/>
      <c r="J86" s="10"/>
      <c r="K86" s="10"/>
      <c r="L86" s="10"/>
    </row>
    <row r="87" spans="1:15" x14ac:dyDescent="0.25">
      <c r="C87" s="2"/>
      <c r="E87" s="2"/>
      <c r="F87" s="2"/>
      <c r="G87" s="2"/>
      <c r="H87" s="2"/>
      <c r="I87" s="2"/>
      <c r="J87" s="2"/>
      <c r="K87" s="2"/>
      <c r="L87" s="2"/>
    </row>
    <row r="88" spans="1:15" x14ac:dyDescent="0.25">
      <c r="C88" s="2"/>
      <c r="E88" s="2"/>
      <c r="F88" s="2"/>
      <c r="G88" s="2"/>
      <c r="H88" s="2"/>
      <c r="I88" s="2"/>
      <c r="J88" s="2"/>
      <c r="K88" s="2"/>
      <c r="L88" s="2"/>
    </row>
    <row r="89" spans="1:15" x14ac:dyDescent="0.25">
      <c r="A89" s="1"/>
      <c r="B89" s="1"/>
      <c r="C89" s="2"/>
      <c r="E89" s="2"/>
      <c r="F89" s="2"/>
      <c r="G89" s="2"/>
      <c r="H89" s="2"/>
      <c r="I89" s="2"/>
      <c r="J89" s="2"/>
      <c r="K89" s="2"/>
      <c r="L89" s="2"/>
    </row>
    <row r="90" spans="1:15" x14ac:dyDescent="0.25">
      <c r="A90" s="1"/>
      <c r="B90" s="1"/>
      <c r="C90" s="2"/>
      <c r="E90" s="2"/>
      <c r="F90" s="2"/>
      <c r="G90" s="2"/>
      <c r="H90" s="2"/>
      <c r="I90" s="2"/>
      <c r="J90" s="2"/>
      <c r="K90" s="2"/>
      <c r="L90" s="2"/>
    </row>
    <row r="91" spans="1:15" x14ac:dyDescent="0.25">
      <c r="A91" s="1"/>
      <c r="B91" s="1"/>
      <c r="C91" s="2"/>
      <c r="E91" s="2"/>
      <c r="F91" s="2"/>
      <c r="G91" s="2"/>
      <c r="H91" s="2"/>
      <c r="I91" s="2"/>
      <c r="J91" s="2"/>
      <c r="K91" s="2"/>
      <c r="L91" s="2"/>
    </row>
    <row r="92" spans="1:15" x14ac:dyDescent="0.25">
      <c r="A92" s="1"/>
      <c r="B92" s="1"/>
      <c r="C92" s="2"/>
      <c r="E92" s="2"/>
      <c r="F92" s="2"/>
      <c r="G92" s="2"/>
      <c r="H92" s="2"/>
      <c r="I92" s="2"/>
      <c r="J92" s="2"/>
      <c r="K92" s="2"/>
      <c r="L92" s="2"/>
    </row>
    <row r="93" spans="1:15" x14ac:dyDescent="0.25">
      <c r="A93" s="1"/>
      <c r="B93" s="1"/>
      <c r="C93" s="2"/>
      <c r="E93" s="2"/>
      <c r="F93" s="2"/>
      <c r="G93" s="2"/>
      <c r="H93" s="2"/>
      <c r="I93" s="2"/>
      <c r="J93" s="2"/>
      <c r="K93" s="2"/>
      <c r="L93" s="2"/>
    </row>
    <row r="94" spans="1:15" x14ac:dyDescent="0.25">
      <c r="A94" s="1"/>
      <c r="B94" s="1"/>
      <c r="C94" s="2"/>
      <c r="E94" s="2"/>
      <c r="F94" s="2"/>
      <c r="G94" s="2"/>
      <c r="H94" s="2"/>
      <c r="I94" s="2"/>
      <c r="J94" s="2"/>
      <c r="K94" s="2"/>
      <c r="L94" s="2"/>
    </row>
    <row r="95" spans="1:15" x14ac:dyDescent="0.25">
      <c r="A95" s="1"/>
      <c r="B95" s="1"/>
    </row>
    <row r="96" spans="1:15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</sheetData>
  <mergeCells count="6">
    <mergeCell ref="F1:F2"/>
    <mergeCell ref="C1:E1"/>
    <mergeCell ref="N1:O1"/>
    <mergeCell ref="A1:A2"/>
    <mergeCell ref="B1:B2"/>
    <mergeCell ref="G1:M1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79" fitToHeight="2" orientation="landscape" r:id="rId1"/>
  <headerFooter>
    <oddHeader>&amp;C&amp;"Times New Roman,Félkövér"&amp;10Szentendre Város Önkormányzat összevont bevételei és kiadásai mérlegszerűen 
2016. év&amp;R&amp;"Times New Roman,Normál"&amp;10 1a. sz. melléklet
EFt</oddHeader>
    <oddFooter>&amp;R&amp;D</oddFooter>
  </headerFooter>
  <rowBreaks count="1" manualBreakCount="1">
    <brk id="5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85"/>
  <sheetViews>
    <sheetView view="pageBreakPreview" zoomScale="96" zoomScaleNormal="90" zoomScaleSheetLayoutView="96" workbookViewId="0">
      <pane xSplit="2" ySplit="2" topLeftCell="F47" activePane="bottomRight" state="frozen"/>
      <selection activeCell="B6" sqref="B6"/>
      <selection pane="topRight" activeCell="B6" sqref="B6"/>
      <selection pane="bottomLeft" activeCell="B6" sqref="B6"/>
      <selection pane="bottomRight" activeCell="B75" sqref="B75"/>
    </sheetView>
  </sheetViews>
  <sheetFormatPr defaultColWidth="9.28515625" defaultRowHeight="15" x14ac:dyDescent="0.25"/>
  <cols>
    <col min="1" max="1" width="7.85546875" style="10" customWidth="1"/>
    <col min="2" max="2" width="68.5703125" style="10" customWidth="1"/>
    <col min="3" max="3" width="13.28515625" style="9" hidden="1" customWidth="1"/>
    <col min="4" max="4" width="13.28515625" style="14" hidden="1" customWidth="1"/>
    <col min="5" max="5" width="13.28515625" style="9" hidden="1" customWidth="1"/>
    <col min="6" max="6" width="14.7109375" style="9" customWidth="1"/>
    <col min="7" max="11" width="14.7109375" style="14" customWidth="1"/>
    <col min="12" max="12" width="13.28515625" style="43" hidden="1" customWidth="1"/>
    <col min="13" max="13" width="9.28515625" style="155" hidden="1" customWidth="1"/>
    <col min="14" max="16" width="9.28515625" style="10" customWidth="1"/>
    <col min="17" max="16384" width="9.28515625" style="10"/>
  </cols>
  <sheetData>
    <row r="1" spans="1:13" ht="29.25" customHeight="1" x14ac:dyDescent="0.25">
      <c r="A1" s="188"/>
      <c r="B1" s="189" t="s">
        <v>136</v>
      </c>
      <c r="C1" s="194" t="s">
        <v>162</v>
      </c>
      <c r="D1" s="194"/>
      <c r="E1" s="193" t="s">
        <v>176</v>
      </c>
      <c r="F1" s="194" t="s">
        <v>173</v>
      </c>
      <c r="G1" s="194"/>
      <c r="H1" s="194"/>
      <c r="I1" s="194"/>
      <c r="J1" s="194"/>
      <c r="K1" s="194"/>
      <c r="L1" s="198" t="s">
        <v>187</v>
      </c>
      <c r="M1" s="199"/>
    </row>
    <row r="2" spans="1:13" ht="46.5" customHeight="1" x14ac:dyDescent="0.25">
      <c r="A2" s="188"/>
      <c r="B2" s="189"/>
      <c r="C2" s="46" t="s">
        <v>8</v>
      </c>
      <c r="D2" s="39" t="s">
        <v>9</v>
      </c>
      <c r="E2" s="193"/>
      <c r="F2" s="46" t="s">
        <v>8</v>
      </c>
      <c r="G2" s="39" t="s">
        <v>9</v>
      </c>
      <c r="H2" s="39" t="s">
        <v>166</v>
      </c>
      <c r="I2" s="181" t="s">
        <v>192</v>
      </c>
      <c r="J2" s="183" t="s">
        <v>193</v>
      </c>
      <c r="K2" s="39" t="s">
        <v>186</v>
      </c>
      <c r="L2" s="159" t="s">
        <v>190</v>
      </c>
      <c r="M2" s="159" t="s">
        <v>191</v>
      </c>
    </row>
    <row r="3" spans="1:13" ht="16.5" customHeight="1" x14ac:dyDescent="0.25">
      <c r="A3" s="136" t="s">
        <v>0</v>
      </c>
      <c r="B3" s="72" t="s">
        <v>91</v>
      </c>
      <c r="C3" s="73">
        <v>12287</v>
      </c>
      <c r="D3" s="99">
        <v>0</v>
      </c>
      <c r="E3" s="73">
        <v>3958</v>
      </c>
      <c r="F3" s="37">
        <f t="shared" ref="F3:K3" si="0">F6+F7+F8+F15+F27+F31+F32</f>
        <v>7060</v>
      </c>
      <c r="G3" s="37">
        <f t="shared" si="0"/>
        <v>0</v>
      </c>
      <c r="H3" s="37">
        <f t="shared" si="0"/>
        <v>0</v>
      </c>
      <c r="I3" s="37">
        <f t="shared" si="0"/>
        <v>0</v>
      </c>
      <c r="J3" s="37">
        <f t="shared" si="0"/>
        <v>0</v>
      </c>
      <c r="K3" s="37">
        <f t="shared" si="0"/>
        <v>7060</v>
      </c>
      <c r="L3" s="37">
        <f>L6+L7+L8+L15+L27+L31+L32</f>
        <v>1594.4389999999999</v>
      </c>
      <c r="M3" s="161">
        <f t="shared" ref="M3:M14" si="1">L3/K3</f>
        <v>0.22584121813031161</v>
      </c>
    </row>
    <row r="4" spans="1:13" ht="16.5" customHeight="1" x14ac:dyDescent="0.25">
      <c r="A4" s="50" t="s">
        <v>92</v>
      </c>
      <c r="B4" s="50" t="s">
        <v>12</v>
      </c>
      <c r="C4" s="28">
        <v>9387</v>
      </c>
      <c r="D4" s="101">
        <v>0</v>
      </c>
      <c r="E4" s="28"/>
      <c r="F4" s="28">
        <v>0</v>
      </c>
      <c r="G4" s="101">
        <v>0</v>
      </c>
      <c r="H4" s="101"/>
      <c r="I4" s="101"/>
      <c r="J4" s="101"/>
      <c r="K4" s="107">
        <f t="shared" ref="K4:K7" si="2">SUM(F4:J4)</f>
        <v>0</v>
      </c>
      <c r="L4" s="41"/>
      <c r="M4" s="162"/>
    </row>
    <row r="5" spans="1:13" ht="16.5" customHeight="1" x14ac:dyDescent="0.25">
      <c r="A5" s="50" t="s">
        <v>163</v>
      </c>
      <c r="B5" s="50" t="s">
        <v>164</v>
      </c>
      <c r="C5" s="28">
        <v>0</v>
      </c>
      <c r="D5" s="101">
        <v>0</v>
      </c>
      <c r="E5" s="28">
        <v>300</v>
      </c>
      <c r="F5" s="28">
        <v>4300</v>
      </c>
      <c r="G5" s="101">
        <v>0</v>
      </c>
      <c r="H5" s="101"/>
      <c r="I5" s="101">
        <f>-1700</f>
        <v>-1700</v>
      </c>
      <c r="J5" s="101"/>
      <c r="K5" s="107">
        <f t="shared" si="2"/>
        <v>2600</v>
      </c>
      <c r="L5" s="41"/>
      <c r="M5" s="162">
        <f t="shared" si="1"/>
        <v>0</v>
      </c>
    </row>
    <row r="6" spans="1:13" ht="16.5" customHeight="1" x14ac:dyDescent="0.25">
      <c r="A6" s="51" t="s">
        <v>93</v>
      </c>
      <c r="B6" s="51" t="s">
        <v>13</v>
      </c>
      <c r="C6" s="29">
        <v>9387</v>
      </c>
      <c r="D6" s="103">
        <v>0</v>
      </c>
      <c r="E6" s="29">
        <v>300</v>
      </c>
      <c r="F6" s="29">
        <f>SUM(F4:F5)</f>
        <v>4300</v>
      </c>
      <c r="G6" s="29">
        <f t="shared" ref="G6:L6" si="3">SUM(G4:G5)</f>
        <v>0</v>
      </c>
      <c r="H6" s="29">
        <f t="shared" si="3"/>
        <v>0</v>
      </c>
      <c r="I6" s="29">
        <f t="shared" si="3"/>
        <v>-1700</v>
      </c>
      <c r="J6" s="29">
        <f t="shared" si="3"/>
        <v>0</v>
      </c>
      <c r="K6" s="29">
        <f t="shared" si="3"/>
        <v>2600</v>
      </c>
      <c r="L6" s="29">
        <f t="shared" si="3"/>
        <v>0</v>
      </c>
      <c r="M6" s="163">
        <f t="shared" si="1"/>
        <v>0</v>
      </c>
    </row>
    <row r="7" spans="1:13" ht="16.5" customHeight="1" x14ac:dyDescent="0.25">
      <c r="A7" s="51" t="s">
        <v>94</v>
      </c>
      <c r="B7" s="51" t="s">
        <v>14</v>
      </c>
      <c r="C7" s="32">
        <v>0</v>
      </c>
      <c r="D7" s="103">
        <v>0</v>
      </c>
      <c r="E7" s="32"/>
      <c r="F7" s="30">
        <v>0</v>
      </c>
      <c r="G7" s="103">
        <v>0</v>
      </c>
      <c r="H7" s="103"/>
      <c r="I7" s="103"/>
      <c r="J7" s="103"/>
      <c r="K7" s="57">
        <f t="shared" si="2"/>
        <v>0</v>
      </c>
      <c r="L7" s="41"/>
      <c r="M7" s="164"/>
    </row>
    <row r="8" spans="1:13" ht="16.5" customHeight="1" x14ac:dyDescent="0.25">
      <c r="A8" s="51" t="s">
        <v>95</v>
      </c>
      <c r="B8" s="51" t="s">
        <v>4</v>
      </c>
      <c r="C8" s="32">
        <v>1200</v>
      </c>
      <c r="D8" s="103">
        <v>0</v>
      </c>
      <c r="E8" s="32">
        <v>249</v>
      </c>
      <c r="F8" s="29">
        <f>SUM(F9,F10,F14)</f>
        <v>210</v>
      </c>
      <c r="G8" s="29">
        <f t="shared" ref="G8:K8" si="4">SUM(G9,G10,G14)</f>
        <v>0</v>
      </c>
      <c r="H8" s="29">
        <f t="shared" si="4"/>
        <v>0</v>
      </c>
      <c r="I8" s="29">
        <f t="shared" si="4"/>
        <v>190</v>
      </c>
      <c r="J8" s="29">
        <f t="shared" si="4"/>
        <v>-210</v>
      </c>
      <c r="K8" s="29">
        <f t="shared" si="4"/>
        <v>190</v>
      </c>
      <c r="L8" s="29">
        <f t="shared" ref="L8" si="5">SUM(L9,L10,L14)</f>
        <v>40</v>
      </c>
      <c r="M8" s="163">
        <f t="shared" si="1"/>
        <v>0.21052631578947367</v>
      </c>
    </row>
    <row r="9" spans="1:13" ht="16.5" hidden="1" customHeight="1" x14ac:dyDescent="0.25">
      <c r="A9" s="50" t="s">
        <v>96</v>
      </c>
      <c r="B9" s="53" t="s">
        <v>127</v>
      </c>
      <c r="C9" s="28">
        <v>0</v>
      </c>
      <c r="D9" s="101"/>
      <c r="E9" s="28"/>
      <c r="F9" s="28">
        <v>0</v>
      </c>
      <c r="G9" s="101"/>
      <c r="H9" s="101"/>
      <c r="I9" s="101"/>
      <c r="J9" s="101"/>
      <c r="K9" s="107">
        <f t="shared" ref="K9" si="6">SUM(F9:J9)</f>
        <v>0</v>
      </c>
      <c r="L9" s="41"/>
      <c r="M9" s="162"/>
    </row>
    <row r="10" spans="1:13" ht="16.5" hidden="1" customHeight="1" x14ac:dyDescent="0.25">
      <c r="A10" s="50" t="s">
        <v>125</v>
      </c>
      <c r="B10" s="53" t="s">
        <v>126</v>
      </c>
      <c r="C10" s="31">
        <v>0</v>
      </c>
      <c r="D10" s="101">
        <v>0</v>
      </c>
      <c r="E10" s="31"/>
      <c r="F10" s="31">
        <f t="shared" ref="F10:K10" si="7">SUM(F11:F13)</f>
        <v>0</v>
      </c>
      <c r="G10" s="31">
        <f t="shared" si="7"/>
        <v>0</v>
      </c>
      <c r="H10" s="31">
        <f t="shared" si="7"/>
        <v>0</v>
      </c>
      <c r="I10" s="31">
        <f t="shared" si="7"/>
        <v>0</v>
      </c>
      <c r="J10" s="31">
        <f t="shared" si="7"/>
        <v>0</v>
      </c>
      <c r="K10" s="31">
        <f t="shared" si="7"/>
        <v>0</v>
      </c>
      <c r="L10" s="31">
        <f>SUM(L11:L13)</f>
        <v>0</v>
      </c>
      <c r="M10" s="162"/>
    </row>
    <row r="11" spans="1:13" ht="16.5" hidden="1" customHeight="1" x14ac:dyDescent="0.25">
      <c r="A11" s="50" t="s">
        <v>97</v>
      </c>
      <c r="B11" s="53" t="s">
        <v>128</v>
      </c>
      <c r="C11" s="28">
        <v>0</v>
      </c>
      <c r="D11" s="101"/>
      <c r="E11" s="28"/>
      <c r="F11" s="28">
        <v>0</v>
      </c>
      <c r="G11" s="101"/>
      <c r="H11" s="101"/>
      <c r="I11" s="101"/>
      <c r="J11" s="101"/>
      <c r="K11" s="107">
        <f t="shared" ref="K11:K14" si="8">SUM(F11:J11)</f>
        <v>0</v>
      </c>
      <c r="L11" s="41"/>
      <c r="M11" s="162"/>
    </row>
    <row r="12" spans="1:13" ht="16.5" hidden="1" customHeight="1" x14ac:dyDescent="0.25">
      <c r="A12" s="50" t="s">
        <v>98</v>
      </c>
      <c r="B12" s="53" t="s">
        <v>17</v>
      </c>
      <c r="C12" s="28">
        <v>0</v>
      </c>
      <c r="D12" s="101"/>
      <c r="E12" s="28"/>
      <c r="F12" s="28">
        <v>0</v>
      </c>
      <c r="G12" s="101"/>
      <c r="H12" s="101"/>
      <c r="I12" s="101"/>
      <c r="J12" s="101"/>
      <c r="K12" s="107">
        <f t="shared" si="8"/>
        <v>0</v>
      </c>
      <c r="L12" s="41"/>
      <c r="M12" s="162"/>
    </row>
    <row r="13" spans="1:13" ht="16.5" hidden="1" customHeight="1" x14ac:dyDescent="0.25">
      <c r="A13" s="50" t="s">
        <v>99</v>
      </c>
      <c r="B13" s="50" t="s">
        <v>129</v>
      </c>
      <c r="C13" s="28">
        <v>0</v>
      </c>
      <c r="D13" s="101"/>
      <c r="E13" s="28"/>
      <c r="F13" s="28">
        <v>0</v>
      </c>
      <c r="G13" s="101"/>
      <c r="H13" s="101"/>
      <c r="I13" s="101"/>
      <c r="J13" s="101"/>
      <c r="K13" s="107">
        <f t="shared" si="8"/>
        <v>0</v>
      </c>
      <c r="L13" s="41"/>
      <c r="M13" s="162"/>
    </row>
    <row r="14" spans="1:13" ht="16.5" hidden="1" customHeight="1" x14ac:dyDescent="0.25">
      <c r="A14" s="50" t="s">
        <v>100</v>
      </c>
      <c r="B14" s="50" t="s">
        <v>130</v>
      </c>
      <c r="C14" s="28">
        <v>1200</v>
      </c>
      <c r="D14" s="101"/>
      <c r="E14" s="28">
        <v>249</v>
      </c>
      <c r="F14" s="28">
        <v>210</v>
      </c>
      <c r="G14" s="101"/>
      <c r="H14" s="101"/>
      <c r="I14" s="101">
        <f>190</f>
        <v>190</v>
      </c>
      <c r="J14" s="101">
        <f>'[1]Egyéb ei módosítás'!$C$50/1000</f>
        <v>-210</v>
      </c>
      <c r="K14" s="107">
        <f t="shared" si="8"/>
        <v>190</v>
      </c>
      <c r="L14" s="41">
        <v>40</v>
      </c>
      <c r="M14" s="162">
        <f t="shared" si="1"/>
        <v>0.21052631578947367</v>
      </c>
    </row>
    <row r="15" spans="1:13" ht="16.5" customHeight="1" x14ac:dyDescent="0.25">
      <c r="A15" s="51" t="s">
        <v>101</v>
      </c>
      <c r="B15" s="51" t="s">
        <v>20</v>
      </c>
      <c r="C15" s="32">
        <v>0</v>
      </c>
      <c r="D15" s="103">
        <v>0</v>
      </c>
      <c r="E15" s="32">
        <v>2721</v>
      </c>
      <c r="F15" s="30">
        <f t="shared" ref="F15:K15" si="9">SUM(F16:F26)</f>
        <v>1860</v>
      </c>
      <c r="G15" s="30">
        <f t="shared" si="9"/>
        <v>0</v>
      </c>
      <c r="H15" s="30">
        <f t="shared" si="9"/>
        <v>0</v>
      </c>
      <c r="I15" s="30">
        <f t="shared" si="9"/>
        <v>1700</v>
      </c>
      <c r="J15" s="30">
        <f t="shared" si="9"/>
        <v>450</v>
      </c>
      <c r="K15" s="30">
        <f t="shared" si="9"/>
        <v>4010</v>
      </c>
      <c r="L15" s="30">
        <f>SUM(L16:L26)</f>
        <v>1554.4389999999999</v>
      </c>
      <c r="M15" s="165">
        <f>L15/K15</f>
        <v>0.38764064837905232</v>
      </c>
    </row>
    <row r="16" spans="1:13" ht="16.5" hidden="1" customHeight="1" x14ac:dyDescent="0.25">
      <c r="A16" s="53" t="s">
        <v>102</v>
      </c>
      <c r="B16" s="54" t="s">
        <v>21</v>
      </c>
      <c r="C16" s="28">
        <v>0</v>
      </c>
      <c r="D16" s="107"/>
      <c r="E16" s="28"/>
      <c r="F16" s="28">
        <v>0</v>
      </c>
      <c r="G16" s="107"/>
      <c r="H16" s="107"/>
      <c r="I16" s="107"/>
      <c r="J16" s="107"/>
      <c r="K16" s="107">
        <f t="shared" ref="K16:K32" si="10">SUM(F16:J16)</f>
        <v>0</v>
      </c>
      <c r="L16" s="41"/>
      <c r="M16" s="162"/>
    </row>
    <row r="17" spans="1:13" ht="16.5" hidden="1" customHeight="1" x14ac:dyDescent="0.25">
      <c r="A17" s="53" t="s">
        <v>103</v>
      </c>
      <c r="B17" s="54" t="s">
        <v>22</v>
      </c>
      <c r="C17" s="28">
        <v>0</v>
      </c>
      <c r="D17" s="101"/>
      <c r="E17" s="28">
        <v>1969</v>
      </c>
      <c r="F17" s="28">
        <v>1800</v>
      </c>
      <c r="G17" s="101"/>
      <c r="H17" s="101"/>
      <c r="I17" s="101">
        <f>1700</f>
        <v>1700</v>
      </c>
      <c r="J17" s="101">
        <f>'[1]Egyéb ei módosítás'!$C$51/1000</f>
        <v>450</v>
      </c>
      <c r="K17" s="101">
        <f t="shared" si="10"/>
        <v>3950</v>
      </c>
      <c r="L17" s="41">
        <v>1243.134</v>
      </c>
      <c r="M17" s="162">
        <f t="shared" ref="M17:M21" si="11">L17/K17</f>
        <v>0.31471746835443037</v>
      </c>
    </row>
    <row r="18" spans="1:13" ht="16.5" hidden="1" customHeight="1" x14ac:dyDescent="0.25">
      <c r="A18" s="53" t="s">
        <v>104</v>
      </c>
      <c r="B18" s="54" t="s">
        <v>23</v>
      </c>
      <c r="C18" s="28">
        <v>0</v>
      </c>
      <c r="D18" s="101"/>
      <c r="E18" s="28">
        <v>353</v>
      </c>
      <c r="F18" s="28">
        <v>0</v>
      </c>
      <c r="G18" s="101"/>
      <c r="H18" s="101"/>
      <c r="I18" s="101"/>
      <c r="J18" s="101"/>
      <c r="K18" s="101">
        <f t="shared" si="10"/>
        <v>0</v>
      </c>
      <c r="L18" s="41">
        <v>134.495</v>
      </c>
      <c r="M18" s="162"/>
    </row>
    <row r="19" spans="1:13" ht="16.5" hidden="1" customHeight="1" x14ac:dyDescent="0.25">
      <c r="A19" s="53" t="s">
        <v>105</v>
      </c>
      <c r="B19" s="54" t="s">
        <v>24</v>
      </c>
      <c r="C19" s="28">
        <v>0</v>
      </c>
      <c r="D19" s="101"/>
      <c r="E19" s="28"/>
      <c r="F19" s="28">
        <v>0</v>
      </c>
      <c r="G19" s="101"/>
      <c r="H19" s="101"/>
      <c r="I19" s="101"/>
      <c r="J19" s="101"/>
      <c r="K19" s="101">
        <f t="shared" si="10"/>
        <v>0</v>
      </c>
      <c r="L19" s="41"/>
      <c r="M19" s="162"/>
    </row>
    <row r="20" spans="1:13" ht="16.5" hidden="1" customHeight="1" x14ac:dyDescent="0.25">
      <c r="A20" s="53" t="s">
        <v>106</v>
      </c>
      <c r="B20" s="54" t="s">
        <v>25</v>
      </c>
      <c r="C20" s="28">
        <v>0</v>
      </c>
      <c r="D20" s="101"/>
      <c r="E20" s="28"/>
      <c r="F20" s="28">
        <v>0</v>
      </c>
      <c r="G20" s="101"/>
      <c r="H20" s="101"/>
      <c r="I20" s="101"/>
      <c r="J20" s="101"/>
      <c r="K20" s="101">
        <f t="shared" si="10"/>
        <v>0</v>
      </c>
      <c r="L20" s="41"/>
      <c r="M20" s="162"/>
    </row>
    <row r="21" spans="1:13" ht="16.5" hidden="1" customHeight="1" x14ac:dyDescent="0.25">
      <c r="A21" s="53" t="s">
        <v>107</v>
      </c>
      <c r="B21" s="54" t="s">
        <v>26</v>
      </c>
      <c r="C21" s="28">
        <v>0</v>
      </c>
      <c r="D21" s="101"/>
      <c r="E21" s="28">
        <v>105</v>
      </c>
      <c r="F21" s="28">
        <v>60</v>
      </c>
      <c r="G21" s="101"/>
      <c r="H21" s="101"/>
      <c r="I21" s="101"/>
      <c r="J21" s="101"/>
      <c r="K21" s="101">
        <f t="shared" si="10"/>
        <v>60</v>
      </c>
      <c r="L21" s="41">
        <v>64.161000000000001</v>
      </c>
      <c r="M21" s="162">
        <f t="shared" si="11"/>
        <v>1.06935</v>
      </c>
    </row>
    <row r="22" spans="1:13" ht="16.5" hidden="1" customHeight="1" x14ac:dyDescent="0.25">
      <c r="A22" s="53" t="s">
        <v>108</v>
      </c>
      <c r="B22" s="54" t="s">
        <v>27</v>
      </c>
      <c r="C22" s="28">
        <v>0</v>
      </c>
      <c r="D22" s="101"/>
      <c r="E22" s="28"/>
      <c r="F22" s="28">
        <v>0</v>
      </c>
      <c r="G22" s="101"/>
      <c r="H22" s="101"/>
      <c r="I22" s="101"/>
      <c r="J22" s="101"/>
      <c r="K22" s="101">
        <f t="shared" si="10"/>
        <v>0</v>
      </c>
      <c r="L22" s="41"/>
      <c r="M22" s="162"/>
    </row>
    <row r="23" spans="1:13" ht="16.5" hidden="1" customHeight="1" x14ac:dyDescent="0.25">
      <c r="A23" s="53" t="s">
        <v>109</v>
      </c>
      <c r="B23" s="54" t="s">
        <v>28</v>
      </c>
      <c r="C23" s="28">
        <v>0</v>
      </c>
      <c r="D23" s="101"/>
      <c r="E23" s="28">
        <v>25</v>
      </c>
      <c r="F23" s="28">
        <v>0</v>
      </c>
      <c r="G23" s="101"/>
      <c r="H23" s="101"/>
      <c r="I23" s="101"/>
      <c r="J23" s="101"/>
      <c r="K23" s="101">
        <f t="shared" si="10"/>
        <v>0</v>
      </c>
      <c r="L23" s="41">
        <v>7.798</v>
      </c>
      <c r="M23" s="162"/>
    </row>
    <row r="24" spans="1:13" ht="16.5" hidden="1" customHeight="1" x14ac:dyDescent="0.25">
      <c r="A24" s="53" t="s">
        <v>110</v>
      </c>
      <c r="B24" s="54" t="s">
        <v>29</v>
      </c>
      <c r="C24" s="28">
        <v>0</v>
      </c>
      <c r="D24" s="101"/>
      <c r="E24" s="28">
        <v>31</v>
      </c>
      <c r="F24" s="28">
        <v>0</v>
      </c>
      <c r="G24" s="101"/>
      <c r="H24" s="101"/>
      <c r="I24" s="101"/>
      <c r="J24" s="101"/>
      <c r="K24" s="101">
        <f t="shared" si="10"/>
        <v>0</v>
      </c>
      <c r="L24" s="41"/>
      <c r="M24" s="162"/>
    </row>
    <row r="25" spans="1:13" ht="16.5" hidden="1" customHeight="1" x14ac:dyDescent="0.25">
      <c r="A25" s="53" t="s">
        <v>111</v>
      </c>
      <c r="B25" s="54" t="s">
        <v>177</v>
      </c>
      <c r="C25" s="28">
        <v>0</v>
      </c>
      <c r="D25" s="101"/>
      <c r="E25" s="28"/>
      <c r="F25" s="28">
        <v>0</v>
      </c>
      <c r="G25" s="101"/>
      <c r="H25" s="101"/>
      <c r="I25" s="101"/>
      <c r="J25" s="101"/>
      <c r="K25" s="101">
        <f t="shared" si="10"/>
        <v>0</v>
      </c>
      <c r="L25" s="41"/>
      <c r="M25" s="162"/>
    </row>
    <row r="26" spans="1:13" ht="16.5" hidden="1" customHeight="1" x14ac:dyDescent="0.25">
      <c r="A26" s="53" t="s">
        <v>165</v>
      </c>
      <c r="B26" s="54" t="s">
        <v>30</v>
      </c>
      <c r="C26" s="28">
        <v>0</v>
      </c>
      <c r="D26" s="101"/>
      <c r="E26" s="28">
        <v>238</v>
      </c>
      <c r="F26" s="28">
        <v>0</v>
      </c>
      <c r="G26" s="101"/>
      <c r="H26" s="101"/>
      <c r="I26" s="101"/>
      <c r="J26" s="101"/>
      <c r="K26" s="101">
        <f t="shared" si="10"/>
        <v>0</v>
      </c>
      <c r="L26" s="41">
        <v>104.851</v>
      </c>
      <c r="M26" s="162"/>
    </row>
    <row r="27" spans="1:13" ht="16.5" customHeight="1" x14ac:dyDescent="0.25">
      <c r="A27" s="51" t="s">
        <v>112</v>
      </c>
      <c r="B27" s="51" t="s">
        <v>31</v>
      </c>
      <c r="C27" s="32">
        <v>0</v>
      </c>
      <c r="D27" s="103">
        <v>0</v>
      </c>
      <c r="E27" s="32">
        <v>0</v>
      </c>
      <c r="F27" s="30">
        <v>0</v>
      </c>
      <c r="G27" s="103">
        <v>0</v>
      </c>
      <c r="H27" s="103"/>
      <c r="I27" s="103"/>
      <c r="J27" s="103"/>
      <c r="K27" s="29">
        <f t="shared" si="10"/>
        <v>0</v>
      </c>
      <c r="L27" s="30">
        <f>SUM(L28:L30)</f>
        <v>0</v>
      </c>
      <c r="M27" s="165"/>
    </row>
    <row r="28" spans="1:13" ht="16.5" hidden="1" customHeight="1" x14ac:dyDescent="0.25">
      <c r="A28" s="53" t="s">
        <v>113</v>
      </c>
      <c r="B28" s="54" t="s">
        <v>32</v>
      </c>
      <c r="C28" s="28">
        <v>0</v>
      </c>
      <c r="D28" s="101"/>
      <c r="E28" s="28"/>
      <c r="F28" s="28">
        <v>0</v>
      </c>
      <c r="G28" s="101"/>
      <c r="H28" s="101"/>
      <c r="I28" s="101"/>
      <c r="J28" s="101"/>
      <c r="K28" s="29">
        <f t="shared" si="10"/>
        <v>0</v>
      </c>
      <c r="L28" s="41"/>
      <c r="M28" s="162"/>
    </row>
    <row r="29" spans="1:13" ht="16.5" hidden="1" customHeight="1" x14ac:dyDescent="0.25">
      <c r="A29" s="53" t="s">
        <v>114</v>
      </c>
      <c r="B29" s="54" t="s">
        <v>33</v>
      </c>
      <c r="C29" s="28">
        <v>0</v>
      </c>
      <c r="D29" s="101"/>
      <c r="E29" s="28"/>
      <c r="F29" s="28">
        <v>0</v>
      </c>
      <c r="G29" s="101"/>
      <c r="H29" s="101"/>
      <c r="I29" s="101"/>
      <c r="J29" s="101"/>
      <c r="K29" s="29">
        <f t="shared" si="10"/>
        <v>0</v>
      </c>
      <c r="L29" s="41"/>
      <c r="M29" s="162"/>
    </row>
    <row r="30" spans="1:13" ht="16.5" hidden="1" customHeight="1" x14ac:dyDescent="0.25">
      <c r="A30" s="53" t="s">
        <v>115</v>
      </c>
      <c r="B30" s="54" t="s">
        <v>34</v>
      </c>
      <c r="C30" s="28"/>
      <c r="D30" s="101"/>
      <c r="E30" s="28"/>
      <c r="F30" s="28">
        <v>0</v>
      </c>
      <c r="G30" s="101"/>
      <c r="H30" s="101"/>
      <c r="I30" s="101"/>
      <c r="J30" s="101"/>
      <c r="K30" s="29">
        <f t="shared" si="10"/>
        <v>0</v>
      </c>
      <c r="L30" s="41"/>
      <c r="M30" s="162"/>
    </row>
    <row r="31" spans="1:13" ht="16.5" customHeight="1" x14ac:dyDescent="0.25">
      <c r="A31" s="52" t="s">
        <v>116</v>
      </c>
      <c r="B31" s="56" t="s">
        <v>5</v>
      </c>
      <c r="C31" s="32">
        <v>1700</v>
      </c>
      <c r="D31" s="103">
        <v>0</v>
      </c>
      <c r="E31" s="32">
        <v>688</v>
      </c>
      <c r="F31" s="30">
        <v>690</v>
      </c>
      <c r="G31" s="103">
        <v>0</v>
      </c>
      <c r="H31" s="103"/>
      <c r="I31" s="103">
        <f>-190</f>
        <v>-190</v>
      </c>
      <c r="J31" s="103">
        <f>'[1]Egyéb ei módosítás'!$C$52/1000</f>
        <v>-240</v>
      </c>
      <c r="K31" s="29">
        <f t="shared" si="10"/>
        <v>260</v>
      </c>
      <c r="L31" s="42"/>
      <c r="M31" s="164">
        <f t="shared" ref="M31:M43" si="12">L31/K31</f>
        <v>0</v>
      </c>
    </row>
    <row r="32" spans="1:13" ht="16.5" customHeight="1" x14ac:dyDescent="0.25">
      <c r="A32" s="52" t="s">
        <v>117</v>
      </c>
      <c r="B32" s="58" t="s">
        <v>7</v>
      </c>
      <c r="C32" s="32">
        <v>0</v>
      </c>
      <c r="D32" s="103">
        <v>0</v>
      </c>
      <c r="E32" s="32"/>
      <c r="F32" s="32">
        <v>0</v>
      </c>
      <c r="G32" s="103">
        <v>0</v>
      </c>
      <c r="H32" s="103"/>
      <c r="I32" s="103"/>
      <c r="J32" s="103"/>
      <c r="K32" s="29">
        <f t="shared" si="10"/>
        <v>0</v>
      </c>
      <c r="L32" s="42">
        <f>SUM(H32:K32)</f>
        <v>0</v>
      </c>
      <c r="M32" s="164"/>
    </row>
    <row r="33" spans="1:13" ht="16.5" customHeight="1" x14ac:dyDescent="0.25">
      <c r="A33" s="59" t="s">
        <v>6</v>
      </c>
      <c r="B33" s="60" t="s">
        <v>76</v>
      </c>
      <c r="C33" s="38">
        <v>811374</v>
      </c>
      <c r="D33" s="131">
        <v>0</v>
      </c>
      <c r="E33" s="38">
        <v>695922</v>
      </c>
      <c r="F33" s="61">
        <f t="shared" ref="F33:K33" si="13">SUM(F34,F37,F38,F44,F45,F50,F52,F51)</f>
        <v>771416</v>
      </c>
      <c r="G33" s="61">
        <f t="shared" si="13"/>
        <v>0</v>
      </c>
      <c r="H33" s="61">
        <f t="shared" si="13"/>
        <v>9612</v>
      </c>
      <c r="I33" s="61">
        <f t="shared" si="13"/>
        <v>-70030</v>
      </c>
      <c r="J33" s="61">
        <f t="shared" si="13"/>
        <v>0</v>
      </c>
      <c r="K33" s="61">
        <f t="shared" si="13"/>
        <v>710998</v>
      </c>
      <c r="L33" s="61">
        <f t="shared" ref="L33" si="14">SUM(L34,L37,L38,L44,L45,L50,L52,L51)</f>
        <v>360319.516</v>
      </c>
      <c r="M33" s="166">
        <f t="shared" si="12"/>
        <v>0.50677992905746572</v>
      </c>
    </row>
    <row r="34" spans="1:13" ht="16.5" customHeight="1" x14ac:dyDescent="0.25">
      <c r="A34" s="51" t="s">
        <v>60</v>
      </c>
      <c r="B34" s="51" t="s">
        <v>1</v>
      </c>
      <c r="C34" s="32">
        <v>508580</v>
      </c>
      <c r="D34" s="113">
        <v>0</v>
      </c>
      <c r="E34" s="32">
        <v>447141</v>
      </c>
      <c r="F34" s="30">
        <f t="shared" ref="F34:J34" si="15">SUM(F35:F36)</f>
        <v>517611</v>
      </c>
      <c r="G34" s="30">
        <f t="shared" si="15"/>
        <v>0</v>
      </c>
      <c r="H34" s="30">
        <f t="shared" si="15"/>
        <v>1260</v>
      </c>
      <c r="I34" s="30">
        <f t="shared" si="15"/>
        <v>-55142</v>
      </c>
      <c r="J34" s="30">
        <f t="shared" si="15"/>
        <v>0</v>
      </c>
      <c r="K34" s="30">
        <f>SUM(K35:K36)</f>
        <v>463729</v>
      </c>
      <c r="L34" s="30">
        <f>SUM(L35:L36)</f>
        <v>237253.598</v>
      </c>
      <c r="M34" s="163">
        <f t="shared" si="12"/>
        <v>0.51162122274000543</v>
      </c>
    </row>
    <row r="35" spans="1:13" ht="16.5" hidden="1" customHeight="1" x14ac:dyDescent="0.25">
      <c r="A35" s="50" t="s">
        <v>61</v>
      </c>
      <c r="B35" s="50" t="s">
        <v>35</v>
      </c>
      <c r="C35" s="28">
        <v>436288</v>
      </c>
      <c r="D35" s="113"/>
      <c r="E35" s="28">
        <v>393729</v>
      </c>
      <c r="F35" s="28">
        <v>421218</v>
      </c>
      <c r="G35" s="113"/>
      <c r="H35" s="55">
        <v>0</v>
      </c>
      <c r="I35" s="113">
        <f>331</f>
        <v>331</v>
      </c>
      <c r="J35" s="113"/>
      <c r="K35" s="101">
        <f t="shared" ref="K35:K52" si="16">SUM(F35:J35)</f>
        <v>421549</v>
      </c>
      <c r="L35" s="41">
        <v>198731.33100000001</v>
      </c>
      <c r="M35" s="162">
        <f t="shared" si="12"/>
        <v>0.47143115272483155</v>
      </c>
    </row>
    <row r="36" spans="1:13" ht="16.5" hidden="1" customHeight="1" x14ac:dyDescent="0.25">
      <c r="A36" s="50" t="s">
        <v>62</v>
      </c>
      <c r="B36" s="50" t="s">
        <v>36</v>
      </c>
      <c r="C36" s="28">
        <v>72292</v>
      </c>
      <c r="D36" s="113">
        <v>0</v>
      </c>
      <c r="E36" s="28">
        <v>53412</v>
      </c>
      <c r="F36" s="28">
        <v>96393</v>
      </c>
      <c r="G36" s="113">
        <v>0</v>
      </c>
      <c r="H36" s="55">
        <v>1260</v>
      </c>
      <c r="I36" s="113">
        <f>-55473</f>
        <v>-55473</v>
      </c>
      <c r="J36" s="113"/>
      <c r="K36" s="101">
        <f t="shared" si="16"/>
        <v>42180</v>
      </c>
      <c r="L36" s="41">
        <v>38522.267</v>
      </c>
      <c r="M36" s="162">
        <f t="shared" si="12"/>
        <v>0.9132827643432907</v>
      </c>
    </row>
    <row r="37" spans="1:13" s="11" customFormat="1" ht="16.5" customHeight="1" x14ac:dyDescent="0.25">
      <c r="A37" s="51" t="s">
        <v>63</v>
      </c>
      <c r="B37" s="51" t="s">
        <v>2</v>
      </c>
      <c r="C37" s="32">
        <v>140499</v>
      </c>
      <c r="D37" s="113">
        <v>0</v>
      </c>
      <c r="E37" s="32">
        <v>120925</v>
      </c>
      <c r="F37" s="32">
        <v>154501</v>
      </c>
      <c r="G37" s="113">
        <v>0</v>
      </c>
      <c r="H37" s="113">
        <v>340</v>
      </c>
      <c r="I37" s="113">
        <f>90-14978</f>
        <v>-14888</v>
      </c>
      <c r="J37" s="113"/>
      <c r="K37" s="29">
        <f t="shared" si="16"/>
        <v>139953</v>
      </c>
      <c r="L37" s="13">
        <v>65344.722000000002</v>
      </c>
      <c r="M37" s="167">
        <f t="shared" si="12"/>
        <v>0.46690476088401106</v>
      </c>
    </row>
    <row r="38" spans="1:13" s="11" customFormat="1" ht="16.5" customHeight="1" x14ac:dyDescent="0.25">
      <c r="A38" s="51" t="s">
        <v>64</v>
      </c>
      <c r="B38" s="51" t="s">
        <v>3</v>
      </c>
      <c r="C38" s="32">
        <v>157115</v>
      </c>
      <c r="D38" s="113">
        <v>0</v>
      </c>
      <c r="E38" s="32">
        <v>102285</v>
      </c>
      <c r="F38" s="32">
        <f t="shared" ref="F38:L38" si="17">SUM(F39:F43)</f>
        <v>98614</v>
      </c>
      <c r="G38" s="32">
        <f t="shared" si="17"/>
        <v>0</v>
      </c>
      <c r="H38" s="32">
        <f t="shared" si="17"/>
        <v>3012</v>
      </c>
      <c r="I38" s="32">
        <f t="shared" si="17"/>
        <v>0</v>
      </c>
      <c r="J38" s="32">
        <f t="shared" si="17"/>
        <v>0</v>
      </c>
      <c r="K38" s="32">
        <f t="shared" si="17"/>
        <v>101626</v>
      </c>
      <c r="L38" s="30">
        <f t="shared" si="17"/>
        <v>56008.469000000005</v>
      </c>
      <c r="M38" s="163">
        <f t="shared" si="12"/>
        <v>0.55112342313974771</v>
      </c>
    </row>
    <row r="39" spans="1:13" ht="16.5" hidden="1" customHeight="1" x14ac:dyDescent="0.25">
      <c r="A39" s="50" t="s">
        <v>65</v>
      </c>
      <c r="B39" s="50" t="s">
        <v>37</v>
      </c>
      <c r="C39" s="28">
        <v>10281</v>
      </c>
      <c r="D39" s="107"/>
      <c r="E39" s="28">
        <v>9263</v>
      </c>
      <c r="F39" s="28">
        <v>14961</v>
      </c>
      <c r="G39" s="107"/>
      <c r="H39" s="107"/>
      <c r="I39" s="107"/>
      <c r="J39" s="107"/>
      <c r="K39" s="31">
        <f t="shared" si="16"/>
        <v>14961</v>
      </c>
      <c r="L39" s="41">
        <v>4227.8</v>
      </c>
      <c r="M39" s="162">
        <f t="shared" si="12"/>
        <v>0.28258806229530115</v>
      </c>
    </row>
    <row r="40" spans="1:13" ht="16.5" hidden="1" customHeight="1" x14ac:dyDescent="0.25">
      <c r="A40" s="50" t="s">
        <v>66</v>
      </c>
      <c r="B40" s="50" t="s">
        <v>38</v>
      </c>
      <c r="C40" s="28">
        <v>15945</v>
      </c>
      <c r="D40" s="107">
        <v>0</v>
      </c>
      <c r="E40" s="28">
        <v>12431</v>
      </c>
      <c r="F40" s="28">
        <v>7801</v>
      </c>
      <c r="G40" s="107">
        <v>0</v>
      </c>
      <c r="H40" s="107"/>
      <c r="I40" s="107"/>
      <c r="J40" s="107"/>
      <c r="K40" s="31">
        <f t="shared" si="16"/>
        <v>7801</v>
      </c>
      <c r="L40" s="41">
        <v>7909.5230000000001</v>
      </c>
      <c r="M40" s="162">
        <f t="shared" si="12"/>
        <v>1.0139114216126137</v>
      </c>
    </row>
    <row r="41" spans="1:13" ht="16.5" hidden="1" customHeight="1" x14ac:dyDescent="0.25">
      <c r="A41" s="50" t="s">
        <v>67</v>
      </c>
      <c r="B41" s="50" t="s">
        <v>39</v>
      </c>
      <c r="C41" s="28">
        <v>78621</v>
      </c>
      <c r="D41" s="107"/>
      <c r="E41" s="28">
        <v>64022</v>
      </c>
      <c r="F41" s="28">
        <v>61169</v>
      </c>
      <c r="G41" s="107"/>
      <c r="H41" s="107">
        <v>3012</v>
      </c>
      <c r="I41" s="107"/>
      <c r="J41" s="107"/>
      <c r="K41" s="31">
        <f t="shared" si="16"/>
        <v>64181</v>
      </c>
      <c r="L41" s="41">
        <v>34483.313999999998</v>
      </c>
      <c r="M41" s="162">
        <f t="shared" si="12"/>
        <v>0.5372822798024337</v>
      </c>
    </row>
    <row r="42" spans="1:13" ht="16.5" hidden="1" customHeight="1" x14ac:dyDescent="0.25">
      <c r="A42" s="50" t="s">
        <v>68</v>
      </c>
      <c r="B42" s="50" t="s">
        <v>40</v>
      </c>
      <c r="C42" s="28">
        <v>1528</v>
      </c>
      <c r="D42" s="107"/>
      <c r="E42" s="28">
        <v>21</v>
      </c>
      <c r="F42" s="28">
        <v>121</v>
      </c>
      <c r="G42" s="107"/>
      <c r="H42" s="107"/>
      <c r="I42" s="107"/>
      <c r="J42" s="107"/>
      <c r="K42" s="31">
        <f t="shared" si="16"/>
        <v>121</v>
      </c>
      <c r="L42" s="41">
        <v>154.542</v>
      </c>
      <c r="M42" s="162">
        <f t="shared" si="12"/>
        <v>1.2772066115702478</v>
      </c>
    </row>
    <row r="43" spans="1:13" ht="16.5" hidden="1" customHeight="1" x14ac:dyDescent="0.25">
      <c r="A43" s="50" t="s">
        <v>69</v>
      </c>
      <c r="B43" s="50" t="s">
        <v>41</v>
      </c>
      <c r="C43" s="28">
        <v>50740</v>
      </c>
      <c r="D43" s="113"/>
      <c r="E43" s="28">
        <v>16548</v>
      </c>
      <c r="F43" s="28">
        <v>14562</v>
      </c>
      <c r="G43" s="113"/>
      <c r="H43" s="113"/>
      <c r="I43" s="113"/>
      <c r="J43" s="113"/>
      <c r="K43" s="31">
        <f t="shared" si="16"/>
        <v>14562</v>
      </c>
      <c r="L43" s="41">
        <v>9233.2900000000009</v>
      </c>
      <c r="M43" s="162">
        <f t="shared" si="12"/>
        <v>0.63406743579178693</v>
      </c>
    </row>
    <row r="44" spans="1:13" s="11" customFormat="1" ht="16.5" customHeight="1" x14ac:dyDescent="0.25">
      <c r="A44" s="51" t="s">
        <v>70</v>
      </c>
      <c r="B44" s="51" t="s">
        <v>145</v>
      </c>
      <c r="C44" s="32">
        <v>5180</v>
      </c>
      <c r="D44" s="113">
        <v>0</v>
      </c>
      <c r="E44" s="32">
        <v>16011</v>
      </c>
      <c r="F44" s="32">
        <v>690</v>
      </c>
      <c r="G44" s="113">
        <v>0</v>
      </c>
      <c r="H44" s="113"/>
      <c r="I44" s="113"/>
      <c r="J44" s="113"/>
      <c r="K44" s="29">
        <f t="shared" si="16"/>
        <v>690</v>
      </c>
      <c r="L44" s="42">
        <v>475</v>
      </c>
      <c r="M44" s="167">
        <f>L44/K44</f>
        <v>0.68840579710144922</v>
      </c>
    </row>
    <row r="45" spans="1:13" s="11" customFormat="1" ht="16.5" customHeight="1" x14ac:dyDescent="0.25">
      <c r="A45" s="51" t="s">
        <v>71</v>
      </c>
      <c r="B45" s="51" t="s">
        <v>146</v>
      </c>
      <c r="C45" s="32">
        <v>0</v>
      </c>
      <c r="D45" s="113">
        <v>0</v>
      </c>
      <c r="E45" s="32">
        <v>7203</v>
      </c>
      <c r="F45" s="32">
        <v>0</v>
      </c>
      <c r="G45" s="113">
        <v>0</v>
      </c>
      <c r="H45" s="113"/>
      <c r="I45" s="113"/>
      <c r="J45" s="113"/>
      <c r="K45" s="29">
        <f t="shared" si="16"/>
        <v>0</v>
      </c>
      <c r="L45" s="32">
        <f>SUM(L46,L47)</f>
        <v>0</v>
      </c>
      <c r="M45" s="163"/>
    </row>
    <row r="46" spans="1:13" ht="16.5" customHeight="1" x14ac:dyDescent="0.25">
      <c r="A46" s="156" t="s">
        <v>188</v>
      </c>
      <c r="B46" s="62" t="s">
        <v>134</v>
      </c>
      <c r="C46" s="28">
        <v>0</v>
      </c>
      <c r="D46" s="117">
        <v>0</v>
      </c>
      <c r="E46" s="28">
        <v>7203</v>
      </c>
      <c r="F46" s="34"/>
      <c r="G46" s="34">
        <v>0</v>
      </c>
      <c r="H46" s="34"/>
      <c r="I46" s="34"/>
      <c r="J46" s="34"/>
      <c r="K46" s="34">
        <f t="shared" si="16"/>
        <v>0</v>
      </c>
      <c r="L46" s="34"/>
      <c r="M46" s="162"/>
    </row>
    <row r="47" spans="1:13" ht="16.5" customHeight="1" x14ac:dyDescent="0.25">
      <c r="A47" s="62" t="s">
        <v>72</v>
      </c>
      <c r="B47" s="62" t="s">
        <v>56</v>
      </c>
      <c r="C47" s="34">
        <v>0</v>
      </c>
      <c r="D47" s="112">
        <v>0</v>
      </c>
      <c r="E47" s="34"/>
      <c r="F47" s="34">
        <v>0</v>
      </c>
      <c r="G47" s="34">
        <v>0</v>
      </c>
      <c r="H47" s="34"/>
      <c r="I47" s="34"/>
      <c r="J47" s="34"/>
      <c r="K47" s="34">
        <f t="shared" si="16"/>
        <v>0</v>
      </c>
      <c r="L47" s="34">
        <f>SUM(L48:L49)</f>
        <v>0</v>
      </c>
      <c r="M47" s="162"/>
    </row>
    <row r="48" spans="1:13" ht="16.5" customHeight="1" x14ac:dyDescent="0.25">
      <c r="A48" s="50"/>
      <c r="B48" s="62" t="s">
        <v>77</v>
      </c>
      <c r="C48" s="28">
        <v>0</v>
      </c>
      <c r="D48" s="112">
        <v>0</v>
      </c>
      <c r="E48" s="28"/>
      <c r="F48" s="34">
        <v>0</v>
      </c>
      <c r="G48" s="34">
        <v>0</v>
      </c>
      <c r="H48" s="34"/>
      <c r="I48" s="34"/>
      <c r="J48" s="34"/>
      <c r="K48" s="34">
        <f t="shared" si="16"/>
        <v>0</v>
      </c>
      <c r="L48" s="34"/>
      <c r="M48" s="162"/>
    </row>
    <row r="49" spans="1:13" ht="16.5" customHeight="1" x14ac:dyDescent="0.25">
      <c r="A49" s="50"/>
      <c r="B49" s="62" t="s">
        <v>78</v>
      </c>
      <c r="C49" s="28">
        <v>0</v>
      </c>
      <c r="D49" s="99">
        <v>0</v>
      </c>
      <c r="E49" s="28"/>
      <c r="F49" s="34">
        <v>0</v>
      </c>
      <c r="G49" s="34">
        <v>0</v>
      </c>
      <c r="H49" s="34"/>
      <c r="I49" s="34"/>
      <c r="J49" s="34"/>
      <c r="K49" s="34">
        <f t="shared" si="16"/>
        <v>0</v>
      </c>
      <c r="L49" s="34"/>
      <c r="M49" s="162"/>
    </row>
    <row r="50" spans="1:13" ht="16.5" customHeight="1" x14ac:dyDescent="0.25">
      <c r="A50" s="51" t="s">
        <v>73</v>
      </c>
      <c r="B50" s="51" t="s">
        <v>147</v>
      </c>
      <c r="C50" s="32">
        <v>0</v>
      </c>
      <c r="D50" s="113">
        <v>0</v>
      </c>
      <c r="E50" s="32">
        <v>2357</v>
      </c>
      <c r="F50" s="30">
        <v>0</v>
      </c>
      <c r="G50" s="113">
        <v>0</v>
      </c>
      <c r="H50" s="113">
        <f>5000</f>
        <v>5000</v>
      </c>
      <c r="I50" s="113"/>
      <c r="J50" s="113"/>
      <c r="K50" s="29">
        <f t="shared" si="16"/>
        <v>5000</v>
      </c>
      <c r="L50" s="42">
        <v>1237.7270000000001</v>
      </c>
      <c r="M50" s="163">
        <f t="shared" ref="M50:M57" si="18">L50/K50</f>
        <v>0.24754540000000003</v>
      </c>
    </row>
    <row r="51" spans="1:13" ht="16.5" customHeight="1" x14ac:dyDescent="0.25">
      <c r="A51" s="51" t="s">
        <v>74</v>
      </c>
      <c r="B51" s="51" t="s">
        <v>181</v>
      </c>
      <c r="C51" s="32">
        <v>0</v>
      </c>
      <c r="D51" s="137">
        <v>0</v>
      </c>
      <c r="E51" s="32"/>
      <c r="F51" s="30">
        <v>0</v>
      </c>
      <c r="G51" s="137">
        <v>0</v>
      </c>
      <c r="H51" s="137"/>
      <c r="I51" s="137"/>
      <c r="J51" s="137"/>
      <c r="K51" s="29">
        <f t="shared" si="16"/>
        <v>0</v>
      </c>
      <c r="L51" s="42">
        <v>0</v>
      </c>
      <c r="M51" s="163"/>
    </row>
    <row r="52" spans="1:13" ht="16.5" customHeight="1" x14ac:dyDescent="0.25">
      <c r="A52" s="51" t="s">
        <v>75</v>
      </c>
      <c r="B52" s="51" t="s">
        <v>158</v>
      </c>
      <c r="C52" s="32">
        <v>0</v>
      </c>
      <c r="D52" s="113">
        <v>0</v>
      </c>
      <c r="E52" s="32"/>
      <c r="F52" s="32">
        <v>0</v>
      </c>
      <c r="G52" s="113">
        <v>0</v>
      </c>
      <c r="H52" s="113"/>
      <c r="I52" s="113"/>
      <c r="J52" s="113"/>
      <c r="K52" s="29">
        <f t="shared" si="16"/>
        <v>0</v>
      </c>
      <c r="L52" s="42">
        <v>0</v>
      </c>
      <c r="M52" s="163"/>
    </row>
    <row r="53" spans="1:13" ht="16.5" customHeight="1" x14ac:dyDescent="0.25">
      <c r="A53" s="64"/>
      <c r="B53" s="65" t="s">
        <v>42</v>
      </c>
      <c r="C53" s="66">
        <v>-799087</v>
      </c>
      <c r="D53" s="66">
        <v>0</v>
      </c>
      <c r="E53" s="67">
        <v>-691964</v>
      </c>
      <c r="F53" s="67">
        <f t="shared" ref="F53:J53" si="19">F3-F33</f>
        <v>-764356</v>
      </c>
      <c r="G53" s="67">
        <f t="shared" si="19"/>
        <v>0</v>
      </c>
      <c r="H53" s="67">
        <f t="shared" si="19"/>
        <v>-9612</v>
      </c>
      <c r="I53" s="67">
        <f t="shared" si="19"/>
        <v>70030</v>
      </c>
      <c r="J53" s="67">
        <f t="shared" si="19"/>
        <v>0</v>
      </c>
      <c r="K53" s="67">
        <f>K3-K33</f>
        <v>-703938</v>
      </c>
      <c r="L53" s="67">
        <f>L3-L33</f>
        <v>-358725.07699999999</v>
      </c>
      <c r="M53" s="169">
        <f t="shared" si="18"/>
        <v>0.50959754552247494</v>
      </c>
    </row>
    <row r="54" spans="1:13" ht="16.5" customHeight="1" x14ac:dyDescent="0.25">
      <c r="A54" s="68"/>
      <c r="B54" s="69" t="s">
        <v>43</v>
      </c>
      <c r="C54" s="93">
        <v>-799087</v>
      </c>
      <c r="D54" s="93">
        <v>0</v>
      </c>
      <c r="E54" s="70">
        <v>-689607</v>
      </c>
      <c r="F54" s="70">
        <f t="shared" ref="F54:J54" si="20">F6+F8+F15+F31-F34-F37-F38-F44-F45+F49</f>
        <v>-764356</v>
      </c>
      <c r="G54" s="70">
        <f t="shared" si="20"/>
        <v>0</v>
      </c>
      <c r="H54" s="70">
        <f t="shared" si="20"/>
        <v>-4612</v>
      </c>
      <c r="I54" s="70">
        <f t="shared" si="20"/>
        <v>70030</v>
      </c>
      <c r="J54" s="70">
        <f t="shared" si="20"/>
        <v>0</v>
      </c>
      <c r="K54" s="70">
        <f>K6+K8+K15+K31-K34-K37-K38-K44-K45+K49</f>
        <v>-698938</v>
      </c>
      <c r="L54" s="70">
        <f>L6+L8+L15+L31-L34-L37-L38-L44-L45+L49</f>
        <v>-357487.35</v>
      </c>
      <c r="M54" s="170">
        <f t="shared" si="18"/>
        <v>0.51147219066641103</v>
      </c>
    </row>
    <row r="55" spans="1:13" ht="16.5" customHeight="1" x14ac:dyDescent="0.25">
      <c r="A55" s="68"/>
      <c r="B55" s="69" t="s">
        <v>44</v>
      </c>
      <c r="C55" s="93">
        <v>0</v>
      </c>
      <c r="D55" s="93">
        <v>0</v>
      </c>
      <c r="E55" s="70">
        <v>-2357</v>
      </c>
      <c r="F55" s="70">
        <f t="shared" ref="F55:J55" si="21">F7+F27+F32-F49-F50-F51-F52</f>
        <v>0</v>
      </c>
      <c r="G55" s="70">
        <f t="shared" si="21"/>
        <v>0</v>
      </c>
      <c r="H55" s="70">
        <f t="shared" si="21"/>
        <v>-5000</v>
      </c>
      <c r="I55" s="70">
        <f t="shared" si="21"/>
        <v>0</v>
      </c>
      <c r="J55" s="70">
        <f t="shared" si="21"/>
        <v>0</v>
      </c>
      <c r="K55" s="70">
        <f>K7+K27+K32-K49-K50-K51-K52</f>
        <v>-5000</v>
      </c>
      <c r="L55" s="70">
        <f>L7+L27+L32-L49-L50-L51-L52</f>
        <v>-1237.7270000000001</v>
      </c>
      <c r="M55" s="170">
        <f t="shared" si="18"/>
        <v>0.24754540000000003</v>
      </c>
    </row>
    <row r="56" spans="1:13" ht="16.5" customHeight="1" x14ac:dyDescent="0.25">
      <c r="A56" s="71" t="s">
        <v>132</v>
      </c>
      <c r="B56" s="72" t="s">
        <v>45</v>
      </c>
      <c r="C56" s="73">
        <v>799087</v>
      </c>
      <c r="D56" s="73">
        <v>0</v>
      </c>
      <c r="E56" s="74">
        <v>696068</v>
      </c>
      <c r="F56" s="73">
        <f t="shared" ref="F56:J56" si="22">F57</f>
        <v>764355.9</v>
      </c>
      <c r="G56" s="73">
        <f t="shared" si="22"/>
        <v>0</v>
      </c>
      <c r="H56" s="73">
        <f t="shared" si="22"/>
        <v>9612</v>
      </c>
      <c r="I56" s="73">
        <f t="shared" si="22"/>
        <v>-70030</v>
      </c>
      <c r="J56" s="73">
        <f t="shared" si="22"/>
        <v>0</v>
      </c>
      <c r="K56" s="73">
        <f>K57</f>
        <v>703937.9</v>
      </c>
      <c r="L56" s="74">
        <f t="shared" ref="L56" si="23">L57</f>
        <v>375584.89899999998</v>
      </c>
      <c r="M56" s="171">
        <f t="shared" si="18"/>
        <v>0.53354834140909302</v>
      </c>
    </row>
    <row r="57" spans="1:13" ht="16.5" customHeight="1" x14ac:dyDescent="0.25">
      <c r="A57" s="50" t="s">
        <v>120</v>
      </c>
      <c r="B57" s="50" t="s">
        <v>50</v>
      </c>
      <c r="C57" s="35">
        <v>799087</v>
      </c>
      <c r="D57" s="107">
        <v>0</v>
      </c>
      <c r="E57" s="35">
        <v>696068</v>
      </c>
      <c r="F57" s="107">
        <f t="shared" ref="F57:G57" si="24">F58+F59+F60+F63+F64</f>
        <v>764355.9</v>
      </c>
      <c r="G57" s="107">
        <f t="shared" si="24"/>
        <v>0</v>
      </c>
      <c r="H57" s="107">
        <f>H58+H59+H60+H63+H64</f>
        <v>9612</v>
      </c>
      <c r="I57" s="107">
        <f>I58+I59+I60+I63+I64</f>
        <v>-70030</v>
      </c>
      <c r="J57" s="107">
        <f>J58+J59+J60+J63+J64</f>
        <v>0</v>
      </c>
      <c r="K57" s="107">
        <f>K58+K59+K60+K63+K64</f>
        <v>703937.9</v>
      </c>
      <c r="L57" s="35">
        <f>L58+L59+L60+L64</f>
        <v>375584.89899999998</v>
      </c>
      <c r="M57" s="168">
        <f t="shared" si="18"/>
        <v>0.53354834140909302</v>
      </c>
    </row>
    <row r="58" spans="1:13" ht="16.5" customHeight="1" x14ac:dyDescent="0.25">
      <c r="A58" s="50" t="s">
        <v>79</v>
      </c>
      <c r="B58" s="50" t="s">
        <v>47</v>
      </c>
      <c r="C58" s="28">
        <v>0</v>
      </c>
      <c r="D58" s="107">
        <v>0</v>
      </c>
      <c r="E58" s="28"/>
      <c r="F58" s="28">
        <v>0</v>
      </c>
      <c r="G58" s="107">
        <v>0</v>
      </c>
      <c r="H58" s="107"/>
      <c r="I58" s="107"/>
      <c r="J58" s="107"/>
      <c r="K58" s="107">
        <f>SUM(F58:J58)</f>
        <v>0</v>
      </c>
      <c r="L58" s="41"/>
      <c r="M58" s="162"/>
    </row>
    <row r="59" spans="1:13" ht="16.5" customHeight="1" x14ac:dyDescent="0.25">
      <c r="A59" s="50" t="s">
        <v>80</v>
      </c>
      <c r="B59" s="50" t="s">
        <v>48</v>
      </c>
      <c r="C59" s="28">
        <v>0</v>
      </c>
      <c r="D59" s="107">
        <v>0</v>
      </c>
      <c r="E59" s="28"/>
      <c r="F59" s="28">
        <v>0</v>
      </c>
      <c r="G59" s="107">
        <v>0</v>
      </c>
      <c r="H59" s="107"/>
      <c r="I59" s="107"/>
      <c r="J59" s="107"/>
      <c r="K59" s="107">
        <f>SUM(F59:J59)</f>
        <v>0</v>
      </c>
      <c r="L59" s="41">
        <f>SUM(H59:K59)</f>
        <v>0</v>
      </c>
      <c r="M59" s="162"/>
    </row>
    <row r="60" spans="1:13" ht="16.5" customHeight="1" x14ac:dyDescent="0.25">
      <c r="A60" s="50" t="s">
        <v>81</v>
      </c>
      <c r="B60" s="50" t="s">
        <v>49</v>
      </c>
      <c r="C60" s="35">
        <v>0</v>
      </c>
      <c r="D60" s="107">
        <v>0</v>
      </c>
      <c r="E60" s="35">
        <v>7788</v>
      </c>
      <c r="F60" s="35">
        <v>0</v>
      </c>
      <c r="G60" s="107">
        <v>0</v>
      </c>
      <c r="H60" s="107">
        <f>H61+H62</f>
        <v>14143</v>
      </c>
      <c r="I60" s="107">
        <f>I61+I62</f>
        <v>0</v>
      </c>
      <c r="J60" s="107">
        <f>J61+J62</f>
        <v>0</v>
      </c>
      <c r="K60" s="107">
        <f>K61+K62</f>
        <v>14143</v>
      </c>
      <c r="L60" s="35">
        <f>SUM(L61:L62)</f>
        <v>14143</v>
      </c>
      <c r="M60" s="172">
        <f>L60/K60</f>
        <v>1</v>
      </c>
    </row>
    <row r="61" spans="1:13" ht="16.5" customHeight="1" x14ac:dyDescent="0.25">
      <c r="A61" s="50"/>
      <c r="B61" s="62" t="s">
        <v>82</v>
      </c>
      <c r="C61" s="28">
        <v>0</v>
      </c>
      <c r="D61" s="107">
        <v>0</v>
      </c>
      <c r="E61" s="28">
        <v>7788</v>
      </c>
      <c r="F61" s="138">
        <v>0</v>
      </c>
      <c r="G61" s="107">
        <v>0</v>
      </c>
      <c r="H61" s="107">
        <v>14143</v>
      </c>
      <c r="I61" s="107"/>
      <c r="J61" s="107"/>
      <c r="K61" s="107">
        <f>SUM(F61:J61)</f>
        <v>14143</v>
      </c>
      <c r="L61" s="41">
        <v>14143</v>
      </c>
      <c r="M61" s="162">
        <f>L61/K61</f>
        <v>1</v>
      </c>
    </row>
    <row r="62" spans="1:13" ht="16.5" customHeight="1" x14ac:dyDescent="0.25">
      <c r="A62" s="50"/>
      <c r="B62" s="62" t="s">
        <v>83</v>
      </c>
      <c r="C62" s="28">
        <v>0</v>
      </c>
      <c r="D62" s="107"/>
      <c r="E62" s="28"/>
      <c r="F62" s="138">
        <v>0</v>
      </c>
      <c r="G62" s="107"/>
      <c r="H62" s="107"/>
      <c r="I62" s="107"/>
      <c r="J62" s="107"/>
      <c r="K62" s="107">
        <f>SUM(F62:J62)</f>
        <v>0</v>
      </c>
      <c r="L62" s="41"/>
      <c r="M62" s="162"/>
    </row>
    <row r="63" spans="1:13" ht="16.5" customHeight="1" x14ac:dyDescent="0.25">
      <c r="A63" s="50" t="s">
        <v>84</v>
      </c>
      <c r="B63" s="50" t="s">
        <v>131</v>
      </c>
      <c r="C63" s="28">
        <v>0</v>
      </c>
      <c r="D63" s="107"/>
      <c r="E63" s="28"/>
      <c r="F63" s="28">
        <v>0</v>
      </c>
      <c r="G63" s="107"/>
      <c r="H63" s="107"/>
      <c r="I63" s="107"/>
      <c r="J63" s="107"/>
      <c r="K63" s="107">
        <f>SUM(F63:J63)</f>
        <v>0</v>
      </c>
      <c r="L63" s="41">
        <f t="shared" ref="L63:L65" si="25">SUM(H63:K63)</f>
        <v>0</v>
      </c>
      <c r="M63" s="162"/>
    </row>
    <row r="64" spans="1:13" ht="16.5" customHeight="1" x14ac:dyDescent="0.25">
      <c r="A64" s="50" t="s">
        <v>121</v>
      </c>
      <c r="B64" s="50" t="s">
        <v>122</v>
      </c>
      <c r="C64" s="28">
        <v>799087</v>
      </c>
      <c r="D64" s="107">
        <v>0</v>
      </c>
      <c r="E64" s="28">
        <v>688280</v>
      </c>
      <c r="F64" s="28">
        <v>764355.9</v>
      </c>
      <c r="G64" s="107">
        <v>0</v>
      </c>
      <c r="H64" s="107">
        <f>1600-6131</f>
        <v>-4531</v>
      </c>
      <c r="I64" s="107">
        <f>421-70451</f>
        <v>-70030</v>
      </c>
      <c r="J64" s="107"/>
      <c r="K64" s="107">
        <f>SUM(F64:J64)</f>
        <v>689794.9</v>
      </c>
      <c r="L64" s="41">
        <v>361441.89899999998</v>
      </c>
      <c r="M64" s="172">
        <f>L64/K64</f>
        <v>0.52398459165180833</v>
      </c>
    </row>
    <row r="65" spans="1:13" ht="16.5" customHeight="1" x14ac:dyDescent="0.25">
      <c r="A65" s="50" t="s">
        <v>85</v>
      </c>
      <c r="B65" s="75" t="s">
        <v>51</v>
      </c>
      <c r="C65" s="28">
        <v>0</v>
      </c>
      <c r="D65" s="28">
        <v>0</v>
      </c>
      <c r="E65" s="28"/>
      <c r="F65" s="28">
        <v>0</v>
      </c>
      <c r="G65" s="28">
        <v>0</v>
      </c>
      <c r="H65" s="28"/>
      <c r="I65" s="28"/>
      <c r="J65" s="28"/>
      <c r="K65" s="28">
        <v>0</v>
      </c>
      <c r="L65" s="41">
        <f t="shared" si="25"/>
        <v>0</v>
      </c>
      <c r="M65" s="162"/>
    </row>
    <row r="66" spans="1:13" ht="16.5" customHeight="1" x14ac:dyDescent="0.25">
      <c r="A66" s="76" t="s">
        <v>133</v>
      </c>
      <c r="B66" s="77" t="s">
        <v>52</v>
      </c>
      <c r="C66" s="78">
        <v>0</v>
      </c>
      <c r="D66" s="78">
        <v>0</v>
      </c>
      <c r="E66" s="79">
        <v>0</v>
      </c>
      <c r="F66" s="79">
        <f t="shared" ref="F66:K66" si="26">F67+F71</f>
        <v>0</v>
      </c>
      <c r="G66" s="79">
        <f t="shared" si="26"/>
        <v>0</v>
      </c>
      <c r="H66" s="79">
        <f t="shared" si="26"/>
        <v>0</v>
      </c>
      <c r="I66" s="79">
        <f t="shared" si="26"/>
        <v>0</v>
      </c>
      <c r="J66" s="79">
        <f t="shared" si="26"/>
        <v>0</v>
      </c>
      <c r="K66" s="79">
        <f t="shared" si="26"/>
        <v>0</v>
      </c>
      <c r="L66" s="79">
        <f>L67+L71</f>
        <v>0</v>
      </c>
      <c r="M66" s="173"/>
    </row>
    <row r="67" spans="1:13" ht="16.5" customHeight="1" x14ac:dyDescent="0.25">
      <c r="A67" s="50" t="s">
        <v>138</v>
      </c>
      <c r="B67" s="50" t="s">
        <v>139</v>
      </c>
      <c r="C67" s="35">
        <v>0</v>
      </c>
      <c r="D67" s="35">
        <v>0</v>
      </c>
      <c r="E67" s="35"/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f>L68+L69+L70</f>
        <v>0</v>
      </c>
      <c r="M67" s="168"/>
    </row>
    <row r="68" spans="1:13" ht="16.5" customHeight="1" x14ac:dyDescent="0.25">
      <c r="A68" s="50" t="s">
        <v>86</v>
      </c>
      <c r="B68" s="50" t="s">
        <v>46</v>
      </c>
      <c r="C68" s="28">
        <v>0</v>
      </c>
      <c r="D68" s="28">
        <v>0</v>
      </c>
      <c r="E68" s="28"/>
      <c r="F68" s="28"/>
      <c r="G68" s="28">
        <v>0</v>
      </c>
      <c r="H68" s="28"/>
      <c r="I68" s="28"/>
      <c r="J68" s="28"/>
      <c r="K68" s="28">
        <v>0</v>
      </c>
      <c r="L68" s="41"/>
      <c r="M68" s="168"/>
    </row>
    <row r="69" spans="1:13" ht="16.5" customHeight="1" x14ac:dyDescent="0.25">
      <c r="A69" s="50" t="s">
        <v>87</v>
      </c>
      <c r="B69" s="50" t="s">
        <v>53</v>
      </c>
      <c r="C69" s="28">
        <v>0</v>
      </c>
      <c r="D69" s="28">
        <v>0</v>
      </c>
      <c r="E69" s="28"/>
      <c r="F69" s="28">
        <v>0</v>
      </c>
      <c r="G69" s="28">
        <v>0</v>
      </c>
      <c r="H69" s="28"/>
      <c r="I69" s="28"/>
      <c r="J69" s="28"/>
      <c r="K69" s="28">
        <v>0</v>
      </c>
      <c r="L69" s="41"/>
      <c r="M69" s="168"/>
    </row>
    <row r="70" spans="1:13" ht="16.5" customHeight="1" x14ac:dyDescent="0.25">
      <c r="A70" s="50" t="s">
        <v>88</v>
      </c>
      <c r="B70" s="50" t="s">
        <v>54</v>
      </c>
      <c r="C70" s="28">
        <v>0</v>
      </c>
      <c r="D70" s="28">
        <v>0</v>
      </c>
      <c r="E70" s="28"/>
      <c r="F70" s="28">
        <v>0</v>
      </c>
      <c r="G70" s="28">
        <v>0</v>
      </c>
      <c r="H70" s="28"/>
      <c r="I70" s="28"/>
      <c r="J70" s="28"/>
      <c r="K70" s="28">
        <v>0</v>
      </c>
      <c r="L70" s="41"/>
      <c r="M70" s="168"/>
    </row>
    <row r="71" spans="1:13" ht="16.5" customHeight="1" x14ac:dyDescent="0.25">
      <c r="A71" s="50" t="s">
        <v>90</v>
      </c>
      <c r="B71" s="75" t="s">
        <v>89</v>
      </c>
      <c r="C71" s="28">
        <v>0</v>
      </c>
      <c r="D71" s="28">
        <v>0</v>
      </c>
      <c r="E71" s="28"/>
      <c r="F71" s="28">
        <v>0</v>
      </c>
      <c r="G71" s="28">
        <v>0</v>
      </c>
      <c r="H71" s="28"/>
      <c r="I71" s="28"/>
      <c r="J71" s="28"/>
      <c r="K71" s="28">
        <v>0</v>
      </c>
      <c r="L71" s="94"/>
      <c r="M71" s="162"/>
    </row>
    <row r="72" spans="1:13" ht="16.5" customHeight="1" x14ac:dyDescent="0.25">
      <c r="A72" s="64"/>
      <c r="B72" s="80" t="s">
        <v>57</v>
      </c>
      <c r="C72" s="66">
        <v>799087</v>
      </c>
      <c r="D72" s="66">
        <v>0</v>
      </c>
      <c r="E72" s="67">
        <v>696068</v>
      </c>
      <c r="F72" s="67">
        <f>+F56-F66</f>
        <v>764355.9</v>
      </c>
      <c r="G72" s="67">
        <f t="shared" ref="G72" si="27">+G56-G66</f>
        <v>0</v>
      </c>
      <c r="H72" s="67">
        <f t="shared" ref="H72:J72" si="28">+H56-H66</f>
        <v>9612</v>
      </c>
      <c r="I72" s="67">
        <f t="shared" si="28"/>
        <v>-70030</v>
      </c>
      <c r="J72" s="67">
        <f t="shared" si="28"/>
        <v>0</v>
      </c>
      <c r="K72" s="67">
        <f t="shared" ref="K72" si="29">+K56-K66</f>
        <v>703937.9</v>
      </c>
      <c r="L72" s="67">
        <f>+L56-L66</f>
        <v>375584.89899999998</v>
      </c>
      <c r="M72" s="169">
        <f t="shared" ref="M72:M79" si="30">L72/K72</f>
        <v>0.53354834140909302</v>
      </c>
    </row>
    <row r="73" spans="1:13" ht="16.5" customHeight="1" x14ac:dyDescent="0.25">
      <c r="A73" s="81"/>
      <c r="B73" s="82" t="s">
        <v>58</v>
      </c>
      <c r="C73" s="37">
        <v>811374</v>
      </c>
      <c r="D73" s="37">
        <v>0</v>
      </c>
      <c r="E73" s="37">
        <v>700026</v>
      </c>
      <c r="F73" s="37">
        <f t="shared" ref="F73:G73" si="31">+F3+F56</f>
        <v>771415.9</v>
      </c>
      <c r="G73" s="37">
        <f t="shared" si="31"/>
        <v>0</v>
      </c>
      <c r="H73" s="37">
        <f t="shared" ref="H73:J73" si="32">+H3+H56</f>
        <v>9612</v>
      </c>
      <c r="I73" s="37">
        <f t="shared" si="32"/>
        <v>-70030</v>
      </c>
      <c r="J73" s="37">
        <f t="shared" si="32"/>
        <v>0</v>
      </c>
      <c r="K73" s="37">
        <f>+K3+K56</f>
        <v>710997.9</v>
      </c>
      <c r="L73" s="37">
        <f>+L3+L56</f>
        <v>377179.33799999999</v>
      </c>
      <c r="M73" s="161">
        <f t="shared" si="30"/>
        <v>0.5304929001900005</v>
      </c>
    </row>
    <row r="74" spans="1:13" ht="16.5" customHeight="1" x14ac:dyDescent="0.25">
      <c r="A74" s="71"/>
      <c r="B74" s="72" t="s">
        <v>140</v>
      </c>
      <c r="C74" s="73">
        <v>12287</v>
      </c>
      <c r="D74" s="73">
        <v>0</v>
      </c>
      <c r="E74" s="73">
        <v>11746</v>
      </c>
      <c r="F74" s="73">
        <f t="shared" ref="F74:G74" si="33">+F6+F8+F15+F31</f>
        <v>7060</v>
      </c>
      <c r="G74" s="73">
        <f t="shared" si="33"/>
        <v>0</v>
      </c>
      <c r="H74" s="73">
        <f t="shared" ref="H74:J74" si="34">+H6+H8+H15+H31</f>
        <v>0</v>
      </c>
      <c r="I74" s="73">
        <f t="shared" si="34"/>
        <v>0</v>
      </c>
      <c r="J74" s="73">
        <f t="shared" si="34"/>
        <v>0</v>
      </c>
      <c r="K74" s="73">
        <f t="shared" ref="K74" si="35">+K6+K8+K15+K31</f>
        <v>7060</v>
      </c>
      <c r="L74" s="73">
        <f>+L6+L8+L15+L31</f>
        <v>1594.4389999999999</v>
      </c>
      <c r="M74" s="174">
        <f t="shared" si="30"/>
        <v>0.22584121813031161</v>
      </c>
    </row>
    <row r="75" spans="1:13" ht="16.5" customHeight="1" x14ac:dyDescent="0.25">
      <c r="A75" s="71"/>
      <c r="B75" s="72" t="s">
        <v>141</v>
      </c>
      <c r="C75" s="73">
        <v>0</v>
      </c>
      <c r="D75" s="73">
        <v>0</v>
      </c>
      <c r="E75" s="73">
        <v>0</v>
      </c>
      <c r="F75" s="73">
        <f t="shared" ref="F75:G75" si="36">F7+F27+F32</f>
        <v>0</v>
      </c>
      <c r="G75" s="73">
        <f t="shared" si="36"/>
        <v>0</v>
      </c>
      <c r="H75" s="73">
        <f t="shared" ref="H75:J75" si="37">H7+H27+H32</f>
        <v>0</v>
      </c>
      <c r="I75" s="73">
        <f t="shared" si="37"/>
        <v>0</v>
      </c>
      <c r="J75" s="73">
        <f t="shared" si="37"/>
        <v>0</v>
      </c>
      <c r="K75" s="73">
        <f t="shared" ref="K75" si="38">K7+K27+K32</f>
        <v>0</v>
      </c>
      <c r="L75" s="73">
        <f>L7+L27+L32</f>
        <v>0</v>
      </c>
      <c r="M75" s="174"/>
    </row>
    <row r="76" spans="1:13" ht="16.5" customHeight="1" x14ac:dyDescent="0.25">
      <c r="A76" s="71"/>
      <c r="B76" s="72" t="s">
        <v>144</v>
      </c>
      <c r="C76" s="73">
        <v>799087</v>
      </c>
      <c r="D76" s="73">
        <v>0</v>
      </c>
      <c r="E76" s="73">
        <v>688280</v>
      </c>
      <c r="F76" s="73">
        <f t="shared" ref="F76:K76" si="39">F56</f>
        <v>764355.9</v>
      </c>
      <c r="G76" s="73">
        <f t="shared" si="39"/>
        <v>0</v>
      </c>
      <c r="H76" s="73">
        <f t="shared" si="39"/>
        <v>9612</v>
      </c>
      <c r="I76" s="73">
        <f t="shared" si="39"/>
        <v>-70030</v>
      </c>
      <c r="J76" s="73">
        <f t="shared" si="39"/>
        <v>0</v>
      </c>
      <c r="K76" s="73">
        <f t="shared" si="39"/>
        <v>703937.9</v>
      </c>
      <c r="L76" s="73">
        <f>L56</f>
        <v>375584.89899999998</v>
      </c>
      <c r="M76" s="174">
        <f t="shared" si="30"/>
        <v>0.53354834140909302</v>
      </c>
    </row>
    <row r="77" spans="1:13" ht="16.5" customHeight="1" x14ac:dyDescent="0.25">
      <c r="A77" s="83"/>
      <c r="B77" s="84" t="s">
        <v>59</v>
      </c>
      <c r="C77" s="38">
        <v>811374</v>
      </c>
      <c r="D77" s="38">
        <v>0</v>
      </c>
      <c r="E77" s="38">
        <v>695922</v>
      </c>
      <c r="F77" s="38">
        <f t="shared" ref="F77:G77" si="40">F33+F66</f>
        <v>771416</v>
      </c>
      <c r="G77" s="38">
        <f t="shared" si="40"/>
        <v>0</v>
      </c>
      <c r="H77" s="38">
        <f t="shared" ref="H77:J77" si="41">H33+H66</f>
        <v>9612</v>
      </c>
      <c r="I77" s="38">
        <f t="shared" si="41"/>
        <v>-70030</v>
      </c>
      <c r="J77" s="38">
        <f t="shared" si="41"/>
        <v>0</v>
      </c>
      <c r="K77" s="38">
        <f t="shared" ref="K77:L77" si="42">K33+K66</f>
        <v>710998</v>
      </c>
      <c r="L77" s="38">
        <f t="shared" si="42"/>
        <v>360319.516</v>
      </c>
      <c r="M77" s="175">
        <f t="shared" si="30"/>
        <v>0.50677992905746572</v>
      </c>
    </row>
    <row r="78" spans="1:13" ht="16.5" customHeight="1" x14ac:dyDescent="0.25">
      <c r="A78" s="76"/>
      <c r="B78" s="77" t="s">
        <v>142</v>
      </c>
      <c r="C78" s="78">
        <v>811374</v>
      </c>
      <c r="D78" s="78">
        <v>0</v>
      </c>
      <c r="E78" s="78">
        <v>693565</v>
      </c>
      <c r="F78" s="78">
        <f>+F34+F37+F38+F44+F45-F49</f>
        <v>771416</v>
      </c>
      <c r="G78" s="78">
        <f t="shared" ref="G78" si="43">+G34+G37+G38+G44+G45-G49</f>
        <v>0</v>
      </c>
      <c r="H78" s="78">
        <f>+H34+H37+H38+H44+H45-H49</f>
        <v>4612</v>
      </c>
      <c r="I78" s="78">
        <f t="shared" ref="I78:J78" si="44">+I34+I37+I38+I44+I45-I49</f>
        <v>-70030</v>
      </c>
      <c r="J78" s="78">
        <f t="shared" si="44"/>
        <v>0</v>
      </c>
      <c r="K78" s="78">
        <f t="shared" ref="K78:L78" si="45">+K34+K37+K38+K44+K45-K49</f>
        <v>705998</v>
      </c>
      <c r="L78" s="78">
        <f t="shared" si="45"/>
        <v>359081.78899999999</v>
      </c>
      <c r="M78" s="176">
        <f t="shared" si="30"/>
        <v>0.50861587284949816</v>
      </c>
    </row>
    <row r="79" spans="1:13" ht="16.5" customHeight="1" x14ac:dyDescent="0.25">
      <c r="A79" s="76"/>
      <c r="B79" s="77" t="s">
        <v>141</v>
      </c>
      <c r="C79" s="78">
        <v>0</v>
      </c>
      <c r="D79" s="78">
        <v>0</v>
      </c>
      <c r="E79" s="78">
        <v>2357</v>
      </c>
      <c r="F79" s="78">
        <f>F49+F50+F51+F52</f>
        <v>0</v>
      </c>
      <c r="G79" s="78">
        <f t="shared" ref="G79" si="46">G49+G50+G51+G52</f>
        <v>0</v>
      </c>
      <c r="H79" s="78">
        <f>H49+H50+H51+H52</f>
        <v>5000</v>
      </c>
      <c r="I79" s="78">
        <f t="shared" ref="I79:J79" si="47">I49+I50+I51+I52</f>
        <v>0</v>
      </c>
      <c r="J79" s="78">
        <f t="shared" si="47"/>
        <v>0</v>
      </c>
      <c r="K79" s="78">
        <f t="shared" ref="K79:L79" si="48">K49+K50+K51+K52</f>
        <v>5000</v>
      </c>
      <c r="L79" s="78">
        <f t="shared" si="48"/>
        <v>1237.7270000000001</v>
      </c>
      <c r="M79" s="176">
        <f t="shared" si="30"/>
        <v>0.24754540000000003</v>
      </c>
    </row>
    <row r="80" spans="1:13" ht="16.5" customHeight="1" x14ac:dyDescent="0.25">
      <c r="A80" s="76"/>
      <c r="B80" s="77" t="s">
        <v>144</v>
      </c>
      <c r="C80" s="78">
        <v>0</v>
      </c>
      <c r="D80" s="78">
        <v>0</v>
      </c>
      <c r="E80" s="78">
        <v>0</v>
      </c>
      <c r="F80" s="78">
        <f t="shared" ref="F80:G80" si="49">+F66</f>
        <v>0</v>
      </c>
      <c r="G80" s="78">
        <f t="shared" si="49"/>
        <v>0</v>
      </c>
      <c r="H80" s="78">
        <f t="shared" ref="H80:J80" si="50">+H66</f>
        <v>0</v>
      </c>
      <c r="I80" s="78">
        <f t="shared" si="50"/>
        <v>0</v>
      </c>
      <c r="J80" s="78">
        <f t="shared" si="50"/>
        <v>0</v>
      </c>
      <c r="K80" s="78">
        <f t="shared" ref="K80:L80" si="51">+K66</f>
        <v>0</v>
      </c>
      <c r="L80" s="78">
        <f t="shared" si="51"/>
        <v>0</v>
      </c>
      <c r="M80" s="176"/>
    </row>
    <row r="81" spans="1:13" ht="16.5" customHeight="1" x14ac:dyDescent="0.25">
      <c r="A81" s="85"/>
      <c r="B81" s="86" t="s">
        <v>55</v>
      </c>
      <c r="C81" s="87">
        <v>0</v>
      </c>
      <c r="D81" s="87">
        <v>0</v>
      </c>
      <c r="E81" s="87">
        <v>4104</v>
      </c>
      <c r="F81" s="87">
        <f>+F73-F77</f>
        <v>-9.9999999976716936E-2</v>
      </c>
      <c r="G81" s="87">
        <f t="shared" ref="G81:G82" si="52">+G73-G77</f>
        <v>0</v>
      </c>
      <c r="H81" s="87">
        <f t="shared" ref="H81:J81" si="53">+H73-H77</f>
        <v>0</v>
      </c>
      <c r="I81" s="87">
        <f t="shared" si="53"/>
        <v>0</v>
      </c>
      <c r="J81" s="87">
        <f t="shared" si="53"/>
        <v>0</v>
      </c>
      <c r="K81" s="87">
        <f t="shared" ref="K81:L81" si="54">+K73-K77</f>
        <v>-9.9999999976716936E-2</v>
      </c>
      <c r="L81" s="87">
        <f t="shared" si="54"/>
        <v>16859.821999999986</v>
      </c>
      <c r="M81" s="177"/>
    </row>
    <row r="82" spans="1:13" ht="16.5" customHeight="1" x14ac:dyDescent="0.25">
      <c r="A82" s="95"/>
      <c r="B82" s="89" t="s">
        <v>140</v>
      </c>
      <c r="C82" s="90">
        <v>-799087</v>
      </c>
      <c r="D82" s="90">
        <v>0</v>
      </c>
      <c r="E82" s="90">
        <v>-681819</v>
      </c>
      <c r="F82" s="90">
        <f>+F74-F78</f>
        <v>-764356</v>
      </c>
      <c r="G82" s="90">
        <f t="shared" si="52"/>
        <v>0</v>
      </c>
      <c r="H82" s="90">
        <f>+H74-H78</f>
        <v>-4612</v>
      </c>
      <c r="I82" s="90">
        <f t="shared" ref="I82:J82" si="55">+I74-I78</f>
        <v>70030</v>
      </c>
      <c r="J82" s="90">
        <f t="shared" si="55"/>
        <v>0</v>
      </c>
      <c r="K82" s="90">
        <f t="shared" ref="K82:L82" si="56">+K74-K78</f>
        <v>-698938</v>
      </c>
      <c r="L82" s="90">
        <f t="shared" si="56"/>
        <v>-357487.35</v>
      </c>
      <c r="M82" s="178">
        <f>L82/K82</f>
        <v>0.51147219066641103</v>
      </c>
    </row>
    <row r="83" spans="1:13" ht="16.5" customHeight="1" x14ac:dyDescent="0.25">
      <c r="A83" s="95"/>
      <c r="B83" s="89" t="s">
        <v>143</v>
      </c>
      <c r="C83" s="90">
        <v>0</v>
      </c>
      <c r="D83" s="90">
        <v>0</v>
      </c>
      <c r="E83" s="90">
        <v>-2357</v>
      </c>
      <c r="F83" s="90">
        <f>F75-F79</f>
        <v>0</v>
      </c>
      <c r="G83" s="90">
        <f t="shared" ref="G83:G84" si="57">G75-G79</f>
        <v>0</v>
      </c>
      <c r="H83" s="90">
        <f t="shared" ref="H83:J83" si="58">H75-H79</f>
        <v>-5000</v>
      </c>
      <c r="I83" s="90">
        <f t="shared" si="58"/>
        <v>0</v>
      </c>
      <c r="J83" s="90">
        <f t="shared" si="58"/>
        <v>0</v>
      </c>
      <c r="K83" s="90">
        <f t="shared" ref="K83:L83" si="59">K75-K79</f>
        <v>-5000</v>
      </c>
      <c r="L83" s="90">
        <f t="shared" si="59"/>
        <v>-1237.7270000000001</v>
      </c>
      <c r="M83" s="178">
        <f>L83/K83</f>
        <v>0.24754540000000003</v>
      </c>
    </row>
    <row r="84" spans="1:13" ht="16.5" customHeight="1" x14ac:dyDescent="0.25">
      <c r="A84" s="95"/>
      <c r="B84" s="89" t="s">
        <v>144</v>
      </c>
      <c r="C84" s="90">
        <v>799087</v>
      </c>
      <c r="D84" s="90">
        <v>0</v>
      </c>
      <c r="E84" s="90">
        <v>688280</v>
      </c>
      <c r="F84" s="90">
        <f>F76-F80</f>
        <v>764355.9</v>
      </c>
      <c r="G84" s="90">
        <f t="shared" si="57"/>
        <v>0</v>
      </c>
      <c r="H84" s="90">
        <f t="shared" ref="H84:J84" si="60">H76-H80</f>
        <v>9612</v>
      </c>
      <c r="I84" s="90">
        <f t="shared" si="60"/>
        <v>-70030</v>
      </c>
      <c r="J84" s="90">
        <f t="shared" si="60"/>
        <v>0</v>
      </c>
      <c r="K84" s="90">
        <f t="shared" ref="K84:L84" si="61">K76-K80</f>
        <v>703937.9</v>
      </c>
      <c r="L84" s="90">
        <f t="shared" si="61"/>
        <v>375584.89899999998</v>
      </c>
      <c r="M84" s="178">
        <f>L84/K84</f>
        <v>0.53354834140909302</v>
      </c>
    </row>
    <row r="85" spans="1:13" x14ac:dyDescent="0.25">
      <c r="F85" s="9">
        <f>SUM(F61:F62)</f>
        <v>0</v>
      </c>
      <c r="G85" s="40">
        <f>SUM(G61:G62)</f>
        <v>0</v>
      </c>
      <c r="H85" s="40">
        <f>SUM(H61:H62)</f>
        <v>14143</v>
      </c>
      <c r="I85" s="40">
        <f>SUM(I58:I59)</f>
        <v>0</v>
      </c>
      <c r="J85" s="40">
        <f>SUM(J58:J59)</f>
        <v>0</v>
      </c>
      <c r="K85" s="40">
        <f>SUM(K61:K62)</f>
        <v>14143</v>
      </c>
    </row>
  </sheetData>
  <mergeCells count="6">
    <mergeCell ref="L1:M1"/>
    <mergeCell ref="F1:K1"/>
    <mergeCell ref="E1:E2"/>
    <mergeCell ref="C1:D1"/>
    <mergeCell ref="A1:A2"/>
    <mergeCell ref="B1:B2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61" orientation="portrait" r:id="rId1"/>
  <headerFooter>
    <oddHeader>&amp;C&amp;"Times New Roman,Félkövér"&amp;10Szentendre Város Önkormányzat összevont bevételei és kiadásai mérlegszerűen 
2016. év&amp;R&amp;"Times New Roman,Normál"&amp;10 1b. sz. melléklet
EFt</oddHead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121"/>
  <sheetViews>
    <sheetView view="pageBreakPreview" zoomScale="90" zoomScaleNormal="90" zoomScaleSheetLayoutView="90" workbookViewId="0">
      <pane xSplit="2" ySplit="2" topLeftCell="H69" activePane="bottomRight" state="frozen"/>
      <selection activeCell="B6" sqref="B6"/>
      <selection pane="topRight" activeCell="B6" sqref="B6"/>
      <selection pane="bottomLeft" activeCell="B6" sqref="B6"/>
      <selection pane="bottomRight" activeCell="H84" sqref="H84:L84"/>
    </sheetView>
  </sheetViews>
  <sheetFormatPr defaultColWidth="9.28515625" defaultRowHeight="15" x14ac:dyDescent="0.25"/>
  <cols>
    <col min="1" max="1" width="7.85546875" style="14" customWidth="1"/>
    <col min="2" max="2" width="68.5703125" style="14" customWidth="1"/>
    <col min="3" max="4" width="14" style="9" hidden="1" customWidth="1"/>
    <col min="5" max="5" width="14" style="14" hidden="1" customWidth="1"/>
    <col min="6" max="7" width="14" style="18" hidden="1" customWidth="1"/>
    <col min="8" max="13" width="14.7109375" style="17" customWidth="1"/>
    <col min="14" max="14" width="13.42578125" style="17" hidden="1" customWidth="1"/>
    <col min="15" max="15" width="9.28515625" style="155" hidden="1" customWidth="1"/>
    <col min="16" max="17" width="9.28515625" style="14" customWidth="1"/>
    <col min="18" max="18" width="17.85546875" style="14" customWidth="1"/>
    <col min="19" max="26" width="9.28515625" style="14" customWidth="1"/>
    <col min="27" max="16384" width="9.28515625" style="14"/>
  </cols>
  <sheetData>
    <row r="1" spans="1:15" ht="29.25" customHeight="1" x14ac:dyDescent="0.25">
      <c r="A1" s="201"/>
      <c r="B1" s="202" t="s">
        <v>137</v>
      </c>
      <c r="C1" s="200" t="s">
        <v>162</v>
      </c>
      <c r="D1" s="200"/>
      <c r="E1" s="200"/>
      <c r="F1" s="200"/>
      <c r="G1" s="193" t="s">
        <v>176</v>
      </c>
      <c r="H1" s="200" t="s">
        <v>173</v>
      </c>
      <c r="I1" s="200"/>
      <c r="J1" s="200"/>
      <c r="K1" s="200"/>
      <c r="L1" s="200"/>
      <c r="M1" s="200"/>
      <c r="N1" s="195" t="s">
        <v>187</v>
      </c>
      <c r="O1" s="196"/>
    </row>
    <row r="2" spans="1:15" s="15" customFormat="1" ht="46.5" customHeight="1" x14ac:dyDescent="0.25">
      <c r="A2" s="201"/>
      <c r="B2" s="202"/>
      <c r="C2" s="39" t="s">
        <v>9</v>
      </c>
      <c r="D2" s="39" t="s">
        <v>166</v>
      </c>
      <c r="E2" s="39" t="s">
        <v>8</v>
      </c>
      <c r="F2" s="39" t="s">
        <v>167</v>
      </c>
      <c r="G2" s="193"/>
      <c r="H2" s="39" t="s">
        <v>9</v>
      </c>
      <c r="I2" s="39" t="s">
        <v>8</v>
      </c>
      <c r="J2" s="39" t="s">
        <v>166</v>
      </c>
      <c r="K2" s="181" t="s">
        <v>192</v>
      </c>
      <c r="L2" s="183" t="s">
        <v>193</v>
      </c>
      <c r="M2" s="39" t="s">
        <v>186</v>
      </c>
      <c r="N2" s="159" t="s">
        <v>190</v>
      </c>
      <c r="O2" s="159" t="s">
        <v>191</v>
      </c>
    </row>
    <row r="3" spans="1:15" ht="16.5" customHeight="1" x14ac:dyDescent="0.25">
      <c r="A3" s="97" t="s">
        <v>0</v>
      </c>
      <c r="B3" s="98" t="s">
        <v>91</v>
      </c>
      <c r="C3" s="99">
        <f t="shared" ref="C3:F3" si="0">C6+C7+C8+C15+C27+C31+C32</f>
        <v>525400</v>
      </c>
      <c r="D3" s="99">
        <f t="shared" si="0"/>
        <v>0</v>
      </c>
      <c r="E3" s="99">
        <f t="shared" si="0"/>
        <v>0</v>
      </c>
      <c r="F3" s="99">
        <f t="shared" si="0"/>
        <v>525400</v>
      </c>
      <c r="G3" s="99">
        <f t="shared" ref="G3:M3" si="1">G6+G7+G8+G15+G27+G31+G32</f>
        <v>552386</v>
      </c>
      <c r="H3" s="99">
        <f t="shared" si="1"/>
        <v>524800</v>
      </c>
      <c r="I3" s="99">
        <f t="shared" si="1"/>
        <v>0</v>
      </c>
      <c r="J3" s="99">
        <f t="shared" si="1"/>
        <v>0</v>
      </c>
      <c r="K3" s="99">
        <f t="shared" si="1"/>
        <v>1678</v>
      </c>
      <c r="L3" s="99">
        <f t="shared" si="1"/>
        <v>0</v>
      </c>
      <c r="M3" s="99">
        <f t="shared" si="1"/>
        <v>526478</v>
      </c>
      <c r="N3" s="99">
        <f t="shared" ref="N3" si="2">N6+N7+N8+N15+N27+N31+N32</f>
        <v>248626.08600000001</v>
      </c>
      <c r="O3" s="161">
        <f t="shared" ref="O3:O6" si="3">N3/M3</f>
        <v>0.472244017793716</v>
      </c>
    </row>
    <row r="4" spans="1:15" ht="16.5" customHeight="1" x14ac:dyDescent="0.25">
      <c r="A4" s="100" t="s">
        <v>92</v>
      </c>
      <c r="B4" s="100" t="s">
        <v>12</v>
      </c>
      <c r="C4" s="101"/>
      <c r="D4" s="101"/>
      <c r="E4" s="101"/>
      <c r="F4" s="101">
        <f>SUM(C4:E4)</f>
        <v>0</v>
      </c>
      <c r="G4" s="101"/>
      <c r="H4" s="101"/>
      <c r="I4" s="101"/>
      <c r="J4" s="101"/>
      <c r="K4" s="101"/>
      <c r="L4" s="101"/>
      <c r="M4" s="101"/>
      <c r="N4" s="101"/>
      <c r="O4" s="162"/>
    </row>
    <row r="5" spans="1:15" ht="16.5" customHeight="1" x14ac:dyDescent="0.25">
      <c r="A5" s="100" t="s">
        <v>163</v>
      </c>
      <c r="B5" s="100" t="s">
        <v>164</v>
      </c>
      <c r="C5" s="101">
        <v>491400</v>
      </c>
      <c r="D5" s="101"/>
      <c r="E5" s="101"/>
      <c r="F5" s="101">
        <f>SUM(C5:E5)</f>
        <v>491400</v>
      </c>
      <c r="G5" s="101">
        <v>508743</v>
      </c>
      <c r="H5" s="101">
        <v>493400</v>
      </c>
      <c r="I5" s="101"/>
      <c r="J5" s="101"/>
      <c r="K5" s="101"/>
      <c r="L5" s="101"/>
      <c r="M5" s="101">
        <f>SUM(H5:L5)</f>
        <v>493400</v>
      </c>
      <c r="N5" s="101">
        <v>233366.3</v>
      </c>
      <c r="O5" s="162">
        <f t="shared" si="3"/>
        <v>0.4729758816376165</v>
      </c>
    </row>
    <row r="6" spans="1:15" ht="16.5" customHeight="1" x14ac:dyDescent="0.25">
      <c r="A6" s="102" t="s">
        <v>93</v>
      </c>
      <c r="B6" s="102" t="s">
        <v>13</v>
      </c>
      <c r="C6" s="103">
        <f t="shared" ref="C6:F6" si="4">SUM(C4:C5)</f>
        <v>491400</v>
      </c>
      <c r="D6" s="103">
        <f t="shared" si="4"/>
        <v>0</v>
      </c>
      <c r="E6" s="103">
        <f t="shared" si="4"/>
        <v>0</v>
      </c>
      <c r="F6" s="103">
        <f t="shared" si="4"/>
        <v>491400</v>
      </c>
      <c r="G6" s="103">
        <f t="shared" ref="G6:M6" si="5">SUM(G4:G5)</f>
        <v>508743</v>
      </c>
      <c r="H6" s="103">
        <f t="shared" si="5"/>
        <v>493400</v>
      </c>
      <c r="I6" s="103">
        <f t="shared" si="5"/>
        <v>0</v>
      </c>
      <c r="J6" s="103">
        <f t="shared" si="5"/>
        <v>0</v>
      </c>
      <c r="K6" s="103">
        <f t="shared" si="5"/>
        <v>0</v>
      </c>
      <c r="L6" s="103">
        <f t="shared" si="5"/>
        <v>0</v>
      </c>
      <c r="M6" s="103">
        <f t="shared" si="5"/>
        <v>493400</v>
      </c>
      <c r="N6" s="103">
        <f t="shared" ref="N6" si="6">SUM(N4:N5)</f>
        <v>233366.3</v>
      </c>
      <c r="O6" s="163">
        <f t="shared" si="3"/>
        <v>0.4729758816376165</v>
      </c>
    </row>
    <row r="7" spans="1:15" ht="16.5" customHeight="1" x14ac:dyDescent="0.25">
      <c r="A7" s="102" t="s">
        <v>94</v>
      </c>
      <c r="B7" s="102" t="s">
        <v>14</v>
      </c>
      <c r="C7" s="103"/>
      <c r="D7" s="103">
        <f>[3]összefogl!$C$50</f>
        <v>1200</v>
      </c>
      <c r="E7" s="103"/>
      <c r="F7" s="103">
        <f>SUM(C7:E7)</f>
        <v>1200</v>
      </c>
      <c r="G7" s="103">
        <v>3982</v>
      </c>
      <c r="H7" s="103"/>
      <c r="I7" s="103"/>
      <c r="J7" s="103"/>
      <c r="K7" s="103"/>
      <c r="L7" s="103"/>
      <c r="M7" s="103"/>
      <c r="N7" s="103"/>
      <c r="O7" s="164"/>
    </row>
    <row r="8" spans="1:15" ht="16.5" customHeight="1" x14ac:dyDescent="0.25">
      <c r="A8" s="102" t="s">
        <v>95</v>
      </c>
      <c r="B8" s="102" t="s">
        <v>4</v>
      </c>
      <c r="C8" s="103">
        <f t="shared" ref="C8:H8" si="7">SUM(C9,C10,C14)</f>
        <v>0</v>
      </c>
      <c r="D8" s="103">
        <f t="shared" si="7"/>
        <v>0</v>
      </c>
      <c r="E8" s="103">
        <f t="shared" si="7"/>
        <v>0</v>
      </c>
      <c r="F8" s="103">
        <f t="shared" si="7"/>
        <v>0</v>
      </c>
      <c r="G8" s="103">
        <f t="shared" si="7"/>
        <v>0</v>
      </c>
      <c r="H8" s="103">
        <f t="shared" si="7"/>
        <v>0</v>
      </c>
      <c r="I8" s="103">
        <f t="shared" ref="I8:N8" si="8">I9+I11+I12+I13+I14</f>
        <v>0</v>
      </c>
      <c r="J8" s="103">
        <f t="shared" si="8"/>
        <v>0</v>
      </c>
      <c r="K8" s="103">
        <f t="shared" si="8"/>
        <v>0</v>
      </c>
      <c r="L8" s="103">
        <f t="shared" si="8"/>
        <v>0</v>
      </c>
      <c r="M8" s="103">
        <f t="shared" si="8"/>
        <v>0</v>
      </c>
      <c r="N8" s="103">
        <f t="shared" si="8"/>
        <v>0</v>
      </c>
      <c r="O8" s="163"/>
    </row>
    <row r="9" spans="1:15" ht="16.5" customHeight="1" x14ac:dyDescent="0.25">
      <c r="A9" s="100" t="s">
        <v>96</v>
      </c>
      <c r="B9" s="105" t="s">
        <v>15</v>
      </c>
      <c r="C9" s="101"/>
      <c r="D9" s="101"/>
      <c r="E9" s="101"/>
      <c r="F9" s="101">
        <f>SUM(C9:E9)</f>
        <v>0</v>
      </c>
      <c r="G9" s="101"/>
      <c r="H9" s="101"/>
      <c r="I9" s="101"/>
      <c r="J9" s="101"/>
      <c r="K9" s="101"/>
      <c r="L9" s="101"/>
      <c r="M9" s="101"/>
      <c r="N9" s="101"/>
      <c r="O9" s="162"/>
    </row>
    <row r="10" spans="1:15" ht="16.5" customHeight="1" x14ac:dyDescent="0.25">
      <c r="A10" s="100" t="s">
        <v>125</v>
      </c>
      <c r="B10" s="105" t="s">
        <v>126</v>
      </c>
      <c r="C10" s="101">
        <f>SUM(C11:C13)</f>
        <v>0</v>
      </c>
      <c r="D10" s="101"/>
      <c r="E10" s="101">
        <f>SUM(E11:E13)</f>
        <v>0</v>
      </c>
      <c r="F10" s="101">
        <f>SUM(F11:F13)</f>
        <v>0</v>
      </c>
      <c r="G10" s="101"/>
      <c r="H10" s="101">
        <f t="shared" ref="H10:N10" si="9">SUM(H11:H13)</f>
        <v>0</v>
      </c>
      <c r="I10" s="101">
        <f t="shared" si="9"/>
        <v>0</v>
      </c>
      <c r="J10" s="101">
        <f t="shared" si="9"/>
        <v>0</v>
      </c>
      <c r="K10" s="101">
        <f t="shared" si="9"/>
        <v>0</v>
      </c>
      <c r="L10" s="101">
        <f t="shared" si="9"/>
        <v>0</v>
      </c>
      <c r="M10" s="101">
        <f t="shared" si="9"/>
        <v>0</v>
      </c>
      <c r="N10" s="101">
        <f t="shared" si="9"/>
        <v>0</v>
      </c>
      <c r="O10" s="162"/>
    </row>
    <row r="11" spans="1:15" ht="16.5" customHeight="1" x14ac:dyDescent="0.25">
      <c r="A11" s="100" t="s">
        <v>97</v>
      </c>
      <c r="B11" s="105" t="s">
        <v>16</v>
      </c>
      <c r="C11" s="101"/>
      <c r="D11" s="101"/>
      <c r="E11" s="101"/>
      <c r="F11" s="101">
        <f>SUM(C11:E11)</f>
        <v>0</v>
      </c>
      <c r="G11" s="101"/>
      <c r="H11" s="101"/>
      <c r="I11" s="101"/>
      <c r="J11" s="101"/>
      <c r="K11" s="101"/>
      <c r="L11" s="101"/>
      <c r="M11" s="101"/>
      <c r="N11" s="101"/>
      <c r="O11" s="162"/>
    </row>
    <row r="12" spans="1:15" ht="16.5" customHeight="1" x14ac:dyDescent="0.25">
      <c r="A12" s="100" t="s">
        <v>98</v>
      </c>
      <c r="B12" s="105" t="s">
        <v>17</v>
      </c>
      <c r="C12" s="101"/>
      <c r="D12" s="101"/>
      <c r="E12" s="101"/>
      <c r="F12" s="101">
        <f>SUM(C12:E12)</f>
        <v>0</v>
      </c>
      <c r="G12" s="101"/>
      <c r="H12" s="101"/>
      <c r="I12" s="101"/>
      <c r="J12" s="101"/>
      <c r="K12" s="101"/>
      <c r="L12" s="101"/>
      <c r="M12" s="101"/>
      <c r="N12" s="101"/>
      <c r="O12" s="162"/>
    </row>
    <row r="13" spans="1:15" ht="16.5" customHeight="1" x14ac:dyDescent="0.25">
      <c r="A13" s="100" t="s">
        <v>99</v>
      </c>
      <c r="B13" s="100" t="s">
        <v>18</v>
      </c>
      <c r="C13" s="101"/>
      <c r="D13" s="101"/>
      <c r="E13" s="101"/>
      <c r="F13" s="101">
        <f>SUM(C13:E13)</f>
        <v>0</v>
      </c>
      <c r="G13" s="101"/>
      <c r="H13" s="101"/>
      <c r="I13" s="101"/>
      <c r="J13" s="101"/>
      <c r="K13" s="101"/>
      <c r="L13" s="101"/>
      <c r="M13" s="101"/>
      <c r="N13" s="101"/>
      <c r="O13" s="162"/>
    </row>
    <row r="14" spans="1:15" ht="16.5" customHeight="1" x14ac:dyDescent="0.25">
      <c r="A14" s="100" t="s">
        <v>100</v>
      </c>
      <c r="B14" s="100" t="s">
        <v>19</v>
      </c>
      <c r="C14" s="101"/>
      <c r="D14" s="101"/>
      <c r="E14" s="101"/>
      <c r="F14" s="101">
        <f>SUM(C14:E14)</f>
        <v>0</v>
      </c>
      <c r="G14" s="101"/>
      <c r="H14" s="101"/>
      <c r="I14" s="101"/>
      <c r="J14" s="101"/>
      <c r="K14" s="101"/>
      <c r="L14" s="101"/>
      <c r="M14" s="101"/>
      <c r="N14" s="101"/>
      <c r="O14" s="162"/>
    </row>
    <row r="15" spans="1:15" ht="16.5" customHeight="1" x14ac:dyDescent="0.25">
      <c r="A15" s="102" t="s">
        <v>101</v>
      </c>
      <c r="B15" s="102" t="s">
        <v>20</v>
      </c>
      <c r="C15" s="103">
        <f t="shared" ref="C15:F15" si="10">SUM(C16:C26)</f>
        <v>34000</v>
      </c>
      <c r="D15" s="103">
        <f t="shared" si="10"/>
        <v>-6200</v>
      </c>
      <c r="E15" s="103">
        <f t="shared" si="10"/>
        <v>0</v>
      </c>
      <c r="F15" s="103">
        <f t="shared" si="10"/>
        <v>27800</v>
      </c>
      <c r="G15" s="103">
        <f t="shared" ref="G15:M15" si="11">SUM(G16:G26)</f>
        <v>26193</v>
      </c>
      <c r="H15" s="103">
        <f t="shared" si="11"/>
        <v>31400</v>
      </c>
      <c r="I15" s="103">
        <f t="shared" si="11"/>
        <v>0</v>
      </c>
      <c r="J15" s="103">
        <f t="shared" si="11"/>
        <v>0</v>
      </c>
      <c r="K15" s="103">
        <f t="shared" si="11"/>
        <v>0</v>
      </c>
      <c r="L15" s="103">
        <f t="shared" si="11"/>
        <v>0</v>
      </c>
      <c r="M15" s="103">
        <f t="shared" si="11"/>
        <v>31400</v>
      </c>
      <c r="N15" s="103">
        <f t="shared" ref="N15" si="12">SUM(N16:N26)</f>
        <v>13581.612999999998</v>
      </c>
      <c r="O15" s="165">
        <f>N15/M15</f>
        <v>0.43253544585987252</v>
      </c>
    </row>
    <row r="16" spans="1:15" ht="16.5" hidden="1" customHeight="1" x14ac:dyDescent="0.25">
      <c r="A16" s="105" t="s">
        <v>102</v>
      </c>
      <c r="B16" s="106" t="s">
        <v>21</v>
      </c>
      <c r="C16" s="107"/>
      <c r="D16" s="107"/>
      <c r="E16" s="107"/>
      <c r="F16" s="107">
        <f>SUM(C16:E16)</f>
        <v>0</v>
      </c>
      <c r="G16" s="107"/>
      <c r="H16" s="107"/>
      <c r="I16" s="107"/>
      <c r="J16" s="107"/>
      <c r="K16" s="107"/>
      <c r="L16" s="107"/>
      <c r="M16" s="107"/>
      <c r="N16" s="107"/>
      <c r="O16" s="162"/>
    </row>
    <row r="17" spans="1:15" ht="16.5" hidden="1" customHeight="1" x14ac:dyDescent="0.25">
      <c r="A17" s="105" t="s">
        <v>103</v>
      </c>
      <c r="B17" s="106" t="s">
        <v>22</v>
      </c>
      <c r="C17" s="107"/>
      <c r="D17" s="101">
        <f>[3]összefogl!$E$50</f>
        <v>-6200</v>
      </c>
      <c r="E17" s="107"/>
      <c r="F17" s="101">
        <f t="shared" ref="F17:F46" si="13">SUM(C17:E17)</f>
        <v>-6200</v>
      </c>
      <c r="G17" s="101">
        <v>21572</v>
      </c>
      <c r="H17" s="107"/>
      <c r="I17" s="101"/>
      <c r="J17" s="101"/>
      <c r="K17" s="101"/>
      <c r="L17" s="101"/>
      <c r="M17" s="101"/>
      <c r="N17" s="101">
        <v>10690.147999999999</v>
      </c>
      <c r="O17" s="162"/>
    </row>
    <row r="18" spans="1:15" ht="16.5" hidden="1" customHeight="1" x14ac:dyDescent="0.25">
      <c r="A18" s="105" t="s">
        <v>104</v>
      </c>
      <c r="B18" s="106" t="s">
        <v>23</v>
      </c>
      <c r="C18" s="107"/>
      <c r="D18" s="101"/>
      <c r="E18" s="107"/>
      <c r="F18" s="101">
        <f t="shared" si="13"/>
        <v>0</v>
      </c>
      <c r="G18" s="101">
        <v>3965</v>
      </c>
      <c r="H18" s="107"/>
      <c r="I18" s="101"/>
      <c r="J18" s="101"/>
      <c r="K18" s="101"/>
      <c r="L18" s="101"/>
      <c r="M18" s="101"/>
      <c r="N18" s="101">
        <v>1572.8579999999999</v>
      </c>
      <c r="O18" s="162"/>
    </row>
    <row r="19" spans="1:15" ht="16.5" hidden="1" customHeight="1" x14ac:dyDescent="0.25">
      <c r="A19" s="105" t="s">
        <v>105</v>
      </c>
      <c r="B19" s="106" t="s">
        <v>24</v>
      </c>
      <c r="C19" s="107"/>
      <c r="D19" s="101"/>
      <c r="E19" s="107"/>
      <c r="F19" s="101">
        <f t="shared" si="13"/>
        <v>0</v>
      </c>
      <c r="G19" s="101"/>
      <c r="H19" s="107"/>
      <c r="I19" s="101"/>
      <c r="J19" s="101"/>
      <c r="K19" s="101"/>
      <c r="L19" s="101"/>
      <c r="M19" s="101"/>
      <c r="N19" s="101"/>
      <c r="O19" s="162"/>
    </row>
    <row r="20" spans="1:15" ht="16.5" hidden="1" customHeight="1" x14ac:dyDescent="0.25">
      <c r="A20" s="105" t="s">
        <v>106</v>
      </c>
      <c r="B20" s="106" t="s">
        <v>25</v>
      </c>
      <c r="C20" s="107"/>
      <c r="D20" s="101"/>
      <c r="E20" s="107"/>
      <c r="F20" s="101">
        <f t="shared" si="13"/>
        <v>0</v>
      </c>
      <c r="G20" s="101"/>
      <c r="H20" s="107"/>
      <c r="I20" s="101"/>
      <c r="J20" s="101"/>
      <c r="K20" s="101"/>
      <c r="L20" s="101"/>
      <c r="M20" s="101"/>
      <c r="N20" s="101"/>
      <c r="O20" s="162"/>
    </row>
    <row r="21" spans="1:15" ht="16.5" hidden="1" customHeight="1" x14ac:dyDescent="0.25">
      <c r="A21" s="105" t="s">
        <v>107</v>
      </c>
      <c r="B21" s="106" t="s">
        <v>26</v>
      </c>
      <c r="C21" s="107"/>
      <c r="D21" s="101"/>
      <c r="E21" s="107"/>
      <c r="F21" s="101">
        <f t="shared" si="13"/>
        <v>0</v>
      </c>
      <c r="G21" s="101"/>
      <c r="H21" s="107"/>
      <c r="I21" s="101"/>
      <c r="J21" s="101"/>
      <c r="K21" s="101"/>
      <c r="L21" s="101"/>
      <c r="M21" s="101"/>
      <c r="N21" s="101"/>
      <c r="O21" s="162"/>
    </row>
    <row r="22" spans="1:15" ht="16.5" hidden="1" customHeight="1" x14ac:dyDescent="0.25">
      <c r="A22" s="105" t="s">
        <v>108</v>
      </c>
      <c r="B22" s="106" t="s">
        <v>27</v>
      </c>
      <c r="C22" s="107"/>
      <c r="D22" s="101"/>
      <c r="E22" s="107"/>
      <c r="F22" s="101">
        <f t="shared" si="13"/>
        <v>0</v>
      </c>
      <c r="G22" s="101"/>
      <c r="H22" s="107"/>
      <c r="I22" s="101"/>
      <c r="J22" s="101"/>
      <c r="K22" s="101"/>
      <c r="L22" s="101"/>
      <c r="M22" s="101"/>
      <c r="N22" s="101"/>
      <c r="O22" s="162"/>
    </row>
    <row r="23" spans="1:15" ht="16.5" hidden="1" customHeight="1" x14ac:dyDescent="0.25">
      <c r="A23" s="105" t="s">
        <v>109</v>
      </c>
      <c r="B23" s="106" t="s">
        <v>28</v>
      </c>
      <c r="C23" s="107"/>
      <c r="D23" s="101"/>
      <c r="E23" s="107"/>
      <c r="F23" s="101">
        <f t="shared" si="13"/>
        <v>0</v>
      </c>
      <c r="G23" s="101">
        <v>183</v>
      </c>
      <c r="H23" s="107"/>
      <c r="I23" s="101"/>
      <c r="J23" s="101"/>
      <c r="K23" s="101"/>
      <c r="L23" s="101"/>
      <c r="M23" s="101"/>
      <c r="N23" s="101">
        <v>98.647999999999996</v>
      </c>
      <c r="O23" s="162"/>
    </row>
    <row r="24" spans="1:15" ht="16.5" hidden="1" customHeight="1" x14ac:dyDescent="0.25">
      <c r="A24" s="105" t="s">
        <v>110</v>
      </c>
      <c r="B24" s="106" t="s">
        <v>29</v>
      </c>
      <c r="C24" s="107"/>
      <c r="D24" s="101"/>
      <c r="E24" s="107"/>
      <c r="F24" s="101">
        <f t="shared" si="13"/>
        <v>0</v>
      </c>
      <c r="G24" s="101"/>
      <c r="H24" s="107"/>
      <c r="I24" s="101"/>
      <c r="J24" s="101"/>
      <c r="K24" s="101"/>
      <c r="L24" s="101"/>
      <c r="M24" s="101"/>
      <c r="N24" s="101"/>
      <c r="O24" s="162"/>
    </row>
    <row r="25" spans="1:15" ht="16.5" hidden="1" customHeight="1" x14ac:dyDescent="0.25">
      <c r="A25" s="105" t="s">
        <v>111</v>
      </c>
      <c r="B25" s="54" t="s">
        <v>177</v>
      </c>
      <c r="C25" s="107"/>
      <c r="D25" s="101"/>
      <c r="E25" s="107"/>
      <c r="F25" s="101">
        <f t="shared" si="13"/>
        <v>0</v>
      </c>
      <c r="G25" s="101"/>
      <c r="H25" s="107"/>
      <c r="I25" s="101"/>
      <c r="J25" s="101"/>
      <c r="K25" s="101"/>
      <c r="L25" s="101"/>
      <c r="M25" s="101"/>
      <c r="N25" s="101">
        <v>31.068999999999999</v>
      </c>
      <c r="O25" s="162"/>
    </row>
    <row r="26" spans="1:15" ht="16.5" hidden="1" customHeight="1" x14ac:dyDescent="0.25">
      <c r="A26" s="105" t="s">
        <v>165</v>
      </c>
      <c r="B26" s="106" t="s">
        <v>30</v>
      </c>
      <c r="C26" s="107">
        <v>34000</v>
      </c>
      <c r="D26" s="101"/>
      <c r="E26" s="107"/>
      <c r="F26" s="101">
        <f t="shared" si="13"/>
        <v>34000</v>
      </c>
      <c r="G26" s="101">
        <v>473</v>
      </c>
      <c r="H26" s="107">
        <v>31400</v>
      </c>
      <c r="I26" s="101"/>
      <c r="J26" s="101"/>
      <c r="K26" s="101"/>
      <c r="L26" s="101"/>
      <c r="M26" s="101">
        <f>SUM(H26:K26)</f>
        <v>31400</v>
      </c>
      <c r="N26" s="101">
        <v>1188.8900000000001</v>
      </c>
      <c r="O26" s="162">
        <f t="shared" ref="O26" si="14">N26/M26</f>
        <v>3.7862738853503185E-2</v>
      </c>
    </row>
    <row r="27" spans="1:15" ht="16.5" customHeight="1" x14ac:dyDescent="0.25">
      <c r="A27" s="102" t="s">
        <v>112</v>
      </c>
      <c r="B27" s="102" t="s">
        <v>31</v>
      </c>
      <c r="C27" s="103">
        <f t="shared" ref="C27:F27" si="15">C28+C29+C30</f>
        <v>0</v>
      </c>
      <c r="D27" s="103">
        <f t="shared" si="15"/>
        <v>0</v>
      </c>
      <c r="E27" s="103">
        <f t="shared" si="15"/>
        <v>0</v>
      </c>
      <c r="F27" s="103">
        <f t="shared" si="15"/>
        <v>0</v>
      </c>
      <c r="G27" s="103">
        <f t="shared" ref="G27:M27" si="16">G28+G29+G30</f>
        <v>0</v>
      </c>
      <c r="H27" s="103">
        <f t="shared" si="16"/>
        <v>0</v>
      </c>
      <c r="I27" s="103">
        <f t="shared" si="16"/>
        <v>0</v>
      </c>
      <c r="J27" s="103">
        <f t="shared" si="16"/>
        <v>0</v>
      </c>
      <c r="K27" s="103">
        <f t="shared" si="16"/>
        <v>0</v>
      </c>
      <c r="L27" s="103">
        <f t="shared" si="16"/>
        <v>0</v>
      </c>
      <c r="M27" s="103">
        <f t="shared" si="16"/>
        <v>0</v>
      </c>
      <c r="N27" s="103">
        <f t="shared" ref="N27" si="17">N28+N29+N30</f>
        <v>0</v>
      </c>
      <c r="O27" s="165"/>
    </row>
    <row r="28" spans="1:15" ht="16.5" hidden="1" customHeight="1" x14ac:dyDescent="0.25">
      <c r="A28" s="105" t="s">
        <v>113</v>
      </c>
      <c r="B28" s="106" t="s">
        <v>32</v>
      </c>
      <c r="C28" s="101"/>
      <c r="D28" s="101"/>
      <c r="E28" s="101"/>
      <c r="F28" s="101">
        <f t="shared" si="13"/>
        <v>0</v>
      </c>
      <c r="G28" s="101"/>
      <c r="H28" s="101"/>
      <c r="I28" s="101"/>
      <c r="J28" s="101"/>
      <c r="K28" s="101"/>
      <c r="L28" s="101"/>
      <c r="M28" s="101"/>
      <c r="N28" s="101"/>
      <c r="O28" s="162"/>
    </row>
    <row r="29" spans="1:15" ht="16.5" hidden="1" customHeight="1" x14ac:dyDescent="0.25">
      <c r="A29" s="105" t="s">
        <v>114</v>
      </c>
      <c r="B29" s="106" t="s">
        <v>33</v>
      </c>
      <c r="C29" s="101"/>
      <c r="D29" s="101"/>
      <c r="E29" s="101"/>
      <c r="F29" s="101">
        <f t="shared" si="13"/>
        <v>0</v>
      </c>
      <c r="G29" s="101"/>
      <c r="H29" s="101"/>
      <c r="I29" s="101"/>
      <c r="J29" s="101"/>
      <c r="K29" s="101"/>
      <c r="L29" s="101"/>
      <c r="M29" s="101"/>
      <c r="N29" s="101"/>
      <c r="O29" s="162"/>
    </row>
    <row r="30" spans="1:15" ht="16.5" hidden="1" customHeight="1" x14ac:dyDescent="0.25">
      <c r="A30" s="105" t="s">
        <v>115</v>
      </c>
      <c r="B30" s="106" t="s">
        <v>34</v>
      </c>
      <c r="C30" s="101"/>
      <c r="D30" s="101"/>
      <c r="E30" s="101"/>
      <c r="F30" s="101">
        <f t="shared" si="13"/>
        <v>0</v>
      </c>
      <c r="G30" s="101"/>
      <c r="H30" s="101"/>
      <c r="I30" s="101"/>
      <c r="J30" s="101"/>
      <c r="K30" s="101"/>
      <c r="L30" s="101"/>
      <c r="M30" s="101"/>
      <c r="N30" s="101"/>
      <c r="O30" s="162"/>
    </row>
    <row r="31" spans="1:15" ht="16.5" customHeight="1" x14ac:dyDescent="0.25">
      <c r="A31" s="104" t="s">
        <v>116</v>
      </c>
      <c r="B31" s="108" t="s">
        <v>5</v>
      </c>
      <c r="C31" s="103"/>
      <c r="D31" s="103">
        <f>[3]összefogl!$Q$50</f>
        <v>5000</v>
      </c>
      <c r="E31" s="103"/>
      <c r="F31" s="103">
        <f t="shared" si="13"/>
        <v>5000</v>
      </c>
      <c r="G31" s="103">
        <v>13468</v>
      </c>
      <c r="H31" s="103"/>
      <c r="I31" s="103"/>
      <c r="J31" s="103"/>
      <c r="K31" s="103">
        <f>1678</f>
        <v>1678</v>
      </c>
      <c r="L31" s="103"/>
      <c r="M31" s="103">
        <f>H31+I31+J31+K31+L31</f>
        <v>1678</v>
      </c>
      <c r="N31" s="103">
        <v>1678.173</v>
      </c>
      <c r="O31" s="164"/>
    </row>
    <row r="32" spans="1:15" ht="16.5" customHeight="1" x14ac:dyDescent="0.25">
      <c r="A32" s="104" t="s">
        <v>117</v>
      </c>
      <c r="B32" s="109" t="s">
        <v>7</v>
      </c>
      <c r="C32" s="103"/>
      <c r="D32" s="103"/>
      <c r="E32" s="103"/>
      <c r="F32" s="103">
        <f t="shared" si="13"/>
        <v>0</v>
      </c>
      <c r="G32" s="103"/>
      <c r="H32" s="103"/>
      <c r="I32" s="103"/>
      <c r="J32" s="103"/>
      <c r="K32" s="103"/>
      <c r="L32" s="103"/>
      <c r="M32" s="103"/>
      <c r="N32" s="103">
        <v>0</v>
      </c>
      <c r="O32" s="164"/>
    </row>
    <row r="33" spans="1:15" ht="16.5" customHeight="1" x14ac:dyDescent="0.25">
      <c r="A33" s="110" t="s">
        <v>6</v>
      </c>
      <c r="B33" s="111" t="s">
        <v>76</v>
      </c>
      <c r="C33" s="112">
        <f t="shared" ref="C33:F33" si="18">C34+C37+C38+C44+C45+C50+C51+C52</f>
        <v>525400</v>
      </c>
      <c r="D33" s="112">
        <f t="shared" si="18"/>
        <v>8342</v>
      </c>
      <c r="E33" s="112">
        <f t="shared" si="18"/>
        <v>0</v>
      </c>
      <c r="F33" s="112">
        <f t="shared" si="18"/>
        <v>533742</v>
      </c>
      <c r="G33" s="112">
        <f t="shared" ref="G33:M33" si="19">G34+G37+G38+G44+G45+G50+G51+G52</f>
        <v>546741</v>
      </c>
      <c r="H33" s="112">
        <f t="shared" si="19"/>
        <v>526800</v>
      </c>
      <c r="I33" s="112">
        <f t="shared" si="19"/>
        <v>0</v>
      </c>
      <c r="J33" s="112">
        <f t="shared" si="19"/>
        <v>26954</v>
      </c>
      <c r="K33" s="112">
        <f t="shared" si="19"/>
        <v>510</v>
      </c>
      <c r="L33" s="112">
        <f t="shared" ref="L33" si="20">L34+L37+L38+L44+L45+L50+L51+L52</f>
        <v>0</v>
      </c>
      <c r="M33" s="112">
        <f t="shared" si="19"/>
        <v>554264</v>
      </c>
      <c r="N33" s="112">
        <f t="shared" ref="N33" si="21">N34+N37+N38+N44+N45+N50+N51+N52</f>
        <v>255146.78300000002</v>
      </c>
      <c r="O33" s="166">
        <f t="shared" ref="O33:O43" si="22">N33/M33</f>
        <v>0.4603343948010335</v>
      </c>
    </row>
    <row r="34" spans="1:15" s="16" customFormat="1" ht="16.5" customHeight="1" x14ac:dyDescent="0.25">
      <c r="A34" s="102" t="s">
        <v>60</v>
      </c>
      <c r="B34" s="102" t="s">
        <v>1</v>
      </c>
      <c r="C34" s="103">
        <v>222200</v>
      </c>
      <c r="D34" s="113">
        <v>4767</v>
      </c>
      <c r="E34" s="103">
        <v>0</v>
      </c>
      <c r="F34" s="113">
        <f t="shared" si="13"/>
        <v>226967</v>
      </c>
      <c r="G34" s="113">
        <v>226780</v>
      </c>
      <c r="H34" s="103">
        <f>SUM(H35:H36)</f>
        <v>227422</v>
      </c>
      <c r="I34" s="103">
        <f t="shared" ref="I34:N34" si="23">SUM(I35:I36)</f>
        <v>0</v>
      </c>
      <c r="J34" s="103">
        <f t="shared" si="23"/>
        <v>8920</v>
      </c>
      <c r="K34" s="103">
        <f t="shared" si="23"/>
        <v>-920</v>
      </c>
      <c r="L34" s="103">
        <f t="shared" ref="L34" si="24">SUM(L35:L36)</f>
        <v>-2550</v>
      </c>
      <c r="M34" s="103">
        <f t="shared" si="23"/>
        <v>232872</v>
      </c>
      <c r="N34" s="103">
        <f t="shared" si="23"/>
        <v>101911.701</v>
      </c>
      <c r="O34" s="163">
        <f t="shared" si="22"/>
        <v>0.43762968927135937</v>
      </c>
    </row>
    <row r="35" spans="1:15" s="16" customFormat="1" ht="16.5" hidden="1" customHeight="1" x14ac:dyDescent="0.25">
      <c r="A35" s="50" t="s">
        <v>61</v>
      </c>
      <c r="B35" s="50" t="s">
        <v>35</v>
      </c>
      <c r="C35" s="103"/>
      <c r="D35" s="113"/>
      <c r="E35" s="103"/>
      <c r="F35" s="113"/>
      <c r="G35" s="113"/>
      <c r="H35" s="31">
        <v>227422</v>
      </c>
      <c r="I35" s="55"/>
      <c r="J35" s="55">
        <f>920+8000</f>
        <v>8920</v>
      </c>
      <c r="K35" s="55">
        <f>-920</f>
        <v>-920</v>
      </c>
      <c r="L35" s="55">
        <f>'[1]Egyéb ei módosítás'!$D$45/1000</f>
        <v>-2550</v>
      </c>
      <c r="M35" s="55">
        <f>SUM(H35:L35)</f>
        <v>232872</v>
      </c>
      <c r="N35" s="55">
        <v>99238.485000000001</v>
      </c>
      <c r="O35" s="162">
        <f t="shared" si="22"/>
        <v>0.42615035298361331</v>
      </c>
    </row>
    <row r="36" spans="1:15" s="16" customFormat="1" ht="16.5" hidden="1" customHeight="1" x14ac:dyDescent="0.25">
      <c r="A36" s="50" t="s">
        <v>62</v>
      </c>
      <c r="B36" s="50" t="s">
        <v>36</v>
      </c>
      <c r="C36" s="103"/>
      <c r="D36" s="113"/>
      <c r="E36" s="103"/>
      <c r="F36" s="113"/>
      <c r="G36" s="113"/>
      <c r="H36" s="31"/>
      <c r="I36" s="55"/>
      <c r="J36" s="55"/>
      <c r="K36" s="55"/>
      <c r="L36" s="55"/>
      <c r="M36" s="55"/>
      <c r="N36" s="55">
        <v>2673.2159999999999</v>
      </c>
      <c r="O36" s="162"/>
    </row>
    <row r="37" spans="1:15" s="16" customFormat="1" ht="16.5" customHeight="1" x14ac:dyDescent="0.25">
      <c r="A37" s="102" t="s">
        <v>63</v>
      </c>
      <c r="B37" s="102" t="s">
        <v>2</v>
      </c>
      <c r="C37" s="103">
        <v>60185</v>
      </c>
      <c r="D37" s="113">
        <v>613</v>
      </c>
      <c r="E37" s="103"/>
      <c r="F37" s="113">
        <f t="shared" si="13"/>
        <v>60798</v>
      </c>
      <c r="G37" s="113">
        <v>61417</v>
      </c>
      <c r="H37" s="103">
        <v>61478</v>
      </c>
      <c r="I37" s="113"/>
      <c r="J37" s="113">
        <f>248+2486</f>
        <v>2734</v>
      </c>
      <c r="K37" s="113">
        <v>-248</v>
      </c>
      <c r="L37" s="113"/>
      <c r="M37" s="113">
        <f>SUM(H37:L37)</f>
        <v>63964</v>
      </c>
      <c r="N37" s="113">
        <v>30561.396000000001</v>
      </c>
      <c r="O37" s="167">
        <f t="shared" si="22"/>
        <v>0.47779056969545369</v>
      </c>
    </row>
    <row r="38" spans="1:15" s="16" customFormat="1" ht="16.5" customHeight="1" x14ac:dyDescent="0.25">
      <c r="A38" s="102" t="s">
        <v>64</v>
      </c>
      <c r="B38" s="102" t="s">
        <v>3</v>
      </c>
      <c r="C38" s="103">
        <v>243015</v>
      </c>
      <c r="D38" s="113">
        <f>[3]összefogl!$Z$50</f>
        <v>0</v>
      </c>
      <c r="E38" s="103">
        <v>0</v>
      </c>
      <c r="F38" s="113">
        <f t="shared" si="13"/>
        <v>243015</v>
      </c>
      <c r="G38" s="113">
        <v>257027</v>
      </c>
      <c r="H38" s="103">
        <f>SUM(H39:H43)</f>
        <v>237900</v>
      </c>
      <c r="I38" s="103">
        <f t="shared" ref="I38:J38" si="25">SUM(I39:I43)</f>
        <v>0</v>
      </c>
      <c r="J38" s="103">
        <f t="shared" si="25"/>
        <v>5000</v>
      </c>
      <c r="K38" s="103">
        <f t="shared" ref="K38:L38" si="26">SUM(K39:K43)</f>
        <v>0</v>
      </c>
      <c r="L38" s="103">
        <f t="shared" si="26"/>
        <v>1700</v>
      </c>
      <c r="M38" s="103">
        <f t="shared" ref="M38:N38" si="27">SUM(M39:M43)</f>
        <v>244600</v>
      </c>
      <c r="N38" s="103">
        <f t="shared" si="27"/>
        <v>118192.93399999999</v>
      </c>
      <c r="O38" s="163">
        <f t="shared" si="22"/>
        <v>0.48320905151267374</v>
      </c>
    </row>
    <row r="39" spans="1:15" s="16" customFormat="1" ht="16.5" hidden="1" customHeight="1" x14ac:dyDescent="0.25">
      <c r="A39" s="50" t="s">
        <v>65</v>
      </c>
      <c r="B39" s="50" t="s">
        <v>37</v>
      </c>
      <c r="C39" s="103"/>
      <c r="D39" s="113"/>
      <c r="E39" s="103"/>
      <c r="F39" s="113"/>
      <c r="G39" s="113"/>
      <c r="H39" s="31">
        <v>21900</v>
      </c>
      <c r="I39" s="55"/>
      <c r="J39" s="55"/>
      <c r="K39" s="55"/>
      <c r="L39" s="55"/>
      <c r="M39" s="55">
        <f t="shared" ref="M39:M44" si="28">SUM(H39:L39)</f>
        <v>21900</v>
      </c>
      <c r="N39" s="55">
        <v>13874.927</v>
      </c>
      <c r="O39" s="162">
        <f t="shared" si="22"/>
        <v>0.63355831050228306</v>
      </c>
    </row>
    <row r="40" spans="1:15" s="16" customFormat="1" ht="16.5" hidden="1" customHeight="1" x14ac:dyDescent="0.25">
      <c r="A40" s="50" t="s">
        <v>66</v>
      </c>
      <c r="B40" s="50" t="s">
        <v>38</v>
      </c>
      <c r="C40" s="103"/>
      <c r="D40" s="113"/>
      <c r="E40" s="103"/>
      <c r="F40" s="113"/>
      <c r="G40" s="113"/>
      <c r="H40" s="31">
        <v>5900</v>
      </c>
      <c r="I40" s="55"/>
      <c r="J40" s="55"/>
      <c r="K40" s="55"/>
      <c r="L40" s="55"/>
      <c r="M40" s="55">
        <f t="shared" si="28"/>
        <v>5900</v>
      </c>
      <c r="N40" s="55">
        <v>1435.068</v>
      </c>
      <c r="O40" s="162">
        <f t="shared" si="22"/>
        <v>0.24323186440677966</v>
      </c>
    </row>
    <row r="41" spans="1:15" s="16" customFormat="1" ht="16.5" hidden="1" customHeight="1" x14ac:dyDescent="0.25">
      <c r="A41" s="50" t="s">
        <v>67</v>
      </c>
      <c r="B41" s="50" t="s">
        <v>39</v>
      </c>
      <c r="C41" s="103"/>
      <c r="D41" s="113"/>
      <c r="E41" s="103"/>
      <c r="F41" s="113"/>
      <c r="G41" s="113"/>
      <c r="H41" s="31">
        <v>189550</v>
      </c>
      <c r="I41" s="55"/>
      <c r="J41" s="55">
        <v>5000</v>
      </c>
      <c r="K41" s="55"/>
      <c r="L41" s="55">
        <f>'[1]Egyéb ei módosítás'!$D$46/1000</f>
        <v>1700</v>
      </c>
      <c r="M41" s="55">
        <f t="shared" si="28"/>
        <v>196250</v>
      </c>
      <c r="N41" s="55">
        <v>94752.244999999995</v>
      </c>
      <c r="O41" s="162">
        <f t="shared" si="22"/>
        <v>0.48281398726114649</v>
      </c>
    </row>
    <row r="42" spans="1:15" s="16" customFormat="1" ht="16.5" hidden="1" customHeight="1" x14ac:dyDescent="0.25">
      <c r="A42" s="50" t="s">
        <v>68</v>
      </c>
      <c r="B42" s="50" t="s">
        <v>40</v>
      </c>
      <c r="C42" s="103"/>
      <c r="D42" s="113"/>
      <c r="E42" s="103"/>
      <c r="F42" s="113"/>
      <c r="G42" s="113"/>
      <c r="H42" s="31">
        <v>150</v>
      </c>
      <c r="I42" s="55"/>
      <c r="J42" s="55"/>
      <c r="K42" s="55"/>
      <c r="L42" s="55"/>
      <c r="M42" s="55">
        <f t="shared" si="28"/>
        <v>150</v>
      </c>
      <c r="N42" s="55">
        <v>0</v>
      </c>
      <c r="O42" s="162">
        <f t="shared" si="22"/>
        <v>0</v>
      </c>
    </row>
    <row r="43" spans="1:15" s="16" customFormat="1" ht="16.5" hidden="1" customHeight="1" x14ac:dyDescent="0.25">
      <c r="A43" s="50" t="s">
        <v>69</v>
      </c>
      <c r="B43" s="50" t="s">
        <v>41</v>
      </c>
      <c r="C43" s="103"/>
      <c r="D43" s="113"/>
      <c r="E43" s="103"/>
      <c r="F43" s="113"/>
      <c r="G43" s="113"/>
      <c r="H43" s="31">
        <v>20400</v>
      </c>
      <c r="I43" s="55"/>
      <c r="J43" s="55"/>
      <c r="K43" s="55"/>
      <c r="L43" s="55"/>
      <c r="M43" s="55">
        <f t="shared" si="28"/>
        <v>20400</v>
      </c>
      <c r="N43" s="55">
        <v>8130.6940000000004</v>
      </c>
      <c r="O43" s="162">
        <f t="shared" si="22"/>
        <v>0.39856343137254902</v>
      </c>
    </row>
    <row r="44" spans="1:15" ht="16.5" customHeight="1" x14ac:dyDescent="0.25">
      <c r="A44" s="102" t="s">
        <v>70</v>
      </c>
      <c r="B44" s="102" t="s">
        <v>152</v>
      </c>
      <c r="C44" s="103">
        <v>0</v>
      </c>
      <c r="D44" s="113"/>
      <c r="E44" s="103"/>
      <c r="F44" s="113">
        <f t="shared" si="13"/>
        <v>0</v>
      </c>
      <c r="G44" s="113"/>
      <c r="H44" s="103">
        <v>0</v>
      </c>
      <c r="I44" s="113"/>
      <c r="J44" s="113"/>
      <c r="K44" s="113"/>
      <c r="L44" s="113"/>
      <c r="M44" s="113">
        <f t="shared" si="28"/>
        <v>0</v>
      </c>
      <c r="N44" s="113">
        <v>0</v>
      </c>
      <c r="O44" s="167"/>
    </row>
    <row r="45" spans="1:15" ht="16.5" customHeight="1" x14ac:dyDescent="0.25">
      <c r="A45" s="102" t="s">
        <v>71</v>
      </c>
      <c r="B45" s="102" t="s">
        <v>153</v>
      </c>
      <c r="C45" s="103">
        <f t="shared" ref="C45:F45" si="29">SUM(C47,C46)</f>
        <v>0</v>
      </c>
      <c r="D45" s="103">
        <f t="shared" si="29"/>
        <v>0</v>
      </c>
      <c r="E45" s="103">
        <f t="shared" si="29"/>
        <v>0</v>
      </c>
      <c r="F45" s="103">
        <f t="shared" si="29"/>
        <v>0</v>
      </c>
      <c r="G45" s="103">
        <f>SUM(G47,G46)</f>
        <v>0</v>
      </c>
      <c r="H45" s="103">
        <f>SUM(H47,H46)</f>
        <v>0</v>
      </c>
      <c r="I45" s="103">
        <f t="shared" ref="I45:N45" si="30">SUM(I47,I46)</f>
        <v>0</v>
      </c>
      <c r="J45" s="103">
        <f t="shared" si="30"/>
        <v>0</v>
      </c>
      <c r="K45" s="103">
        <f t="shared" si="30"/>
        <v>0</v>
      </c>
      <c r="L45" s="103">
        <f t="shared" si="30"/>
        <v>0</v>
      </c>
      <c r="M45" s="103">
        <f t="shared" si="30"/>
        <v>0</v>
      </c>
      <c r="N45" s="103">
        <f t="shared" si="30"/>
        <v>0</v>
      </c>
      <c r="O45" s="163"/>
    </row>
    <row r="46" spans="1:15" s="10" customFormat="1" ht="16.5" customHeight="1" x14ac:dyDescent="0.25">
      <c r="A46" s="156" t="s">
        <v>188</v>
      </c>
      <c r="B46" s="50" t="s">
        <v>154</v>
      </c>
      <c r="C46" s="31"/>
      <c r="D46" s="55"/>
      <c r="E46" s="31"/>
      <c r="F46" s="55">
        <f t="shared" si="13"/>
        <v>0</v>
      </c>
      <c r="G46" s="55"/>
      <c r="H46" s="31"/>
      <c r="I46" s="55"/>
      <c r="J46" s="55"/>
      <c r="K46" s="55"/>
      <c r="L46" s="55"/>
      <c r="M46" s="55">
        <f>SUM(H46:L46)</f>
        <v>0</v>
      </c>
      <c r="N46" s="55">
        <v>0</v>
      </c>
      <c r="O46" s="162"/>
    </row>
    <row r="47" spans="1:15" s="10" customFormat="1" ht="16.5" customHeight="1" x14ac:dyDescent="0.25">
      <c r="A47" s="50" t="s">
        <v>168</v>
      </c>
      <c r="B47" s="50" t="s">
        <v>155</v>
      </c>
      <c r="C47" s="55">
        <f t="shared" ref="C47:F47" si="31">SUM(C48:C49)</f>
        <v>0</v>
      </c>
      <c r="D47" s="55">
        <f t="shared" si="31"/>
        <v>0</v>
      </c>
      <c r="E47" s="55">
        <f t="shared" si="31"/>
        <v>0</v>
      </c>
      <c r="F47" s="55">
        <f t="shared" si="31"/>
        <v>0</v>
      </c>
      <c r="G47" s="55">
        <f>SUM(G48:G49)</f>
        <v>0</v>
      </c>
      <c r="H47" s="55">
        <f>SUM(H48:H49)</f>
        <v>0</v>
      </c>
      <c r="I47" s="55">
        <f>SUM(I48:I49)</f>
        <v>0</v>
      </c>
      <c r="J47" s="55">
        <f t="shared" ref="J47:N47" si="32">SUM(J48:J49)</f>
        <v>0</v>
      </c>
      <c r="K47" s="55">
        <f t="shared" si="32"/>
        <v>0</v>
      </c>
      <c r="L47" s="55">
        <f t="shared" si="32"/>
        <v>0</v>
      </c>
      <c r="M47" s="55">
        <f t="shared" si="32"/>
        <v>0</v>
      </c>
      <c r="N47" s="55">
        <f t="shared" si="32"/>
        <v>0</v>
      </c>
      <c r="O47" s="162"/>
    </row>
    <row r="48" spans="1:15" s="10" customFormat="1" ht="16.5" customHeight="1" x14ac:dyDescent="0.25">
      <c r="A48" s="50"/>
      <c r="B48" s="50" t="s">
        <v>77</v>
      </c>
      <c r="C48" s="31"/>
      <c r="D48" s="55"/>
      <c r="E48" s="31"/>
      <c r="F48" s="55">
        <f>SUM(C48:E48)</f>
        <v>0</v>
      </c>
      <c r="G48" s="55"/>
      <c r="H48" s="31"/>
      <c r="I48" s="55"/>
      <c r="J48" s="55"/>
      <c r="K48" s="55"/>
      <c r="L48" s="55"/>
      <c r="M48" s="55">
        <f>SUM(H48:L48)</f>
        <v>0</v>
      </c>
      <c r="N48" s="55"/>
      <c r="O48" s="162"/>
    </row>
    <row r="49" spans="1:15" s="10" customFormat="1" ht="16.5" customHeight="1" x14ac:dyDescent="0.25">
      <c r="A49" s="50"/>
      <c r="B49" s="50" t="s">
        <v>78</v>
      </c>
      <c r="C49" s="31"/>
      <c r="D49" s="55"/>
      <c r="E49" s="31"/>
      <c r="F49" s="55">
        <f>SUM(C49:E49)</f>
        <v>0</v>
      </c>
      <c r="G49" s="55"/>
      <c r="H49" s="31"/>
      <c r="I49" s="55"/>
      <c r="J49" s="55"/>
      <c r="K49" s="55"/>
      <c r="L49" s="55"/>
      <c r="M49" s="55">
        <f>SUM(H49:L49)</f>
        <v>0</v>
      </c>
      <c r="N49" s="55"/>
      <c r="O49" s="162"/>
    </row>
    <row r="50" spans="1:15" ht="16.5" customHeight="1" x14ac:dyDescent="0.25">
      <c r="A50" s="102" t="s">
        <v>73</v>
      </c>
      <c r="B50" s="102" t="s">
        <v>169</v>
      </c>
      <c r="C50" s="103"/>
      <c r="D50" s="113">
        <v>2962</v>
      </c>
      <c r="E50" s="103"/>
      <c r="F50" s="113">
        <f>SUM(C50:E50)</f>
        <v>2962</v>
      </c>
      <c r="G50" s="113">
        <v>1517</v>
      </c>
      <c r="H50" s="103">
        <v>0</v>
      </c>
      <c r="I50" s="113">
        <v>0</v>
      </c>
      <c r="J50" s="113">
        <v>10300</v>
      </c>
      <c r="K50" s="113">
        <f>1678</f>
        <v>1678</v>
      </c>
      <c r="L50" s="113">
        <f>'[1]Egyéb ei módosítás'!$D$47/1000</f>
        <v>850</v>
      </c>
      <c r="M50" s="113">
        <f>SUM(H50:L50)</f>
        <v>12828</v>
      </c>
      <c r="N50" s="113">
        <v>4480.7520000000004</v>
      </c>
      <c r="O50" s="163">
        <f t="shared" ref="O50:O57" si="33">N50/M50</f>
        <v>0.34929466791393832</v>
      </c>
    </row>
    <row r="51" spans="1:15" ht="16.5" customHeight="1" x14ac:dyDescent="0.25">
      <c r="A51" s="102" t="s">
        <v>74</v>
      </c>
      <c r="B51" s="102" t="s">
        <v>151</v>
      </c>
      <c r="C51" s="103"/>
      <c r="D51" s="113"/>
      <c r="E51" s="103"/>
      <c r="F51" s="113">
        <f>SUM(C51:E51)</f>
        <v>0</v>
      </c>
      <c r="G51" s="113"/>
      <c r="H51" s="103">
        <f>SUM(H44:H50)</f>
        <v>0</v>
      </c>
      <c r="I51" s="113">
        <f>SUM(I44:I50)</f>
        <v>0</v>
      </c>
      <c r="J51" s="113">
        <v>0</v>
      </c>
      <c r="K51" s="113"/>
      <c r="L51" s="113"/>
      <c r="M51" s="113">
        <f>SUM(H51:L51)</f>
        <v>0</v>
      </c>
      <c r="N51" s="113">
        <v>0</v>
      </c>
      <c r="O51" s="163"/>
    </row>
    <row r="52" spans="1:15" ht="16.5" customHeight="1" x14ac:dyDescent="0.25">
      <c r="A52" s="102" t="s">
        <v>75</v>
      </c>
      <c r="B52" s="102" t="s">
        <v>170</v>
      </c>
      <c r="C52" s="103"/>
      <c r="D52" s="113"/>
      <c r="E52" s="103"/>
      <c r="F52" s="113">
        <f>SUM(C52:E52)</f>
        <v>0</v>
      </c>
      <c r="G52" s="113"/>
      <c r="H52" s="103">
        <v>0</v>
      </c>
      <c r="I52" s="113">
        <v>0</v>
      </c>
      <c r="J52" s="113">
        <v>0</v>
      </c>
      <c r="K52" s="113"/>
      <c r="L52" s="113"/>
      <c r="M52" s="113">
        <f>SUM(H52:L52)</f>
        <v>0</v>
      </c>
      <c r="N52" s="113">
        <v>0</v>
      </c>
      <c r="O52" s="163"/>
    </row>
    <row r="53" spans="1:15" ht="16.5" customHeight="1" x14ac:dyDescent="0.25">
      <c r="A53" s="115"/>
      <c r="B53" s="116" t="s">
        <v>42</v>
      </c>
      <c r="C53" s="117">
        <f t="shared" ref="C53:G53" si="34">C3-C33</f>
        <v>0</v>
      </c>
      <c r="D53" s="117">
        <f t="shared" si="34"/>
        <v>-8342</v>
      </c>
      <c r="E53" s="117">
        <f t="shared" si="34"/>
        <v>0</v>
      </c>
      <c r="F53" s="117">
        <f t="shared" si="34"/>
        <v>-8342</v>
      </c>
      <c r="G53" s="117">
        <f t="shared" si="34"/>
        <v>5645</v>
      </c>
      <c r="H53" s="117">
        <f t="shared" ref="H53:N53" si="35">H3-H33</f>
        <v>-2000</v>
      </c>
      <c r="I53" s="117">
        <f t="shared" si="35"/>
        <v>0</v>
      </c>
      <c r="J53" s="117">
        <f t="shared" si="35"/>
        <v>-26954</v>
      </c>
      <c r="K53" s="117">
        <f t="shared" si="35"/>
        <v>1168</v>
      </c>
      <c r="L53" s="117">
        <f t="shared" ref="L53" si="36">L3-L33</f>
        <v>0</v>
      </c>
      <c r="M53" s="117">
        <f t="shared" si="35"/>
        <v>-27786</v>
      </c>
      <c r="N53" s="117">
        <f t="shared" si="35"/>
        <v>-6520.6970000000147</v>
      </c>
      <c r="O53" s="169">
        <f t="shared" si="33"/>
        <v>0.23467562801410835</v>
      </c>
    </row>
    <row r="54" spans="1:15" ht="16.5" customHeight="1" x14ac:dyDescent="0.25">
      <c r="A54" s="118"/>
      <c r="B54" s="111" t="s">
        <v>43</v>
      </c>
      <c r="C54" s="112">
        <f t="shared" ref="C54:G54" si="37">C6+C8+C15+C31-C34-C37-C38-C44-C45-C50-C51</f>
        <v>0</v>
      </c>
      <c r="D54" s="112">
        <f t="shared" si="37"/>
        <v>-9542</v>
      </c>
      <c r="E54" s="112">
        <f t="shared" si="37"/>
        <v>0</v>
      </c>
      <c r="F54" s="112">
        <f t="shared" si="37"/>
        <v>-9542</v>
      </c>
      <c r="G54" s="112">
        <f t="shared" si="37"/>
        <v>1663</v>
      </c>
      <c r="H54" s="112">
        <f t="shared" ref="H54:N54" si="38">H6+H8+H15+H31-H34-H37-H38-H44-H45-H50-H51</f>
        <v>-2000</v>
      </c>
      <c r="I54" s="112">
        <f t="shared" si="38"/>
        <v>0</v>
      </c>
      <c r="J54" s="112">
        <f t="shared" si="38"/>
        <v>-26954</v>
      </c>
      <c r="K54" s="112">
        <f t="shared" si="38"/>
        <v>1168</v>
      </c>
      <c r="L54" s="112">
        <f t="shared" ref="L54" si="39">L6+L8+L15+L31-L34-L37-L38-L44-L45-L50-L51</f>
        <v>0</v>
      </c>
      <c r="M54" s="112">
        <f t="shared" si="38"/>
        <v>-27786</v>
      </c>
      <c r="N54" s="112">
        <f t="shared" si="38"/>
        <v>-6520.6969999999928</v>
      </c>
      <c r="O54" s="170">
        <f t="shared" si="33"/>
        <v>0.23467562801410757</v>
      </c>
    </row>
    <row r="55" spans="1:15" ht="16.5" customHeight="1" x14ac:dyDescent="0.25">
      <c r="A55" s="118"/>
      <c r="B55" s="111" t="s">
        <v>44</v>
      </c>
      <c r="C55" s="112">
        <f t="shared" ref="C55:G55" si="40">C7+C27+C32-C52</f>
        <v>0</v>
      </c>
      <c r="D55" s="112">
        <f t="shared" si="40"/>
        <v>1200</v>
      </c>
      <c r="E55" s="112">
        <f t="shared" si="40"/>
        <v>0</v>
      </c>
      <c r="F55" s="112">
        <f t="shared" si="40"/>
        <v>1200</v>
      </c>
      <c r="G55" s="112">
        <f t="shared" si="40"/>
        <v>3982</v>
      </c>
      <c r="H55" s="112">
        <f t="shared" ref="H55:N55" si="41">H7+H27+H32-H52</f>
        <v>0</v>
      </c>
      <c r="I55" s="112">
        <f t="shared" si="41"/>
        <v>0</v>
      </c>
      <c r="J55" s="112">
        <f t="shared" si="41"/>
        <v>0</v>
      </c>
      <c r="K55" s="112">
        <f t="shared" si="41"/>
        <v>0</v>
      </c>
      <c r="L55" s="112">
        <f t="shared" ref="L55" si="42">L7+L27+L32-L52</f>
        <v>0</v>
      </c>
      <c r="M55" s="112">
        <f t="shared" si="41"/>
        <v>0</v>
      </c>
      <c r="N55" s="112">
        <f t="shared" si="41"/>
        <v>0</v>
      </c>
      <c r="O55" s="170"/>
    </row>
    <row r="56" spans="1:15" ht="16.5" customHeight="1" x14ac:dyDescent="0.25">
      <c r="A56" s="119" t="s">
        <v>132</v>
      </c>
      <c r="B56" s="98" t="s">
        <v>45</v>
      </c>
      <c r="C56" s="99">
        <f t="shared" ref="C56:G56" si="43">C57+C65</f>
        <v>0</v>
      </c>
      <c r="D56" s="99">
        <f t="shared" si="43"/>
        <v>8342</v>
      </c>
      <c r="E56" s="99">
        <f t="shared" si="43"/>
        <v>0</v>
      </c>
      <c r="F56" s="99">
        <f t="shared" si="43"/>
        <v>8342</v>
      </c>
      <c r="G56" s="99">
        <f t="shared" si="43"/>
        <v>25550</v>
      </c>
      <c r="H56" s="99">
        <f t="shared" ref="H56:N56" si="44">H57+H65</f>
        <v>2000</v>
      </c>
      <c r="I56" s="99">
        <f t="shared" si="44"/>
        <v>0</v>
      </c>
      <c r="J56" s="99">
        <f t="shared" si="44"/>
        <v>26954</v>
      </c>
      <c r="K56" s="99">
        <f t="shared" si="44"/>
        <v>-1168</v>
      </c>
      <c r="L56" s="99">
        <f t="shared" ref="L56" si="45">L57+L65</f>
        <v>0</v>
      </c>
      <c r="M56" s="99">
        <f t="shared" si="44"/>
        <v>27786</v>
      </c>
      <c r="N56" s="99">
        <f t="shared" si="44"/>
        <v>26954.726999999999</v>
      </c>
      <c r="O56" s="171">
        <f t="shared" si="33"/>
        <v>0.97008302742388253</v>
      </c>
    </row>
    <row r="57" spans="1:15" ht="16.5" customHeight="1" x14ac:dyDescent="0.25">
      <c r="A57" s="100" t="s">
        <v>120</v>
      </c>
      <c r="B57" s="100" t="s">
        <v>50</v>
      </c>
      <c r="C57" s="107">
        <f t="shared" ref="C57:F57" si="46">SUM(C58,C59,C60,C63,C64)</f>
        <v>0</v>
      </c>
      <c r="D57" s="107">
        <f t="shared" si="46"/>
        <v>8342</v>
      </c>
      <c r="E57" s="107">
        <f t="shared" si="46"/>
        <v>0</v>
      </c>
      <c r="F57" s="107">
        <f t="shared" si="46"/>
        <v>8342</v>
      </c>
      <c r="G57" s="107">
        <f t="shared" ref="G57:M57" si="47">SUM(G58,G59,G60,G63,G64)</f>
        <v>25550</v>
      </c>
      <c r="H57" s="107">
        <f t="shared" si="47"/>
        <v>2000</v>
      </c>
      <c r="I57" s="107">
        <f t="shared" si="47"/>
        <v>0</v>
      </c>
      <c r="J57" s="107">
        <f t="shared" si="47"/>
        <v>26954</v>
      </c>
      <c r="K57" s="107">
        <f t="shared" si="47"/>
        <v>-1168</v>
      </c>
      <c r="L57" s="107">
        <f t="shared" ref="L57" si="48">SUM(L58,L59,L60,L63,L64)</f>
        <v>0</v>
      </c>
      <c r="M57" s="107">
        <f t="shared" si="47"/>
        <v>27786</v>
      </c>
      <c r="N57" s="107">
        <f t="shared" ref="N57" si="49">SUM(N58,N59,N60,N63,N64)</f>
        <v>26954.726999999999</v>
      </c>
      <c r="O57" s="168">
        <f t="shared" si="33"/>
        <v>0.97008302742388253</v>
      </c>
    </row>
    <row r="58" spans="1:15" ht="16.5" customHeight="1" x14ac:dyDescent="0.25">
      <c r="A58" s="100" t="s">
        <v>79</v>
      </c>
      <c r="B58" s="100" t="s">
        <v>47</v>
      </c>
      <c r="C58" s="101"/>
      <c r="D58" s="120"/>
      <c r="E58" s="101"/>
      <c r="F58" s="120">
        <f>SUM(C58:E58)</f>
        <v>0</v>
      </c>
      <c r="G58" s="120"/>
      <c r="H58" s="101">
        <v>0</v>
      </c>
      <c r="I58" s="120"/>
      <c r="J58" s="120"/>
      <c r="K58" s="120"/>
      <c r="L58" s="120"/>
      <c r="M58" s="101">
        <f>SUM(H58:L58)</f>
        <v>0</v>
      </c>
      <c r="N58" s="101"/>
      <c r="O58" s="162"/>
    </row>
    <row r="59" spans="1:15" ht="16.5" customHeight="1" x14ac:dyDescent="0.25">
      <c r="A59" s="100" t="s">
        <v>80</v>
      </c>
      <c r="B59" s="100" t="s">
        <v>48</v>
      </c>
      <c r="C59" s="101"/>
      <c r="D59" s="107"/>
      <c r="E59" s="101"/>
      <c r="F59" s="107">
        <f>SUM(C59:E59)</f>
        <v>0</v>
      </c>
      <c r="G59" s="107"/>
      <c r="H59" s="101">
        <v>0</v>
      </c>
      <c r="I59" s="107"/>
      <c r="J59" s="107"/>
      <c r="K59" s="107"/>
      <c r="L59" s="107"/>
      <c r="M59" s="107">
        <f>SUM(H59:L59)</f>
        <v>0</v>
      </c>
      <c r="N59" s="107"/>
      <c r="O59" s="162"/>
    </row>
    <row r="60" spans="1:15" ht="16.5" customHeight="1" x14ac:dyDescent="0.25">
      <c r="A60" s="100" t="s">
        <v>81</v>
      </c>
      <c r="B60" s="100" t="s">
        <v>49</v>
      </c>
      <c r="C60" s="107">
        <f t="shared" ref="C60:F60" si="50">SUM(C61:C62)</f>
        <v>0</v>
      </c>
      <c r="D60" s="107">
        <v>5462</v>
      </c>
      <c r="E60" s="107">
        <f t="shared" si="50"/>
        <v>0</v>
      </c>
      <c r="F60" s="107">
        <f t="shared" si="50"/>
        <v>5462</v>
      </c>
      <c r="G60" s="107">
        <f>SUM(G61:G62)</f>
        <v>5462</v>
      </c>
      <c r="H60" s="107">
        <f t="shared" ref="H60:L60" si="51">SUM(H61:H62)</f>
        <v>0</v>
      </c>
      <c r="I60" s="107">
        <f t="shared" si="51"/>
        <v>0</v>
      </c>
      <c r="J60" s="107">
        <f t="shared" si="51"/>
        <v>25786</v>
      </c>
      <c r="K60" s="107">
        <f t="shared" si="51"/>
        <v>0</v>
      </c>
      <c r="L60" s="107">
        <f t="shared" si="51"/>
        <v>0</v>
      </c>
      <c r="M60" s="107">
        <f>SUM(M61:M62)</f>
        <v>25786</v>
      </c>
      <c r="N60" s="107">
        <f>SUM(N61:N62)</f>
        <v>25786.2</v>
      </c>
      <c r="O60" s="172">
        <f>N60/M60</f>
        <v>1.0000077561467464</v>
      </c>
    </row>
    <row r="61" spans="1:15" ht="16.5" customHeight="1" x14ac:dyDescent="0.25">
      <c r="A61" s="100"/>
      <c r="B61" s="114" t="s">
        <v>82</v>
      </c>
      <c r="C61" s="101"/>
      <c r="D61" s="121">
        <v>5462</v>
      </c>
      <c r="E61" s="101"/>
      <c r="F61" s="121">
        <f>SUM(C61:E61)</f>
        <v>5462</v>
      </c>
      <c r="G61" s="121">
        <v>5462</v>
      </c>
      <c r="H61" s="101">
        <v>0</v>
      </c>
      <c r="I61" s="121">
        <v>0</v>
      </c>
      <c r="J61" s="121">
        <v>25786</v>
      </c>
      <c r="K61" s="121"/>
      <c r="L61" s="121"/>
      <c r="M61" s="121">
        <f>SUM(H61:L61)</f>
        <v>25786</v>
      </c>
      <c r="N61" s="121">
        <v>25786.2</v>
      </c>
      <c r="O61" s="162">
        <f>N61/M61</f>
        <v>1.0000077561467464</v>
      </c>
    </row>
    <row r="62" spans="1:15" ht="16.5" customHeight="1" x14ac:dyDescent="0.25">
      <c r="A62" s="100"/>
      <c r="B62" s="114" t="s">
        <v>83</v>
      </c>
      <c r="C62" s="101"/>
      <c r="D62" s="107"/>
      <c r="E62" s="101"/>
      <c r="F62" s="107">
        <f>SUM(C62:E62)</f>
        <v>0</v>
      </c>
      <c r="G62" s="107"/>
      <c r="H62" s="101"/>
      <c r="I62" s="107"/>
      <c r="J62" s="107"/>
      <c r="K62" s="107"/>
      <c r="L62" s="107"/>
      <c r="M62" s="107"/>
      <c r="N62" s="107"/>
      <c r="O62" s="162"/>
    </row>
    <row r="63" spans="1:15" ht="16.5" customHeight="1" x14ac:dyDescent="0.25">
      <c r="A63" s="100" t="s">
        <v>84</v>
      </c>
      <c r="B63" s="100" t="s">
        <v>131</v>
      </c>
      <c r="C63" s="101"/>
      <c r="D63" s="107"/>
      <c r="E63" s="101"/>
      <c r="F63" s="107">
        <f>SUM(C63:E63)</f>
        <v>0</v>
      </c>
      <c r="G63" s="107">
        <v>16222</v>
      </c>
      <c r="H63" s="101"/>
      <c r="I63" s="107"/>
      <c r="J63" s="107"/>
      <c r="K63" s="107"/>
      <c r="L63" s="107"/>
      <c r="M63" s="107"/>
      <c r="N63" s="107"/>
      <c r="O63" s="162"/>
    </row>
    <row r="64" spans="1:15" ht="16.5" customHeight="1" x14ac:dyDescent="0.25">
      <c r="A64" s="100" t="s">
        <v>121</v>
      </c>
      <c r="B64" s="100" t="s">
        <v>122</v>
      </c>
      <c r="C64" s="101"/>
      <c r="D64" s="107">
        <v>2880</v>
      </c>
      <c r="E64" s="101"/>
      <c r="F64" s="107">
        <f>SUM(C64:E64)</f>
        <v>2880</v>
      </c>
      <c r="G64" s="107">
        <v>3866</v>
      </c>
      <c r="H64" s="101">
        <v>2000</v>
      </c>
      <c r="I64" s="107"/>
      <c r="J64" s="107">
        <v>1168</v>
      </c>
      <c r="K64" s="107">
        <v>-1168</v>
      </c>
      <c r="L64" s="107"/>
      <c r="M64" s="107">
        <f>SUM(H64:L64)</f>
        <v>2000</v>
      </c>
      <c r="N64" s="107">
        <v>1168.527</v>
      </c>
      <c r="O64" s="172">
        <f>N64/M64</f>
        <v>0.58426350000000005</v>
      </c>
    </row>
    <row r="65" spans="1:15" ht="16.5" hidden="1" customHeight="1" thickBot="1" x14ac:dyDescent="0.3">
      <c r="A65" s="100" t="s">
        <v>85</v>
      </c>
      <c r="B65" s="122" t="s">
        <v>51</v>
      </c>
      <c r="C65" s="101"/>
      <c r="D65" s="107"/>
      <c r="E65" s="101"/>
      <c r="F65" s="107">
        <f>SUM(C65:E65)</f>
        <v>0</v>
      </c>
      <c r="G65" s="107"/>
      <c r="H65" s="101"/>
      <c r="I65" s="107"/>
      <c r="J65" s="107"/>
      <c r="K65" s="107"/>
      <c r="L65" s="107"/>
      <c r="M65" s="107"/>
      <c r="N65" s="107"/>
      <c r="O65" s="162"/>
    </row>
    <row r="66" spans="1:15" ht="16.5" customHeight="1" x14ac:dyDescent="0.25">
      <c r="A66" s="123" t="s">
        <v>133</v>
      </c>
      <c r="B66" s="124" t="s">
        <v>52</v>
      </c>
      <c r="C66" s="125">
        <f t="shared" ref="C66:F66" si="52">C67+C71</f>
        <v>0</v>
      </c>
      <c r="D66" s="125">
        <f t="shared" si="52"/>
        <v>0</v>
      </c>
      <c r="E66" s="125">
        <f t="shared" si="52"/>
        <v>0</v>
      </c>
      <c r="F66" s="125">
        <f t="shared" si="52"/>
        <v>0</v>
      </c>
      <c r="G66" s="125">
        <f t="shared" ref="G66:M66" si="53">G67+G71</f>
        <v>0</v>
      </c>
      <c r="H66" s="125">
        <f t="shared" si="53"/>
        <v>0</v>
      </c>
      <c r="I66" s="125">
        <f t="shared" si="53"/>
        <v>0</v>
      </c>
      <c r="J66" s="125">
        <f t="shared" si="53"/>
        <v>0</v>
      </c>
      <c r="K66" s="125">
        <f t="shared" si="53"/>
        <v>0</v>
      </c>
      <c r="L66" s="125">
        <f t="shared" ref="L66" si="54">L67+L71</f>
        <v>0</v>
      </c>
      <c r="M66" s="125">
        <f t="shared" si="53"/>
        <v>0</v>
      </c>
      <c r="N66" s="125">
        <f t="shared" ref="N66" si="55">N67+N71</f>
        <v>0</v>
      </c>
      <c r="O66" s="173"/>
    </row>
    <row r="67" spans="1:15" ht="16.5" customHeight="1" x14ac:dyDescent="0.25">
      <c r="A67" s="100" t="s">
        <v>138</v>
      </c>
      <c r="B67" s="100" t="s">
        <v>139</v>
      </c>
      <c r="C67" s="107">
        <f t="shared" ref="C67:F67" si="56">SUM(C68:C70)</f>
        <v>0</v>
      </c>
      <c r="D67" s="107">
        <f t="shared" si="56"/>
        <v>0</v>
      </c>
      <c r="E67" s="107">
        <f t="shared" si="56"/>
        <v>0</v>
      </c>
      <c r="F67" s="107">
        <f t="shared" si="56"/>
        <v>0</v>
      </c>
      <c r="G67" s="107"/>
      <c r="H67" s="107">
        <f t="shared" ref="H67:N67" si="57">SUM(H68:H70)</f>
        <v>0</v>
      </c>
      <c r="I67" s="107">
        <f t="shared" si="57"/>
        <v>0</v>
      </c>
      <c r="J67" s="107">
        <f t="shared" si="57"/>
        <v>0</v>
      </c>
      <c r="K67" s="107">
        <f t="shared" si="57"/>
        <v>0</v>
      </c>
      <c r="L67" s="107">
        <f t="shared" ref="L67" si="58">SUM(L68:L70)</f>
        <v>0</v>
      </c>
      <c r="M67" s="107">
        <f t="shared" si="57"/>
        <v>0</v>
      </c>
      <c r="N67" s="107">
        <f t="shared" si="57"/>
        <v>0</v>
      </c>
      <c r="O67" s="168"/>
    </row>
    <row r="68" spans="1:15" ht="16.5" customHeight="1" x14ac:dyDescent="0.25">
      <c r="A68" s="100" t="s">
        <v>86</v>
      </c>
      <c r="B68" s="100" t="s">
        <v>46</v>
      </c>
      <c r="C68" s="101"/>
      <c r="D68" s="107"/>
      <c r="E68" s="101"/>
      <c r="F68" s="107">
        <f>SUM(C68:E68)</f>
        <v>0</v>
      </c>
      <c r="G68" s="107"/>
      <c r="H68" s="101"/>
      <c r="I68" s="107"/>
      <c r="J68" s="107"/>
      <c r="K68" s="107"/>
      <c r="L68" s="107"/>
      <c r="M68" s="107">
        <f>SUM(H68:L68)</f>
        <v>0</v>
      </c>
      <c r="N68" s="107"/>
      <c r="O68" s="168"/>
    </row>
    <row r="69" spans="1:15" ht="16.5" customHeight="1" x14ac:dyDescent="0.25">
      <c r="A69" s="100" t="s">
        <v>171</v>
      </c>
      <c r="B69" s="100" t="s">
        <v>172</v>
      </c>
      <c r="C69" s="101"/>
      <c r="D69" s="107"/>
      <c r="E69" s="101"/>
      <c r="F69" s="107">
        <f>SUM(C69:E69)</f>
        <v>0</v>
      </c>
      <c r="G69" s="107"/>
      <c r="H69" s="101"/>
      <c r="I69" s="107"/>
      <c r="J69" s="107"/>
      <c r="K69" s="107"/>
      <c r="L69" s="107"/>
      <c r="M69" s="107">
        <f>SUM(H69:L69)</f>
        <v>0</v>
      </c>
      <c r="N69" s="107"/>
      <c r="O69" s="168"/>
    </row>
    <row r="70" spans="1:15" ht="16.5" customHeight="1" x14ac:dyDescent="0.25">
      <c r="A70" s="100" t="s">
        <v>88</v>
      </c>
      <c r="B70" s="100" t="s">
        <v>54</v>
      </c>
      <c r="C70" s="101"/>
      <c r="D70" s="107"/>
      <c r="E70" s="101"/>
      <c r="F70" s="107">
        <f>SUM(C70:E70)</f>
        <v>0</v>
      </c>
      <c r="G70" s="107"/>
      <c r="H70" s="101"/>
      <c r="I70" s="107"/>
      <c r="J70" s="107"/>
      <c r="K70" s="107"/>
      <c r="L70" s="107"/>
      <c r="M70" s="107">
        <f>SUM(H70:L70)</f>
        <v>0</v>
      </c>
      <c r="N70" s="107"/>
      <c r="O70" s="168"/>
    </row>
    <row r="71" spans="1:15" ht="16.5" customHeight="1" x14ac:dyDescent="0.25">
      <c r="A71" s="100" t="s">
        <v>90</v>
      </c>
      <c r="B71" s="122" t="s">
        <v>89</v>
      </c>
      <c r="C71" s="101"/>
      <c r="D71" s="107"/>
      <c r="E71" s="101"/>
      <c r="F71" s="107">
        <f>SUM(C71:E71)</f>
        <v>0</v>
      </c>
      <c r="G71" s="107"/>
      <c r="H71" s="101"/>
      <c r="I71" s="107"/>
      <c r="J71" s="107"/>
      <c r="K71" s="107"/>
      <c r="L71" s="107"/>
      <c r="M71" s="107"/>
      <c r="N71" s="107"/>
      <c r="O71" s="162"/>
    </row>
    <row r="72" spans="1:15" ht="16.5" customHeight="1" x14ac:dyDescent="0.25">
      <c r="A72" s="115"/>
      <c r="B72" s="126" t="s">
        <v>57</v>
      </c>
      <c r="C72" s="117">
        <f t="shared" ref="C72:G72" si="59">C56-C66</f>
        <v>0</v>
      </c>
      <c r="D72" s="117">
        <f t="shared" si="59"/>
        <v>8342</v>
      </c>
      <c r="E72" s="117">
        <f t="shared" si="59"/>
        <v>0</v>
      </c>
      <c r="F72" s="117">
        <f t="shared" si="59"/>
        <v>8342</v>
      </c>
      <c r="G72" s="117">
        <f t="shared" si="59"/>
        <v>25550</v>
      </c>
      <c r="H72" s="117">
        <f t="shared" ref="H72:N72" si="60">H56-H66</f>
        <v>2000</v>
      </c>
      <c r="I72" s="117">
        <f t="shared" si="60"/>
        <v>0</v>
      </c>
      <c r="J72" s="117">
        <f t="shared" si="60"/>
        <v>26954</v>
      </c>
      <c r="K72" s="117">
        <f t="shared" si="60"/>
        <v>-1168</v>
      </c>
      <c r="L72" s="117">
        <f t="shared" ref="L72" si="61">L56-L66</f>
        <v>0</v>
      </c>
      <c r="M72" s="117">
        <f t="shared" si="60"/>
        <v>27786</v>
      </c>
      <c r="N72" s="117">
        <f t="shared" si="60"/>
        <v>26954.726999999999</v>
      </c>
      <c r="O72" s="169">
        <f t="shared" ref="O72:O79" si="62">N72/M72</f>
        <v>0.97008302742388253</v>
      </c>
    </row>
    <row r="73" spans="1:15" ht="16.5" customHeight="1" x14ac:dyDescent="0.25">
      <c r="A73" s="127"/>
      <c r="B73" s="128" t="s">
        <v>58</v>
      </c>
      <c r="C73" s="129">
        <f t="shared" ref="C73:G73" si="63">C3+C56</f>
        <v>525400</v>
      </c>
      <c r="D73" s="129">
        <f t="shared" si="63"/>
        <v>8342</v>
      </c>
      <c r="E73" s="129">
        <f t="shared" si="63"/>
        <v>0</v>
      </c>
      <c r="F73" s="129">
        <f t="shared" si="63"/>
        <v>533742</v>
      </c>
      <c r="G73" s="129">
        <f t="shared" si="63"/>
        <v>577936</v>
      </c>
      <c r="H73" s="129">
        <f t="shared" ref="H73:N73" si="64">H3+H56</f>
        <v>526800</v>
      </c>
      <c r="I73" s="129">
        <f t="shared" si="64"/>
        <v>0</v>
      </c>
      <c r="J73" s="129">
        <f t="shared" si="64"/>
        <v>26954</v>
      </c>
      <c r="K73" s="129">
        <f t="shared" si="64"/>
        <v>510</v>
      </c>
      <c r="L73" s="129">
        <f t="shared" ref="L73" si="65">L3+L56</f>
        <v>0</v>
      </c>
      <c r="M73" s="129">
        <f t="shared" si="64"/>
        <v>554264</v>
      </c>
      <c r="N73" s="129">
        <f t="shared" si="64"/>
        <v>275580.81300000002</v>
      </c>
      <c r="O73" s="161">
        <f t="shared" si="62"/>
        <v>0.49720135711502106</v>
      </c>
    </row>
    <row r="74" spans="1:15" ht="16.5" customHeight="1" x14ac:dyDescent="0.25">
      <c r="A74" s="119"/>
      <c r="B74" s="72" t="s">
        <v>140</v>
      </c>
      <c r="C74" s="99">
        <f t="shared" ref="C74:G74" si="66">C6+C8+C15+C31</f>
        <v>525400</v>
      </c>
      <c r="D74" s="99">
        <f t="shared" si="66"/>
        <v>-1200</v>
      </c>
      <c r="E74" s="99">
        <f t="shared" si="66"/>
        <v>0</v>
      </c>
      <c r="F74" s="99">
        <f t="shared" si="66"/>
        <v>524200</v>
      </c>
      <c r="G74" s="99">
        <f t="shared" si="66"/>
        <v>548404</v>
      </c>
      <c r="H74" s="99">
        <f t="shared" ref="H74:N74" si="67">H6+H8+H15+H31</f>
        <v>524800</v>
      </c>
      <c r="I74" s="99">
        <f t="shared" si="67"/>
        <v>0</v>
      </c>
      <c r="J74" s="99">
        <f>J6+J8+J15+J31</f>
        <v>0</v>
      </c>
      <c r="K74" s="99">
        <f t="shared" si="67"/>
        <v>1678</v>
      </c>
      <c r="L74" s="99">
        <f t="shared" ref="L74" si="68">L6+L8+L15+L31</f>
        <v>0</v>
      </c>
      <c r="M74" s="99">
        <f>M6+M8+M15+M31</f>
        <v>526478</v>
      </c>
      <c r="N74" s="99">
        <f t="shared" si="67"/>
        <v>248626.08600000001</v>
      </c>
      <c r="O74" s="174">
        <f t="shared" si="62"/>
        <v>0.472244017793716</v>
      </c>
    </row>
    <row r="75" spans="1:15" ht="16.5" customHeight="1" x14ac:dyDescent="0.25">
      <c r="A75" s="119"/>
      <c r="B75" s="72" t="s">
        <v>141</v>
      </c>
      <c r="C75" s="99">
        <f t="shared" ref="C75:G75" si="69">C7+C27+C32</f>
        <v>0</v>
      </c>
      <c r="D75" s="99">
        <f t="shared" si="69"/>
        <v>1200</v>
      </c>
      <c r="E75" s="99">
        <f t="shared" si="69"/>
        <v>0</v>
      </c>
      <c r="F75" s="99">
        <f t="shared" si="69"/>
        <v>1200</v>
      </c>
      <c r="G75" s="99">
        <f t="shared" si="69"/>
        <v>3982</v>
      </c>
      <c r="H75" s="99">
        <f t="shared" ref="H75:N75" si="70">H7+H27+H32</f>
        <v>0</v>
      </c>
      <c r="I75" s="99">
        <f t="shared" si="70"/>
        <v>0</v>
      </c>
      <c r="J75" s="99">
        <f t="shared" si="70"/>
        <v>0</v>
      </c>
      <c r="K75" s="99">
        <f t="shared" si="70"/>
        <v>0</v>
      </c>
      <c r="L75" s="99">
        <f t="shared" ref="L75" si="71">L7+L27+L32</f>
        <v>0</v>
      </c>
      <c r="M75" s="99">
        <f t="shared" si="70"/>
        <v>0</v>
      </c>
      <c r="N75" s="99">
        <f t="shared" si="70"/>
        <v>0</v>
      </c>
      <c r="O75" s="174"/>
    </row>
    <row r="76" spans="1:15" ht="16.5" customHeight="1" x14ac:dyDescent="0.25">
      <c r="A76" s="119"/>
      <c r="B76" s="72" t="s">
        <v>144</v>
      </c>
      <c r="C76" s="99">
        <f t="shared" ref="C76:G76" si="72">C56</f>
        <v>0</v>
      </c>
      <c r="D76" s="99">
        <f t="shared" si="72"/>
        <v>8342</v>
      </c>
      <c r="E76" s="99">
        <f t="shared" si="72"/>
        <v>0</v>
      </c>
      <c r="F76" s="99">
        <f t="shared" si="72"/>
        <v>8342</v>
      </c>
      <c r="G76" s="99">
        <f t="shared" si="72"/>
        <v>25550</v>
      </c>
      <c r="H76" s="99">
        <f t="shared" ref="H76:N76" si="73">H56</f>
        <v>2000</v>
      </c>
      <c r="I76" s="99">
        <f t="shared" si="73"/>
        <v>0</v>
      </c>
      <c r="J76" s="99">
        <f t="shared" si="73"/>
        <v>26954</v>
      </c>
      <c r="K76" s="99">
        <f t="shared" si="73"/>
        <v>-1168</v>
      </c>
      <c r="L76" s="99">
        <f t="shared" ref="L76" si="74">L56</f>
        <v>0</v>
      </c>
      <c r="M76" s="99">
        <f t="shared" si="73"/>
        <v>27786</v>
      </c>
      <c r="N76" s="99">
        <f t="shared" si="73"/>
        <v>26954.726999999999</v>
      </c>
      <c r="O76" s="174">
        <f t="shared" si="62"/>
        <v>0.97008302742388253</v>
      </c>
    </row>
    <row r="77" spans="1:15" ht="16.5" customHeight="1" x14ac:dyDescent="0.25">
      <c r="A77" s="130"/>
      <c r="B77" s="84" t="s">
        <v>59</v>
      </c>
      <c r="C77" s="131">
        <f t="shared" ref="C77:G77" si="75">C33+C66</f>
        <v>525400</v>
      </c>
      <c r="D77" s="131">
        <f t="shared" si="75"/>
        <v>8342</v>
      </c>
      <c r="E77" s="131">
        <f t="shared" si="75"/>
        <v>0</v>
      </c>
      <c r="F77" s="131">
        <f t="shared" si="75"/>
        <v>533742</v>
      </c>
      <c r="G77" s="131">
        <f t="shared" si="75"/>
        <v>546741</v>
      </c>
      <c r="H77" s="131">
        <f t="shared" ref="H77:N77" si="76">H33+H66</f>
        <v>526800</v>
      </c>
      <c r="I77" s="131">
        <f t="shared" si="76"/>
        <v>0</v>
      </c>
      <c r="J77" s="131">
        <f t="shared" si="76"/>
        <v>26954</v>
      </c>
      <c r="K77" s="131">
        <f t="shared" si="76"/>
        <v>510</v>
      </c>
      <c r="L77" s="131">
        <f t="shared" ref="L77" si="77">L33+L66</f>
        <v>0</v>
      </c>
      <c r="M77" s="131">
        <f t="shared" si="76"/>
        <v>554264</v>
      </c>
      <c r="N77" s="131">
        <f t="shared" si="76"/>
        <v>255146.78300000002</v>
      </c>
      <c r="O77" s="175">
        <f t="shared" si="62"/>
        <v>0.4603343948010335</v>
      </c>
    </row>
    <row r="78" spans="1:15" ht="16.5" customHeight="1" x14ac:dyDescent="0.25">
      <c r="A78" s="123"/>
      <c r="B78" s="77" t="s">
        <v>142</v>
      </c>
      <c r="C78" s="125">
        <f t="shared" ref="C78:G78" si="78">C34+C37+C38+C44+C45-C49</f>
        <v>525400</v>
      </c>
      <c r="D78" s="125">
        <f t="shared" si="78"/>
        <v>5380</v>
      </c>
      <c r="E78" s="125">
        <f t="shared" si="78"/>
        <v>0</v>
      </c>
      <c r="F78" s="125">
        <f t="shared" si="78"/>
        <v>530780</v>
      </c>
      <c r="G78" s="125">
        <f t="shared" si="78"/>
        <v>545224</v>
      </c>
      <c r="H78" s="125">
        <f t="shared" ref="H78:N78" si="79">H34+H37+H38+H44+H45-H49</f>
        <v>526800</v>
      </c>
      <c r="I78" s="125">
        <f t="shared" si="79"/>
        <v>0</v>
      </c>
      <c r="J78" s="125">
        <f t="shared" si="79"/>
        <v>16654</v>
      </c>
      <c r="K78" s="125">
        <f t="shared" si="79"/>
        <v>-1168</v>
      </c>
      <c r="L78" s="125">
        <f t="shared" ref="L78" si="80">L34+L37+L38+L44+L45-L49</f>
        <v>-850</v>
      </c>
      <c r="M78" s="125">
        <f t="shared" si="79"/>
        <v>541436</v>
      </c>
      <c r="N78" s="125">
        <f t="shared" si="79"/>
        <v>250666.03100000002</v>
      </c>
      <c r="O78" s="176">
        <f t="shared" si="62"/>
        <v>0.46296520918446504</v>
      </c>
    </row>
    <row r="79" spans="1:15" ht="16.5" customHeight="1" x14ac:dyDescent="0.25">
      <c r="A79" s="123"/>
      <c r="B79" s="77" t="s">
        <v>141</v>
      </c>
      <c r="C79" s="125">
        <f t="shared" ref="C79:G79" si="81">C49+C50+C51+C52</f>
        <v>0</v>
      </c>
      <c r="D79" s="125">
        <f t="shared" si="81"/>
        <v>2962</v>
      </c>
      <c r="E79" s="125">
        <f t="shared" si="81"/>
        <v>0</v>
      </c>
      <c r="F79" s="125">
        <f t="shared" si="81"/>
        <v>2962</v>
      </c>
      <c r="G79" s="125">
        <f t="shared" si="81"/>
        <v>1517</v>
      </c>
      <c r="H79" s="125">
        <f t="shared" ref="H79:N79" si="82">H49+H50+H51+H52</f>
        <v>0</v>
      </c>
      <c r="I79" s="125">
        <f t="shared" si="82"/>
        <v>0</v>
      </c>
      <c r="J79" s="125">
        <f t="shared" si="82"/>
        <v>10300</v>
      </c>
      <c r="K79" s="125">
        <f t="shared" si="82"/>
        <v>1678</v>
      </c>
      <c r="L79" s="125">
        <f t="shared" ref="L79" si="83">L49+L50+L51+L52</f>
        <v>850</v>
      </c>
      <c r="M79" s="125">
        <f t="shared" si="82"/>
        <v>12828</v>
      </c>
      <c r="N79" s="125">
        <f t="shared" si="82"/>
        <v>4480.7520000000004</v>
      </c>
      <c r="O79" s="176">
        <f t="shared" si="62"/>
        <v>0.34929466791393832</v>
      </c>
    </row>
    <row r="80" spans="1:15" ht="16.5" customHeight="1" x14ac:dyDescent="0.25">
      <c r="A80" s="123"/>
      <c r="B80" s="77" t="s">
        <v>144</v>
      </c>
      <c r="C80" s="125">
        <f t="shared" ref="C80:G80" si="84">C66</f>
        <v>0</v>
      </c>
      <c r="D80" s="125">
        <f t="shared" si="84"/>
        <v>0</v>
      </c>
      <c r="E80" s="125">
        <f t="shared" si="84"/>
        <v>0</v>
      </c>
      <c r="F80" s="125">
        <f t="shared" si="84"/>
        <v>0</v>
      </c>
      <c r="G80" s="125">
        <f t="shared" si="84"/>
        <v>0</v>
      </c>
      <c r="H80" s="125">
        <f t="shared" ref="H80:N80" si="85">H66</f>
        <v>0</v>
      </c>
      <c r="I80" s="125">
        <f t="shared" si="85"/>
        <v>0</v>
      </c>
      <c r="J80" s="125">
        <f t="shared" si="85"/>
        <v>0</v>
      </c>
      <c r="K80" s="125">
        <f t="shared" si="85"/>
        <v>0</v>
      </c>
      <c r="L80" s="125">
        <f t="shared" ref="L80" si="86">L66</f>
        <v>0</v>
      </c>
      <c r="M80" s="125">
        <f t="shared" si="85"/>
        <v>0</v>
      </c>
      <c r="N80" s="125">
        <f t="shared" si="85"/>
        <v>0</v>
      </c>
      <c r="O80" s="176"/>
    </row>
    <row r="81" spans="1:15" ht="16.5" customHeight="1" x14ac:dyDescent="0.25">
      <c r="A81" s="132"/>
      <c r="B81" s="86" t="s">
        <v>55</v>
      </c>
      <c r="C81" s="133">
        <f t="shared" ref="C81:G84" si="87">C73-C77</f>
        <v>0</v>
      </c>
      <c r="D81" s="133">
        <f t="shared" si="87"/>
        <v>0</v>
      </c>
      <c r="E81" s="133">
        <f t="shared" si="87"/>
        <v>0</v>
      </c>
      <c r="F81" s="133">
        <f t="shared" si="87"/>
        <v>0</v>
      </c>
      <c r="G81" s="133">
        <f t="shared" si="87"/>
        <v>31195</v>
      </c>
      <c r="H81" s="133">
        <f t="shared" ref="H81:M83" si="88">H73-H77</f>
        <v>0</v>
      </c>
      <c r="I81" s="133">
        <f t="shared" si="88"/>
        <v>0</v>
      </c>
      <c r="J81" s="133">
        <f t="shared" ref="J81:K83" si="89">J73-J77</f>
        <v>0</v>
      </c>
      <c r="K81" s="133">
        <f t="shared" si="89"/>
        <v>0</v>
      </c>
      <c r="L81" s="133">
        <f t="shared" ref="L81" si="90">L73-L77</f>
        <v>0</v>
      </c>
      <c r="M81" s="133">
        <f t="shared" si="88"/>
        <v>0</v>
      </c>
      <c r="N81" s="133">
        <f t="shared" ref="N81" si="91">N73-N77</f>
        <v>20434.03</v>
      </c>
      <c r="O81" s="177"/>
    </row>
    <row r="82" spans="1:15" ht="16.5" customHeight="1" x14ac:dyDescent="0.25">
      <c r="A82" s="134"/>
      <c r="B82" s="89" t="s">
        <v>140</v>
      </c>
      <c r="C82" s="135">
        <f t="shared" si="87"/>
        <v>0</v>
      </c>
      <c r="D82" s="135">
        <f t="shared" si="87"/>
        <v>-6580</v>
      </c>
      <c r="E82" s="135">
        <f t="shared" si="87"/>
        <v>0</v>
      </c>
      <c r="F82" s="135">
        <f t="shared" si="87"/>
        <v>-6580</v>
      </c>
      <c r="G82" s="135">
        <f t="shared" si="87"/>
        <v>3180</v>
      </c>
      <c r="H82" s="135">
        <f t="shared" si="88"/>
        <v>-2000</v>
      </c>
      <c r="I82" s="135">
        <f t="shared" si="88"/>
        <v>0</v>
      </c>
      <c r="J82" s="135">
        <f t="shared" si="89"/>
        <v>-16654</v>
      </c>
      <c r="K82" s="135">
        <f t="shared" si="89"/>
        <v>2846</v>
      </c>
      <c r="L82" s="135">
        <f t="shared" ref="L82" si="92">L74-L78</f>
        <v>850</v>
      </c>
      <c r="M82" s="135">
        <f t="shared" si="88"/>
        <v>-14958</v>
      </c>
      <c r="N82" s="135">
        <f t="shared" ref="N82" si="93">N74-N78</f>
        <v>-2039.945000000007</v>
      </c>
      <c r="O82" s="178">
        <f>N82/M82</f>
        <v>0.13637819227169454</v>
      </c>
    </row>
    <row r="83" spans="1:15" ht="16.5" customHeight="1" x14ac:dyDescent="0.25">
      <c r="A83" s="134"/>
      <c r="B83" s="89" t="s">
        <v>143</v>
      </c>
      <c r="C83" s="135">
        <f t="shared" si="87"/>
        <v>0</v>
      </c>
      <c r="D83" s="135">
        <f t="shared" si="87"/>
        <v>-1762</v>
      </c>
      <c r="E83" s="135">
        <f t="shared" si="87"/>
        <v>0</v>
      </c>
      <c r="F83" s="135">
        <f t="shared" si="87"/>
        <v>-1762</v>
      </c>
      <c r="G83" s="135">
        <f t="shared" si="87"/>
        <v>2465</v>
      </c>
      <c r="H83" s="135">
        <f t="shared" si="88"/>
        <v>0</v>
      </c>
      <c r="I83" s="135">
        <f t="shared" si="88"/>
        <v>0</v>
      </c>
      <c r="J83" s="135">
        <f t="shared" si="89"/>
        <v>-10300</v>
      </c>
      <c r="K83" s="135">
        <f t="shared" si="89"/>
        <v>-1678</v>
      </c>
      <c r="L83" s="135">
        <f t="shared" ref="L83" si="94">L75-L79</f>
        <v>-850</v>
      </c>
      <c r="M83" s="135">
        <f t="shared" si="88"/>
        <v>-12828</v>
      </c>
      <c r="N83" s="135">
        <f t="shared" ref="N83" si="95">N75-N79</f>
        <v>-4480.7520000000004</v>
      </c>
      <c r="O83" s="178">
        <f>N83/M83</f>
        <v>0.34929466791393832</v>
      </c>
    </row>
    <row r="84" spans="1:15" ht="16.5" customHeight="1" x14ac:dyDescent="0.25">
      <c r="A84" s="134"/>
      <c r="B84" s="89" t="s">
        <v>144</v>
      </c>
      <c r="C84" s="135">
        <f t="shared" si="87"/>
        <v>0</v>
      </c>
      <c r="D84" s="135">
        <f t="shared" si="87"/>
        <v>8342</v>
      </c>
      <c r="E84" s="135">
        <f t="shared" si="87"/>
        <v>0</v>
      </c>
      <c r="F84" s="135">
        <f t="shared" si="87"/>
        <v>8342</v>
      </c>
      <c r="G84" s="135">
        <f t="shared" ref="G84:M84" si="96">G72</f>
        <v>25550</v>
      </c>
      <c r="H84" s="135">
        <f t="shared" si="96"/>
        <v>2000</v>
      </c>
      <c r="I84" s="135">
        <f t="shared" si="96"/>
        <v>0</v>
      </c>
      <c r="J84" s="135">
        <f t="shared" si="96"/>
        <v>26954</v>
      </c>
      <c r="K84" s="135">
        <f t="shared" si="96"/>
        <v>-1168</v>
      </c>
      <c r="L84" s="135">
        <f t="shared" ref="L84" si="97">L72</f>
        <v>0</v>
      </c>
      <c r="M84" s="135">
        <f t="shared" si="96"/>
        <v>27786</v>
      </c>
      <c r="N84" s="135">
        <f t="shared" ref="N84" si="98">N72</f>
        <v>26954.726999999999</v>
      </c>
      <c r="O84" s="178">
        <f>N84/M84</f>
        <v>0.97008302742388253</v>
      </c>
    </row>
    <row r="88" spans="1:15" x14ac:dyDescent="0.25">
      <c r="H88" s="14"/>
      <c r="I88" s="14"/>
      <c r="J88" s="14"/>
      <c r="K88" s="14"/>
      <c r="L88" s="14"/>
      <c r="M88" s="14"/>
      <c r="N88" s="14"/>
    </row>
    <row r="89" spans="1:15" x14ac:dyDescent="0.25">
      <c r="F89" s="19"/>
      <c r="G89" s="19"/>
      <c r="H89" s="14"/>
      <c r="I89" s="14"/>
      <c r="J89" s="14"/>
      <c r="K89" s="14"/>
      <c r="L89" s="14"/>
      <c r="M89" s="14"/>
      <c r="N89" s="14"/>
    </row>
    <row r="90" spans="1:15" x14ac:dyDescent="0.25">
      <c r="F90" s="20"/>
      <c r="G90" s="20"/>
      <c r="H90" s="14"/>
      <c r="I90" s="14"/>
      <c r="J90" s="14"/>
      <c r="K90" s="14"/>
      <c r="L90" s="14"/>
      <c r="M90" s="14"/>
      <c r="N90" s="14"/>
    </row>
    <row r="91" spans="1:15" x14ac:dyDescent="0.25">
      <c r="F91" s="19"/>
      <c r="G91" s="19"/>
      <c r="H91" s="14"/>
      <c r="I91" s="14"/>
      <c r="J91" s="14"/>
      <c r="K91" s="14"/>
      <c r="L91" s="14"/>
      <c r="M91" s="14"/>
      <c r="N91" s="14"/>
    </row>
    <row r="92" spans="1:15" x14ac:dyDescent="0.25">
      <c r="F92" s="19"/>
      <c r="G92" s="19"/>
      <c r="H92" s="14"/>
      <c r="I92" s="14"/>
      <c r="J92" s="14"/>
      <c r="K92" s="14"/>
      <c r="L92" s="14"/>
      <c r="M92" s="14"/>
      <c r="N92" s="14"/>
    </row>
    <row r="93" spans="1:15" x14ac:dyDescent="0.25">
      <c r="F93" s="19"/>
      <c r="G93" s="19"/>
      <c r="H93" s="14"/>
      <c r="I93" s="14"/>
      <c r="J93" s="14"/>
      <c r="K93" s="14"/>
      <c r="L93" s="14"/>
      <c r="M93" s="14"/>
      <c r="N93" s="14"/>
    </row>
    <row r="94" spans="1:15" x14ac:dyDescent="0.25">
      <c r="F94" s="19"/>
      <c r="G94" s="19"/>
      <c r="H94" s="14"/>
      <c r="I94" s="14"/>
      <c r="J94" s="14"/>
      <c r="K94" s="14"/>
      <c r="L94" s="14"/>
      <c r="M94" s="14"/>
      <c r="N94" s="14"/>
    </row>
    <row r="95" spans="1:15" x14ac:dyDescent="0.25">
      <c r="F95" s="19"/>
      <c r="G95" s="19"/>
      <c r="H95" s="14"/>
      <c r="I95" s="14"/>
      <c r="J95" s="14"/>
      <c r="K95" s="14"/>
      <c r="L95" s="14"/>
      <c r="M95" s="14"/>
      <c r="N95" s="14"/>
    </row>
    <row r="96" spans="1:15" ht="14.45" customHeight="1" x14ac:dyDescent="0.25">
      <c r="F96" s="19"/>
      <c r="G96" s="19"/>
      <c r="H96" s="14"/>
      <c r="I96" s="14"/>
      <c r="J96" s="14"/>
      <c r="K96" s="14"/>
      <c r="L96" s="14"/>
      <c r="M96" s="14"/>
      <c r="N96" s="14"/>
    </row>
    <row r="97" spans="6:14" ht="14.45" customHeight="1" x14ac:dyDescent="0.25">
      <c r="F97" s="19"/>
      <c r="G97" s="19"/>
      <c r="H97" s="14"/>
      <c r="I97" s="14"/>
      <c r="J97" s="14"/>
      <c r="K97" s="14"/>
      <c r="L97" s="14"/>
      <c r="M97" s="14"/>
      <c r="N97" s="14"/>
    </row>
    <row r="98" spans="6:14" x14ac:dyDescent="0.25">
      <c r="F98" s="19"/>
      <c r="G98" s="19"/>
      <c r="H98" s="14"/>
      <c r="I98" s="14"/>
      <c r="J98" s="14"/>
      <c r="K98" s="14"/>
      <c r="L98" s="14"/>
      <c r="M98" s="14"/>
      <c r="N98" s="14"/>
    </row>
    <row r="99" spans="6:14" x14ac:dyDescent="0.25">
      <c r="F99" s="19"/>
      <c r="G99" s="19"/>
      <c r="H99" s="14"/>
      <c r="I99" s="14"/>
      <c r="J99" s="14"/>
      <c r="K99" s="14"/>
      <c r="L99" s="14"/>
      <c r="M99" s="14"/>
      <c r="N99" s="14"/>
    </row>
    <row r="100" spans="6:14" x14ac:dyDescent="0.25">
      <c r="F100" s="19"/>
      <c r="G100" s="19"/>
      <c r="H100" s="14"/>
      <c r="I100" s="14"/>
      <c r="J100" s="14"/>
      <c r="K100" s="14"/>
      <c r="L100" s="14"/>
      <c r="M100" s="14"/>
      <c r="N100" s="14"/>
    </row>
    <row r="101" spans="6:14" x14ac:dyDescent="0.25">
      <c r="F101" s="19"/>
      <c r="G101" s="19"/>
      <c r="H101" s="14"/>
      <c r="I101" s="14"/>
      <c r="J101" s="14"/>
      <c r="K101" s="14"/>
      <c r="L101" s="14"/>
      <c r="M101" s="14"/>
      <c r="N101" s="14"/>
    </row>
    <row r="102" spans="6:14" x14ac:dyDescent="0.25">
      <c r="F102" s="19"/>
      <c r="G102" s="19"/>
      <c r="H102" s="14"/>
      <c r="I102" s="14"/>
      <c r="J102" s="14"/>
      <c r="K102" s="14"/>
      <c r="L102" s="14"/>
      <c r="M102" s="14"/>
      <c r="N102" s="14"/>
    </row>
    <row r="103" spans="6:14" x14ac:dyDescent="0.25">
      <c r="F103" s="19"/>
      <c r="G103" s="19"/>
      <c r="H103" s="14"/>
      <c r="I103" s="14"/>
      <c r="J103" s="14"/>
      <c r="K103" s="14"/>
      <c r="L103" s="14"/>
      <c r="M103" s="14"/>
      <c r="N103" s="14"/>
    </row>
    <row r="104" spans="6:14" x14ac:dyDescent="0.25">
      <c r="F104" s="19"/>
      <c r="G104" s="19"/>
      <c r="H104" s="14"/>
      <c r="I104" s="14"/>
      <c r="J104" s="14"/>
      <c r="K104" s="14"/>
      <c r="L104" s="14"/>
      <c r="M104" s="14"/>
      <c r="N104" s="14"/>
    </row>
    <row r="105" spans="6:14" x14ac:dyDescent="0.25">
      <c r="F105" s="19"/>
      <c r="G105" s="19"/>
      <c r="H105" s="14"/>
      <c r="I105" s="14"/>
      <c r="J105" s="14"/>
      <c r="K105" s="14"/>
      <c r="L105" s="14"/>
      <c r="M105" s="14"/>
      <c r="N105" s="14"/>
    </row>
    <row r="106" spans="6:14" x14ac:dyDescent="0.25">
      <c r="F106" s="19"/>
      <c r="G106" s="19"/>
      <c r="H106" s="14"/>
      <c r="I106" s="14"/>
      <c r="J106" s="14"/>
      <c r="K106" s="14"/>
      <c r="L106" s="14"/>
      <c r="M106" s="14"/>
      <c r="N106" s="14"/>
    </row>
    <row r="107" spans="6:14" x14ac:dyDescent="0.25">
      <c r="F107" s="19"/>
      <c r="G107" s="19"/>
      <c r="H107" s="14"/>
      <c r="I107" s="14"/>
      <c r="J107" s="14"/>
      <c r="K107" s="14"/>
      <c r="L107" s="14"/>
      <c r="M107" s="14"/>
      <c r="N107" s="14"/>
    </row>
    <row r="108" spans="6:14" x14ac:dyDescent="0.25">
      <c r="F108" s="19"/>
      <c r="G108" s="19"/>
      <c r="H108" s="14"/>
      <c r="I108" s="14"/>
      <c r="J108" s="14"/>
      <c r="K108" s="14"/>
      <c r="L108" s="14"/>
      <c r="M108" s="14"/>
      <c r="N108" s="14"/>
    </row>
    <row r="109" spans="6:14" x14ac:dyDescent="0.25">
      <c r="F109" s="19"/>
      <c r="G109" s="19"/>
      <c r="H109" s="14"/>
      <c r="I109" s="14"/>
      <c r="J109" s="14"/>
      <c r="K109" s="14"/>
      <c r="L109" s="14"/>
      <c r="M109" s="14"/>
      <c r="N109" s="14"/>
    </row>
    <row r="110" spans="6:14" x14ac:dyDescent="0.25">
      <c r="F110" s="19"/>
      <c r="G110" s="19"/>
      <c r="H110" s="14"/>
      <c r="I110" s="14"/>
      <c r="J110" s="14"/>
      <c r="K110" s="14"/>
      <c r="L110" s="14"/>
      <c r="M110" s="14"/>
      <c r="N110" s="14"/>
    </row>
    <row r="111" spans="6:14" x14ac:dyDescent="0.25">
      <c r="F111" s="19"/>
      <c r="G111" s="19"/>
      <c r="H111" s="14"/>
      <c r="I111" s="14"/>
      <c r="J111" s="14"/>
      <c r="K111" s="14"/>
      <c r="L111" s="14"/>
      <c r="M111" s="14"/>
      <c r="N111" s="14"/>
    </row>
    <row r="112" spans="6:14" x14ac:dyDescent="0.25">
      <c r="F112" s="19"/>
      <c r="G112" s="19"/>
      <c r="H112" s="14"/>
      <c r="I112" s="14"/>
      <c r="J112" s="14"/>
      <c r="K112" s="14"/>
      <c r="L112" s="14"/>
      <c r="M112" s="14"/>
      <c r="N112" s="14"/>
    </row>
    <row r="113" spans="3:14" x14ac:dyDescent="0.25">
      <c r="F113" s="19"/>
      <c r="G113" s="19"/>
      <c r="H113" s="14"/>
      <c r="I113" s="14"/>
      <c r="J113" s="14"/>
      <c r="K113" s="14"/>
      <c r="L113" s="14"/>
      <c r="M113" s="14"/>
      <c r="N113" s="14"/>
    </row>
    <row r="114" spans="3:14" x14ac:dyDescent="0.25">
      <c r="F114" s="19"/>
      <c r="G114" s="19"/>
    </row>
    <row r="121" spans="3:14" ht="12.75" x14ac:dyDescent="0.25">
      <c r="C121" s="14"/>
      <c r="D121" s="14"/>
      <c r="F121" s="14"/>
      <c r="G121" s="14"/>
      <c r="H121" s="14"/>
      <c r="I121" s="14"/>
      <c r="J121" s="14"/>
      <c r="K121" s="14"/>
      <c r="L121" s="14"/>
      <c r="M121" s="14"/>
      <c r="N121" s="14"/>
    </row>
  </sheetData>
  <mergeCells count="6">
    <mergeCell ref="N1:O1"/>
    <mergeCell ref="H1:M1"/>
    <mergeCell ref="C1:F1"/>
    <mergeCell ref="A1:A2"/>
    <mergeCell ref="B1:B2"/>
    <mergeCell ref="G1:G2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61" orientation="portrait" r:id="rId1"/>
  <headerFooter>
    <oddHeader>&amp;C&amp;"Times New Roman,Félkövér"&amp;10Szentendre Város Önkormányzat összevont bevételei és kiadásai mérlegszerűen 
2016. év&amp;R&amp;"Times New Roman,Normál"&amp;10 1c. sz. melléklet
EFt</oddHeader>
    <oddFooter>&amp;R&amp;D</oddFooter>
  </headerFooter>
  <rowBreaks count="1" manualBreakCount="1">
    <brk id="11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21"/>
  <sheetViews>
    <sheetView view="pageBreakPreview" zoomScale="90" zoomScaleNormal="90" zoomScaleSheetLayoutView="90" workbookViewId="0">
      <pane xSplit="2" ySplit="3" topLeftCell="C4" activePane="bottomRight" state="frozen"/>
      <selection activeCell="B6" sqref="B6"/>
      <selection pane="topRight" activeCell="B6" sqref="B6"/>
      <selection pane="bottomLeft" activeCell="B6" sqref="B6"/>
      <selection pane="bottomRight" activeCell="B79" sqref="B79"/>
    </sheetView>
  </sheetViews>
  <sheetFormatPr defaultColWidth="9.28515625" defaultRowHeight="15" x14ac:dyDescent="0.25"/>
  <cols>
    <col min="1" max="1" width="7.85546875" style="14" customWidth="1"/>
    <col min="2" max="2" width="68.5703125" style="14" customWidth="1"/>
    <col min="3" max="3" width="15.7109375" style="9" hidden="1" customWidth="1"/>
    <col min="4" max="5" width="13" style="9" hidden="1" customWidth="1"/>
    <col min="6" max="6" width="15.7109375" style="14" hidden="1" customWidth="1"/>
    <col min="7" max="8" width="13.85546875" style="18" hidden="1" customWidth="1"/>
    <col min="9" max="14" width="14.7109375" style="17" customWidth="1"/>
    <col min="15" max="15" width="12.85546875" style="17" hidden="1" customWidth="1"/>
    <col min="16" max="16" width="9.28515625" style="155" hidden="1" customWidth="1"/>
    <col min="17" max="18" width="9.28515625" style="14" customWidth="1"/>
    <col min="19" max="19" width="17.85546875" style="14" customWidth="1"/>
    <col min="20" max="26" width="9.28515625" style="14" customWidth="1"/>
    <col min="27" max="16384" width="9.28515625" style="14"/>
  </cols>
  <sheetData>
    <row r="1" spans="1:16" ht="29.25" customHeight="1" x14ac:dyDescent="0.25">
      <c r="A1" s="201"/>
      <c r="B1" s="202" t="s">
        <v>156</v>
      </c>
      <c r="C1" s="200" t="s">
        <v>162</v>
      </c>
      <c r="D1" s="200"/>
      <c r="E1" s="200"/>
      <c r="F1" s="200"/>
      <c r="G1" s="200"/>
      <c r="H1" s="193" t="s">
        <v>176</v>
      </c>
      <c r="I1" s="200" t="s">
        <v>173</v>
      </c>
      <c r="J1" s="200"/>
      <c r="K1" s="200"/>
      <c r="L1" s="200"/>
      <c r="M1" s="200"/>
      <c r="N1" s="200"/>
      <c r="O1" s="195" t="s">
        <v>187</v>
      </c>
      <c r="P1" s="196"/>
    </row>
    <row r="2" spans="1:16" s="15" customFormat="1" ht="46.5" customHeight="1" x14ac:dyDescent="0.25">
      <c r="A2" s="201"/>
      <c r="B2" s="202"/>
      <c r="C2" s="39" t="s">
        <v>8</v>
      </c>
      <c r="D2" s="39" t="s">
        <v>166</v>
      </c>
      <c r="E2" s="39" t="s">
        <v>174</v>
      </c>
      <c r="F2" s="39" t="s">
        <v>9</v>
      </c>
      <c r="G2" s="39" t="s">
        <v>167</v>
      </c>
      <c r="H2" s="193"/>
      <c r="I2" s="39" t="s">
        <v>8</v>
      </c>
      <c r="J2" s="39" t="s">
        <v>9</v>
      </c>
      <c r="K2" s="39" t="s">
        <v>166</v>
      </c>
      <c r="L2" s="181" t="s">
        <v>192</v>
      </c>
      <c r="M2" s="183" t="s">
        <v>193</v>
      </c>
      <c r="N2" s="45" t="s">
        <v>186</v>
      </c>
      <c r="O2" s="159" t="s">
        <v>190</v>
      </c>
      <c r="P2" s="159" t="s">
        <v>191</v>
      </c>
    </row>
    <row r="3" spans="1:16" ht="16.5" customHeight="1" x14ac:dyDescent="0.25">
      <c r="A3" s="97" t="s">
        <v>0</v>
      </c>
      <c r="B3" s="98" t="s">
        <v>91</v>
      </c>
      <c r="C3" s="99">
        <f t="shared" ref="C3:O3" si="0">C6+C7+C8+C15+C27+C31+C32</f>
        <v>13321</v>
      </c>
      <c r="D3" s="99">
        <f t="shared" si="0"/>
        <v>0</v>
      </c>
      <c r="E3" s="99">
        <f t="shared" si="0"/>
        <v>1500</v>
      </c>
      <c r="F3" s="99">
        <f t="shared" si="0"/>
        <v>0</v>
      </c>
      <c r="G3" s="99">
        <f t="shared" si="0"/>
        <v>14821</v>
      </c>
      <c r="H3" s="99">
        <f t="shared" si="0"/>
        <v>18225</v>
      </c>
      <c r="I3" s="99">
        <f t="shared" si="0"/>
        <v>10285</v>
      </c>
      <c r="J3" s="99">
        <f t="shared" si="0"/>
        <v>0</v>
      </c>
      <c r="K3" s="99">
        <f t="shared" si="0"/>
        <v>3048</v>
      </c>
      <c r="L3" s="99">
        <f t="shared" si="0"/>
        <v>1007</v>
      </c>
      <c r="M3" s="99">
        <f t="shared" si="0"/>
        <v>4603</v>
      </c>
      <c r="N3" s="99">
        <f t="shared" si="0"/>
        <v>18943</v>
      </c>
      <c r="O3" s="99">
        <f t="shared" si="0"/>
        <v>8537.0670000000009</v>
      </c>
      <c r="P3" s="161">
        <f t="shared" ref="P3:P6" si="1">O3/N3</f>
        <v>0.45067132977881014</v>
      </c>
    </row>
    <row r="4" spans="1:16" ht="16.5" customHeight="1" x14ac:dyDescent="0.25">
      <c r="A4" s="100" t="s">
        <v>92</v>
      </c>
      <c r="B4" s="100" t="s">
        <v>12</v>
      </c>
      <c r="C4" s="101"/>
      <c r="D4" s="101"/>
      <c r="E4" s="101"/>
      <c r="F4" s="101"/>
      <c r="G4" s="101">
        <f>SUM(C4:F4)</f>
        <v>0</v>
      </c>
      <c r="H4" s="101"/>
      <c r="I4" s="101"/>
      <c r="J4" s="101"/>
      <c r="K4" s="101"/>
      <c r="L4" s="101"/>
      <c r="M4" s="101"/>
      <c r="N4" s="101"/>
      <c r="O4" s="101"/>
      <c r="P4" s="162"/>
    </row>
    <row r="5" spans="1:16" ht="16.5" customHeight="1" x14ac:dyDescent="0.25">
      <c r="A5" s="100" t="s">
        <v>163</v>
      </c>
      <c r="B5" s="100" t="s">
        <v>164</v>
      </c>
      <c r="C5" s="101"/>
      <c r="D5" s="101"/>
      <c r="E5" s="101"/>
      <c r="F5" s="101"/>
      <c r="G5" s="101">
        <f>SUM(C5:F5)</f>
        <v>0</v>
      </c>
      <c r="H5" s="101">
        <v>4130</v>
      </c>
      <c r="I5" s="101"/>
      <c r="J5" s="101"/>
      <c r="K5" s="101">
        <v>3048</v>
      </c>
      <c r="L5" s="101"/>
      <c r="M5" s="101">
        <f>('[1]Intézményi kezd. ei mód'!$C$16+'[1]Intézményi kezd. ei mód'!$C$19+'[1]Intézményi kezd. ei mód'!$C$22+'[1]Intézményi kezd. ei mód'!$C$25)/1000</f>
        <v>4603</v>
      </c>
      <c r="N5" s="55">
        <f>SUM(I5:M5)</f>
        <v>7651</v>
      </c>
      <c r="O5" s="101">
        <v>3048</v>
      </c>
      <c r="P5" s="162">
        <f t="shared" si="1"/>
        <v>0.39837929682394457</v>
      </c>
    </row>
    <row r="6" spans="1:16" ht="16.5" customHeight="1" x14ac:dyDescent="0.25">
      <c r="A6" s="102" t="s">
        <v>93</v>
      </c>
      <c r="B6" s="102" t="s">
        <v>13</v>
      </c>
      <c r="C6" s="103">
        <f>SUM(C4:C5)</f>
        <v>0</v>
      </c>
      <c r="D6" s="103">
        <f>SUM(D4:D5)</f>
        <v>0</v>
      </c>
      <c r="E6" s="103"/>
      <c r="F6" s="103">
        <f t="shared" ref="F6:O6" si="2">SUM(F4:F5)</f>
        <v>0</v>
      </c>
      <c r="G6" s="103">
        <f t="shared" si="2"/>
        <v>0</v>
      </c>
      <c r="H6" s="103">
        <f t="shared" si="2"/>
        <v>4130</v>
      </c>
      <c r="I6" s="103">
        <f t="shared" si="2"/>
        <v>0</v>
      </c>
      <c r="J6" s="103">
        <f t="shared" si="2"/>
        <v>0</v>
      </c>
      <c r="K6" s="103">
        <f t="shared" si="2"/>
        <v>3048</v>
      </c>
      <c r="L6" s="103">
        <f t="shared" si="2"/>
        <v>0</v>
      </c>
      <c r="M6" s="103">
        <f t="shared" si="2"/>
        <v>4603</v>
      </c>
      <c r="N6" s="103">
        <f t="shared" si="2"/>
        <v>7651</v>
      </c>
      <c r="O6" s="103">
        <f t="shared" si="2"/>
        <v>3048</v>
      </c>
      <c r="P6" s="163">
        <f t="shared" si="1"/>
        <v>0.39837929682394457</v>
      </c>
    </row>
    <row r="7" spans="1:16" ht="16.5" customHeight="1" x14ac:dyDescent="0.25">
      <c r="A7" s="102" t="s">
        <v>94</v>
      </c>
      <c r="B7" s="102" t="s">
        <v>14</v>
      </c>
      <c r="C7" s="103"/>
      <c r="D7" s="103"/>
      <c r="E7" s="103">
        <v>1500</v>
      </c>
      <c r="F7" s="103"/>
      <c r="G7" s="103">
        <f>SUM(C7:F7)</f>
        <v>1500</v>
      </c>
      <c r="H7" s="103"/>
      <c r="I7" s="103"/>
      <c r="J7" s="103"/>
      <c r="K7" s="103"/>
      <c r="L7" s="103"/>
      <c r="M7" s="103"/>
      <c r="N7" s="57">
        <f>SUM(I7:M7)</f>
        <v>0</v>
      </c>
      <c r="O7" s="103"/>
      <c r="P7" s="164"/>
    </row>
    <row r="8" spans="1:16" ht="16.5" customHeight="1" x14ac:dyDescent="0.25">
      <c r="A8" s="102" t="s">
        <v>95</v>
      </c>
      <c r="B8" s="102" t="s">
        <v>4</v>
      </c>
      <c r="C8" s="103">
        <f>SUM(C9,C10,C14)</f>
        <v>0</v>
      </c>
      <c r="D8" s="103">
        <f>SUM(D9,D10,D14)</f>
        <v>0</v>
      </c>
      <c r="E8" s="103"/>
      <c r="F8" s="103">
        <f t="shared" ref="F8:N8" si="3">SUM(F9,F10,F14)</f>
        <v>0</v>
      </c>
      <c r="G8" s="103">
        <f t="shared" si="3"/>
        <v>0</v>
      </c>
      <c r="H8" s="103">
        <f t="shared" si="3"/>
        <v>0</v>
      </c>
      <c r="I8" s="103">
        <f t="shared" si="3"/>
        <v>0</v>
      </c>
      <c r="J8" s="103">
        <f t="shared" si="3"/>
        <v>0</v>
      </c>
      <c r="K8" s="103">
        <f t="shared" si="3"/>
        <v>0</v>
      </c>
      <c r="L8" s="103">
        <f t="shared" si="3"/>
        <v>0</v>
      </c>
      <c r="M8" s="103">
        <f t="shared" si="3"/>
        <v>0</v>
      </c>
      <c r="N8" s="103">
        <f t="shared" si="3"/>
        <v>0</v>
      </c>
      <c r="O8" s="103">
        <f>O9+O11+O12+O13+O14</f>
        <v>0</v>
      </c>
      <c r="P8" s="163"/>
    </row>
    <row r="9" spans="1:16" ht="16.5" hidden="1" customHeight="1" x14ac:dyDescent="0.25">
      <c r="A9" s="100" t="s">
        <v>96</v>
      </c>
      <c r="B9" s="105" t="s">
        <v>15</v>
      </c>
      <c r="C9" s="101"/>
      <c r="D9" s="101"/>
      <c r="E9" s="101"/>
      <c r="F9" s="101"/>
      <c r="G9" s="101">
        <f>SUM(C9:F9)</f>
        <v>0</v>
      </c>
      <c r="H9" s="101"/>
      <c r="I9" s="101"/>
      <c r="J9" s="101"/>
      <c r="K9" s="101"/>
      <c r="L9" s="101"/>
      <c r="M9" s="101"/>
      <c r="N9" s="55">
        <f>SUM(I9:M9)</f>
        <v>0</v>
      </c>
      <c r="O9" s="101"/>
      <c r="P9" s="162"/>
    </row>
    <row r="10" spans="1:16" ht="16.5" hidden="1" customHeight="1" x14ac:dyDescent="0.25">
      <c r="A10" s="100" t="s">
        <v>125</v>
      </c>
      <c r="B10" s="105" t="s">
        <v>126</v>
      </c>
      <c r="C10" s="101">
        <f>SUM(C11:C13)</f>
        <v>0</v>
      </c>
      <c r="D10" s="101"/>
      <c r="E10" s="101"/>
      <c r="F10" s="101">
        <f>SUM(F11:F13)</f>
        <v>0</v>
      </c>
      <c r="G10" s="101">
        <f>SUM(G11:G13)</f>
        <v>0</v>
      </c>
      <c r="H10" s="101"/>
      <c r="I10" s="101">
        <f>SUM(I11:I13)</f>
        <v>0</v>
      </c>
      <c r="J10" s="101">
        <f t="shared" ref="J10:O10" si="4">SUM(J11:J13)</f>
        <v>0</v>
      </c>
      <c r="K10" s="101">
        <f t="shared" si="4"/>
        <v>0</v>
      </c>
      <c r="L10" s="101">
        <f t="shared" si="4"/>
        <v>0</v>
      </c>
      <c r="M10" s="101"/>
      <c r="N10" s="101">
        <f t="shared" si="4"/>
        <v>0</v>
      </c>
      <c r="O10" s="101">
        <f t="shared" si="4"/>
        <v>0</v>
      </c>
      <c r="P10" s="162"/>
    </row>
    <row r="11" spans="1:16" ht="16.5" hidden="1" customHeight="1" x14ac:dyDescent="0.25">
      <c r="A11" s="100" t="s">
        <v>97</v>
      </c>
      <c r="B11" s="105" t="s">
        <v>16</v>
      </c>
      <c r="C11" s="101"/>
      <c r="D11" s="101"/>
      <c r="E11" s="101"/>
      <c r="F11" s="101"/>
      <c r="G11" s="101">
        <f>SUM(C11:F11)</f>
        <v>0</v>
      </c>
      <c r="H11" s="101"/>
      <c r="I11" s="101"/>
      <c r="J11" s="101"/>
      <c r="K11" s="101"/>
      <c r="L11" s="101"/>
      <c r="M11" s="101"/>
      <c r="N11" s="55">
        <f>SUM(I11:M11)</f>
        <v>0</v>
      </c>
      <c r="O11" s="101"/>
      <c r="P11" s="162"/>
    </row>
    <row r="12" spans="1:16" ht="16.5" hidden="1" customHeight="1" x14ac:dyDescent="0.25">
      <c r="A12" s="100" t="s">
        <v>98</v>
      </c>
      <c r="B12" s="105" t="s">
        <v>17</v>
      </c>
      <c r="C12" s="101"/>
      <c r="D12" s="101"/>
      <c r="E12" s="101"/>
      <c r="F12" s="101"/>
      <c r="G12" s="101">
        <f>SUM(C12:F12)</f>
        <v>0</v>
      </c>
      <c r="H12" s="101"/>
      <c r="I12" s="101"/>
      <c r="J12" s="101"/>
      <c r="K12" s="101"/>
      <c r="L12" s="101"/>
      <c r="M12" s="101"/>
      <c r="N12" s="55">
        <f>SUM(I12:M12)</f>
        <v>0</v>
      </c>
      <c r="O12" s="101"/>
      <c r="P12" s="162"/>
    </row>
    <row r="13" spans="1:16" ht="16.5" hidden="1" customHeight="1" x14ac:dyDescent="0.25">
      <c r="A13" s="100" t="s">
        <v>99</v>
      </c>
      <c r="B13" s="100" t="s">
        <v>18</v>
      </c>
      <c r="C13" s="101"/>
      <c r="D13" s="101"/>
      <c r="E13" s="101"/>
      <c r="F13" s="101"/>
      <c r="G13" s="101">
        <f>SUM(C13:F13)</f>
        <v>0</v>
      </c>
      <c r="H13" s="101"/>
      <c r="I13" s="101"/>
      <c r="J13" s="101"/>
      <c r="K13" s="101"/>
      <c r="L13" s="101"/>
      <c r="M13" s="101"/>
      <c r="N13" s="55">
        <f>SUM(I13:M13)</f>
        <v>0</v>
      </c>
      <c r="O13" s="101"/>
      <c r="P13" s="162"/>
    </row>
    <row r="14" spans="1:16" ht="16.5" hidden="1" customHeight="1" x14ac:dyDescent="0.25">
      <c r="A14" s="100" t="s">
        <v>100</v>
      </c>
      <c r="B14" s="100" t="s">
        <v>19</v>
      </c>
      <c r="C14" s="101"/>
      <c r="D14" s="101"/>
      <c r="E14" s="101"/>
      <c r="F14" s="101"/>
      <c r="G14" s="101">
        <f>SUM(C14:F14)</f>
        <v>0</v>
      </c>
      <c r="H14" s="101"/>
      <c r="I14" s="101"/>
      <c r="J14" s="101"/>
      <c r="K14" s="101"/>
      <c r="L14" s="101"/>
      <c r="M14" s="101"/>
      <c r="N14" s="55">
        <f>SUM(I14:M14)</f>
        <v>0</v>
      </c>
      <c r="O14" s="101"/>
      <c r="P14" s="162"/>
    </row>
    <row r="15" spans="1:16" ht="16.5" customHeight="1" x14ac:dyDescent="0.25">
      <c r="A15" s="102" t="s">
        <v>101</v>
      </c>
      <c r="B15" s="102" t="s">
        <v>20</v>
      </c>
      <c r="C15" s="103">
        <f>SUM(C16:C26)</f>
        <v>13321</v>
      </c>
      <c r="D15" s="103">
        <f>SUM(D16:D26)</f>
        <v>0</v>
      </c>
      <c r="E15" s="103"/>
      <c r="F15" s="103">
        <f t="shared" ref="F15:O15" si="5">SUM(F16:F26)</f>
        <v>0</v>
      </c>
      <c r="G15" s="103">
        <f t="shared" si="5"/>
        <v>13321</v>
      </c>
      <c r="H15" s="103">
        <f t="shared" si="5"/>
        <v>13434</v>
      </c>
      <c r="I15" s="103">
        <f t="shared" si="5"/>
        <v>10285</v>
      </c>
      <c r="J15" s="103">
        <f t="shared" si="5"/>
        <v>0</v>
      </c>
      <c r="K15" s="103">
        <f t="shared" si="5"/>
        <v>0</v>
      </c>
      <c r="L15" s="103">
        <f t="shared" si="5"/>
        <v>1007</v>
      </c>
      <c r="M15" s="103">
        <f t="shared" si="5"/>
        <v>0</v>
      </c>
      <c r="N15" s="103">
        <f t="shared" si="5"/>
        <v>11292</v>
      </c>
      <c r="O15" s="103">
        <f t="shared" si="5"/>
        <v>5448.4479999999994</v>
      </c>
      <c r="P15" s="165">
        <f>O15/N15</f>
        <v>0.4825051363797378</v>
      </c>
    </row>
    <row r="16" spans="1:16" ht="16.5" hidden="1" customHeight="1" x14ac:dyDescent="0.25">
      <c r="A16" s="105" t="s">
        <v>102</v>
      </c>
      <c r="B16" s="106" t="s">
        <v>21</v>
      </c>
      <c r="C16" s="107"/>
      <c r="D16" s="107"/>
      <c r="E16" s="107"/>
      <c r="F16" s="107"/>
      <c r="G16" s="107">
        <f>SUM(C16:F16)</f>
        <v>0</v>
      </c>
      <c r="H16" s="107">
        <v>119</v>
      </c>
      <c r="I16" s="107">
        <v>0</v>
      </c>
      <c r="J16" s="107"/>
      <c r="K16" s="107"/>
      <c r="L16" s="107"/>
      <c r="M16" s="107"/>
      <c r="N16" s="55">
        <f>SUM(I16:M16)</f>
        <v>0</v>
      </c>
      <c r="O16" s="107">
        <v>15.762</v>
      </c>
      <c r="P16" s="162"/>
    </row>
    <row r="17" spans="1:16" ht="16.5" hidden="1" customHeight="1" x14ac:dyDescent="0.25">
      <c r="A17" s="105" t="s">
        <v>103</v>
      </c>
      <c r="B17" s="106" t="s">
        <v>22</v>
      </c>
      <c r="C17" s="107">
        <f>4816+5440</f>
        <v>10256</v>
      </c>
      <c r="D17" s="101"/>
      <c r="E17" s="107"/>
      <c r="F17" s="101"/>
      <c r="G17" s="107">
        <f t="shared" ref="G17:G46" si="6">SUM(C17:F17)</f>
        <v>10256</v>
      </c>
      <c r="H17" s="107">
        <v>10610</v>
      </c>
      <c r="I17" s="107">
        <v>7316</v>
      </c>
      <c r="J17" s="101"/>
      <c r="K17" s="101"/>
      <c r="L17" s="101"/>
      <c r="M17" s="101"/>
      <c r="N17" s="55">
        <f t="shared" ref="N17:N26" si="7">SUM(I17:M17)</f>
        <v>7316</v>
      </c>
      <c r="O17" s="101">
        <v>3448.788</v>
      </c>
      <c r="P17" s="162">
        <f t="shared" ref="P17:P26" si="8">O17/N17</f>
        <v>0.47140349917987973</v>
      </c>
    </row>
    <row r="18" spans="1:16" ht="16.5" hidden="1" customHeight="1" x14ac:dyDescent="0.25">
      <c r="A18" s="105" t="s">
        <v>104</v>
      </c>
      <c r="B18" s="106" t="s">
        <v>23</v>
      </c>
      <c r="C18" s="107">
        <v>40</v>
      </c>
      <c r="D18" s="101"/>
      <c r="E18" s="107"/>
      <c r="F18" s="101"/>
      <c r="G18" s="107">
        <f t="shared" si="6"/>
        <v>40</v>
      </c>
      <c r="H18" s="107">
        <v>18</v>
      </c>
      <c r="I18" s="107"/>
      <c r="J18" s="101"/>
      <c r="K18" s="101"/>
      <c r="L18" s="101"/>
      <c r="M18" s="101"/>
      <c r="N18" s="55">
        <f t="shared" si="7"/>
        <v>0</v>
      </c>
      <c r="O18" s="101">
        <v>6.8360000000000003</v>
      </c>
      <c r="P18" s="162"/>
    </row>
    <row r="19" spans="1:16" ht="16.5" hidden="1" customHeight="1" x14ac:dyDescent="0.25">
      <c r="A19" s="105" t="s">
        <v>105</v>
      </c>
      <c r="B19" s="106" t="s">
        <v>24</v>
      </c>
      <c r="C19" s="107"/>
      <c r="D19" s="101"/>
      <c r="E19" s="107"/>
      <c r="F19" s="101"/>
      <c r="G19" s="107">
        <f t="shared" si="6"/>
        <v>0</v>
      </c>
      <c r="H19" s="107"/>
      <c r="I19" s="107"/>
      <c r="J19" s="101"/>
      <c r="K19" s="101"/>
      <c r="L19" s="101"/>
      <c r="M19" s="101"/>
      <c r="N19" s="55">
        <f t="shared" si="7"/>
        <v>0</v>
      </c>
      <c r="O19" s="101">
        <v>0</v>
      </c>
      <c r="P19" s="162"/>
    </row>
    <row r="20" spans="1:16" ht="16.5" hidden="1" customHeight="1" x14ac:dyDescent="0.25">
      <c r="A20" s="105" t="s">
        <v>106</v>
      </c>
      <c r="B20" s="106" t="s">
        <v>25</v>
      </c>
      <c r="C20" s="107"/>
      <c r="D20" s="101"/>
      <c r="E20" s="107"/>
      <c r="F20" s="101"/>
      <c r="G20" s="107">
        <f t="shared" si="6"/>
        <v>0</v>
      </c>
      <c r="H20" s="107"/>
      <c r="I20" s="107"/>
      <c r="J20" s="101"/>
      <c r="K20" s="101"/>
      <c r="L20" s="101"/>
      <c r="M20" s="101"/>
      <c r="N20" s="55">
        <f t="shared" si="7"/>
        <v>0</v>
      </c>
      <c r="O20" s="101">
        <v>0</v>
      </c>
      <c r="P20" s="162"/>
    </row>
    <row r="21" spans="1:16" ht="16.5" hidden="1" customHeight="1" x14ac:dyDescent="0.25">
      <c r="A21" s="105" t="s">
        <v>107</v>
      </c>
      <c r="B21" s="106" t="s">
        <v>26</v>
      </c>
      <c r="C21" s="107">
        <v>1335</v>
      </c>
      <c r="D21" s="101"/>
      <c r="E21" s="107"/>
      <c r="F21" s="101"/>
      <c r="G21" s="107">
        <f t="shared" si="6"/>
        <v>1335</v>
      </c>
      <c r="H21" s="107">
        <v>811</v>
      </c>
      <c r="I21" s="107">
        <v>1279</v>
      </c>
      <c r="J21" s="101"/>
      <c r="K21" s="101"/>
      <c r="L21" s="101"/>
      <c r="M21" s="101"/>
      <c r="N21" s="55">
        <f t="shared" si="7"/>
        <v>1279</v>
      </c>
      <c r="O21" s="101">
        <v>404.53300000000002</v>
      </c>
      <c r="P21" s="162">
        <f t="shared" si="8"/>
        <v>0.31628850664581704</v>
      </c>
    </row>
    <row r="22" spans="1:16" ht="16.5" hidden="1" customHeight="1" x14ac:dyDescent="0.25">
      <c r="A22" s="105" t="s">
        <v>108</v>
      </c>
      <c r="B22" s="106" t="s">
        <v>27</v>
      </c>
      <c r="C22" s="107"/>
      <c r="D22" s="101"/>
      <c r="E22" s="107"/>
      <c r="F22" s="101"/>
      <c r="G22" s="107">
        <f t="shared" si="6"/>
        <v>0</v>
      </c>
      <c r="H22" s="107"/>
      <c r="I22" s="107"/>
      <c r="J22" s="101"/>
      <c r="K22" s="101"/>
      <c r="L22" s="101">
        <v>1007</v>
      </c>
      <c r="M22" s="101"/>
      <c r="N22" s="55">
        <f t="shared" si="7"/>
        <v>1007</v>
      </c>
      <c r="O22" s="101">
        <v>1006.553</v>
      </c>
      <c r="P22" s="162"/>
    </row>
    <row r="23" spans="1:16" ht="16.5" hidden="1" customHeight="1" x14ac:dyDescent="0.25">
      <c r="A23" s="105" t="s">
        <v>109</v>
      </c>
      <c r="B23" s="106" t="s">
        <v>28</v>
      </c>
      <c r="C23" s="107"/>
      <c r="D23" s="101"/>
      <c r="E23" s="107"/>
      <c r="F23" s="101"/>
      <c r="G23" s="107">
        <f t="shared" si="6"/>
        <v>0</v>
      </c>
      <c r="H23" s="107">
        <v>621</v>
      </c>
      <c r="I23" s="107"/>
      <c r="J23" s="101"/>
      <c r="K23" s="101"/>
      <c r="L23" s="101"/>
      <c r="M23" s="101"/>
      <c r="N23" s="55">
        <f t="shared" si="7"/>
        <v>0</v>
      </c>
      <c r="O23" s="101">
        <v>146.57499999999999</v>
      </c>
      <c r="P23" s="162"/>
    </row>
    <row r="24" spans="1:16" ht="16.5" hidden="1" customHeight="1" x14ac:dyDescent="0.25">
      <c r="A24" s="105" t="s">
        <v>110</v>
      </c>
      <c r="B24" s="106" t="s">
        <v>29</v>
      </c>
      <c r="C24" s="107"/>
      <c r="D24" s="101"/>
      <c r="E24" s="107"/>
      <c r="F24" s="101"/>
      <c r="G24" s="107">
        <f t="shared" si="6"/>
        <v>0</v>
      </c>
      <c r="H24" s="107"/>
      <c r="I24" s="107"/>
      <c r="J24" s="101"/>
      <c r="K24" s="101"/>
      <c r="L24" s="101"/>
      <c r="M24" s="101"/>
      <c r="N24" s="55">
        <f t="shared" si="7"/>
        <v>0</v>
      </c>
      <c r="O24" s="101"/>
      <c r="P24" s="162"/>
    </row>
    <row r="25" spans="1:16" ht="16.5" hidden="1" customHeight="1" x14ac:dyDescent="0.25">
      <c r="A25" s="105" t="s">
        <v>111</v>
      </c>
      <c r="B25" s="54" t="s">
        <v>177</v>
      </c>
      <c r="C25" s="107"/>
      <c r="D25" s="101"/>
      <c r="E25" s="107"/>
      <c r="F25" s="101"/>
      <c r="G25" s="107"/>
      <c r="H25" s="107">
        <v>164</v>
      </c>
      <c r="I25" s="107"/>
      <c r="J25" s="101"/>
      <c r="K25" s="101"/>
      <c r="L25" s="101"/>
      <c r="M25" s="101"/>
      <c r="N25" s="55">
        <f t="shared" si="7"/>
        <v>0</v>
      </c>
      <c r="O25" s="101"/>
      <c r="P25" s="162"/>
    </row>
    <row r="26" spans="1:16" ht="16.5" hidden="1" customHeight="1" x14ac:dyDescent="0.25">
      <c r="A26" s="105" t="s">
        <v>165</v>
      </c>
      <c r="B26" s="106" t="s">
        <v>30</v>
      </c>
      <c r="C26" s="107">
        <v>1690</v>
      </c>
      <c r="D26" s="101"/>
      <c r="E26" s="107"/>
      <c r="F26" s="101"/>
      <c r="G26" s="107">
        <f t="shared" si="6"/>
        <v>1690</v>
      </c>
      <c r="H26" s="107">
        <v>1091</v>
      </c>
      <c r="I26" s="107">
        <v>1690</v>
      </c>
      <c r="J26" s="101"/>
      <c r="K26" s="101"/>
      <c r="L26" s="101"/>
      <c r="M26" s="101"/>
      <c r="N26" s="55">
        <f t="shared" si="7"/>
        <v>1690</v>
      </c>
      <c r="O26" s="101">
        <v>419.40100000000001</v>
      </c>
      <c r="P26" s="162">
        <f t="shared" si="8"/>
        <v>0.24816627218934911</v>
      </c>
    </row>
    <row r="27" spans="1:16" ht="16.5" customHeight="1" x14ac:dyDescent="0.25">
      <c r="A27" s="102" t="s">
        <v>112</v>
      </c>
      <c r="B27" s="102" t="s">
        <v>31</v>
      </c>
      <c r="C27" s="103">
        <f>C28+C29+C30</f>
        <v>0</v>
      </c>
      <c r="D27" s="103">
        <f>D28+D29+D30</f>
        <v>0</v>
      </c>
      <c r="E27" s="103"/>
      <c r="F27" s="103">
        <f t="shared" ref="F27:O27" si="9">F28+F29+F30</f>
        <v>0</v>
      </c>
      <c r="G27" s="103">
        <f t="shared" si="9"/>
        <v>0</v>
      </c>
      <c r="H27" s="103">
        <f t="shared" si="9"/>
        <v>0</v>
      </c>
      <c r="I27" s="103">
        <f t="shared" si="9"/>
        <v>0</v>
      </c>
      <c r="J27" s="103">
        <f t="shared" si="9"/>
        <v>0</v>
      </c>
      <c r="K27" s="103">
        <f t="shared" si="9"/>
        <v>0</v>
      </c>
      <c r="L27" s="103">
        <f t="shared" si="9"/>
        <v>0</v>
      </c>
      <c r="M27" s="103">
        <f t="shared" si="9"/>
        <v>0</v>
      </c>
      <c r="N27" s="103">
        <f t="shared" si="9"/>
        <v>0</v>
      </c>
      <c r="O27" s="103">
        <f t="shared" si="9"/>
        <v>0</v>
      </c>
      <c r="P27" s="165"/>
    </row>
    <row r="28" spans="1:16" ht="16.5" hidden="1" customHeight="1" x14ac:dyDescent="0.25">
      <c r="A28" s="105" t="s">
        <v>113</v>
      </c>
      <c r="B28" s="106" t="s">
        <v>32</v>
      </c>
      <c r="C28" s="101"/>
      <c r="D28" s="101"/>
      <c r="E28" s="101"/>
      <c r="F28" s="101"/>
      <c r="G28" s="101">
        <f t="shared" si="6"/>
        <v>0</v>
      </c>
      <c r="H28" s="101"/>
      <c r="I28" s="101"/>
      <c r="J28" s="101"/>
      <c r="K28" s="101"/>
      <c r="L28" s="101"/>
      <c r="M28" s="101"/>
      <c r="N28" s="101"/>
      <c r="O28" s="101"/>
      <c r="P28" s="162"/>
    </row>
    <row r="29" spans="1:16" ht="16.5" hidden="1" customHeight="1" x14ac:dyDescent="0.25">
      <c r="A29" s="105" t="s">
        <v>114</v>
      </c>
      <c r="B29" s="106" t="s">
        <v>33</v>
      </c>
      <c r="C29" s="101"/>
      <c r="D29" s="101"/>
      <c r="E29" s="101"/>
      <c r="F29" s="101"/>
      <c r="G29" s="101">
        <f t="shared" si="6"/>
        <v>0</v>
      </c>
      <c r="H29" s="101"/>
      <c r="I29" s="101"/>
      <c r="J29" s="101"/>
      <c r="K29" s="101"/>
      <c r="L29" s="101"/>
      <c r="M29" s="101"/>
      <c r="N29" s="101"/>
      <c r="O29" s="101"/>
      <c r="P29" s="162"/>
    </row>
    <row r="30" spans="1:16" ht="16.5" hidden="1" customHeight="1" x14ac:dyDescent="0.25">
      <c r="A30" s="105" t="s">
        <v>115</v>
      </c>
      <c r="B30" s="106" t="s">
        <v>34</v>
      </c>
      <c r="C30" s="101"/>
      <c r="D30" s="101"/>
      <c r="E30" s="101"/>
      <c r="F30" s="101"/>
      <c r="G30" s="101">
        <f t="shared" si="6"/>
        <v>0</v>
      </c>
      <c r="H30" s="101"/>
      <c r="I30" s="101"/>
      <c r="J30" s="101"/>
      <c r="K30" s="101"/>
      <c r="L30" s="101"/>
      <c r="M30" s="101"/>
      <c r="N30" s="101"/>
      <c r="O30" s="101"/>
      <c r="P30" s="162"/>
    </row>
    <row r="31" spans="1:16" ht="16.5" customHeight="1" x14ac:dyDescent="0.25">
      <c r="A31" s="104" t="s">
        <v>116</v>
      </c>
      <c r="B31" s="108" t="s">
        <v>5</v>
      </c>
      <c r="C31" s="103"/>
      <c r="D31" s="103"/>
      <c r="E31" s="103"/>
      <c r="F31" s="103"/>
      <c r="G31" s="103">
        <f t="shared" si="6"/>
        <v>0</v>
      </c>
      <c r="H31" s="103">
        <v>109</v>
      </c>
      <c r="I31" s="103"/>
      <c r="J31" s="103"/>
      <c r="K31" s="103"/>
      <c r="L31" s="103"/>
      <c r="M31" s="103"/>
      <c r="N31" s="113">
        <f>SUM(I31:M31)</f>
        <v>0</v>
      </c>
      <c r="O31" s="103"/>
      <c r="P31" s="164"/>
    </row>
    <row r="32" spans="1:16" ht="16.5" customHeight="1" x14ac:dyDescent="0.25">
      <c r="A32" s="104" t="s">
        <v>117</v>
      </c>
      <c r="B32" s="109" t="s">
        <v>7</v>
      </c>
      <c r="C32" s="103"/>
      <c r="D32" s="103"/>
      <c r="E32" s="103"/>
      <c r="F32" s="103"/>
      <c r="G32" s="103">
        <f t="shared" si="6"/>
        <v>0</v>
      </c>
      <c r="H32" s="103">
        <v>552</v>
      </c>
      <c r="I32" s="103"/>
      <c r="J32" s="103"/>
      <c r="K32" s="103"/>
      <c r="L32" s="103"/>
      <c r="M32" s="103"/>
      <c r="N32" s="113">
        <f>SUM(I32:M32)</f>
        <v>0</v>
      </c>
      <c r="O32" s="103">
        <v>40.619</v>
      </c>
      <c r="P32" s="164"/>
    </row>
    <row r="33" spans="1:16" ht="16.5" customHeight="1" x14ac:dyDescent="0.25">
      <c r="A33" s="110" t="s">
        <v>6</v>
      </c>
      <c r="B33" s="111" t="s">
        <v>76</v>
      </c>
      <c r="C33" s="112">
        <f t="shared" ref="C33:O33" si="10">C34+C37+C38+C44+C45+C50+C51+C52</f>
        <v>203610</v>
      </c>
      <c r="D33" s="112">
        <f t="shared" si="10"/>
        <v>5016</v>
      </c>
      <c r="E33" s="112">
        <f t="shared" si="10"/>
        <v>-2274</v>
      </c>
      <c r="F33" s="112">
        <f t="shared" si="10"/>
        <v>0</v>
      </c>
      <c r="G33" s="112">
        <f t="shared" si="10"/>
        <v>206352</v>
      </c>
      <c r="H33" s="112">
        <f t="shared" si="10"/>
        <v>206649</v>
      </c>
      <c r="I33" s="112">
        <f t="shared" si="10"/>
        <v>214907</v>
      </c>
      <c r="J33" s="112">
        <f t="shared" si="10"/>
        <v>0</v>
      </c>
      <c r="K33" s="112">
        <f t="shared" si="10"/>
        <v>5862</v>
      </c>
      <c r="L33" s="112">
        <f t="shared" si="10"/>
        <v>3684</v>
      </c>
      <c r="M33" s="112">
        <f t="shared" ref="M33" si="11">M34+M37+M38+M44+M45+M50+M51+M52</f>
        <v>4603</v>
      </c>
      <c r="N33" s="112">
        <f t="shared" si="10"/>
        <v>229056</v>
      </c>
      <c r="O33" s="112">
        <f t="shared" si="10"/>
        <v>98671.957000000009</v>
      </c>
      <c r="P33" s="166">
        <f t="shared" ref="P33:P43" si="12">O33/N33</f>
        <v>0.43077656555602128</v>
      </c>
    </row>
    <row r="34" spans="1:16" s="16" customFormat="1" ht="16.5" customHeight="1" x14ac:dyDescent="0.25">
      <c r="A34" s="102" t="s">
        <v>60</v>
      </c>
      <c r="B34" s="102" t="s">
        <v>1</v>
      </c>
      <c r="C34" s="103">
        <v>67966</v>
      </c>
      <c r="D34" s="113">
        <f>[3]összefogl!$X$58</f>
        <v>554</v>
      </c>
      <c r="E34" s="103">
        <f>488-694</f>
        <v>-206</v>
      </c>
      <c r="F34" s="113">
        <v>0</v>
      </c>
      <c r="G34" s="103">
        <f t="shared" si="6"/>
        <v>68314</v>
      </c>
      <c r="H34" s="103">
        <v>70646</v>
      </c>
      <c r="I34" s="103">
        <f>SUM(I35:I36)</f>
        <v>72422</v>
      </c>
      <c r="J34" s="113"/>
      <c r="K34" s="113">
        <f>SUM(K35:K36)</f>
        <v>936</v>
      </c>
      <c r="L34" s="113">
        <f t="shared" ref="L34:O34" si="13">SUM(L35:L36)</f>
        <v>275</v>
      </c>
      <c r="M34" s="113">
        <f t="shared" ref="M34" si="14">SUM(M35:M36)</f>
        <v>0</v>
      </c>
      <c r="N34" s="113">
        <f t="shared" si="13"/>
        <v>73633</v>
      </c>
      <c r="O34" s="113">
        <f t="shared" si="13"/>
        <v>33611.210000000006</v>
      </c>
      <c r="P34" s="163">
        <f t="shared" si="12"/>
        <v>0.45646938193473041</v>
      </c>
    </row>
    <row r="35" spans="1:16" s="16" customFormat="1" ht="16.5" hidden="1" customHeight="1" x14ac:dyDescent="0.25">
      <c r="A35" s="50" t="s">
        <v>61</v>
      </c>
      <c r="B35" s="50" t="s">
        <v>35</v>
      </c>
      <c r="C35" s="103"/>
      <c r="D35" s="113"/>
      <c r="E35" s="103"/>
      <c r="F35" s="113"/>
      <c r="G35" s="103"/>
      <c r="H35" s="103"/>
      <c r="I35" s="31">
        <v>71404</v>
      </c>
      <c r="J35" s="55"/>
      <c r="K35" s="55">
        <v>936</v>
      </c>
      <c r="L35" s="55">
        <f>275</f>
        <v>275</v>
      </c>
      <c r="M35" s="55"/>
      <c r="N35" s="55">
        <f>SUM(I35:M35)</f>
        <v>72615</v>
      </c>
      <c r="O35" s="55">
        <v>33122.336000000003</v>
      </c>
      <c r="P35" s="162">
        <f t="shared" si="12"/>
        <v>0.45613628038284104</v>
      </c>
    </row>
    <row r="36" spans="1:16" s="16" customFormat="1" ht="16.5" hidden="1" customHeight="1" x14ac:dyDescent="0.25">
      <c r="A36" s="50" t="s">
        <v>62</v>
      </c>
      <c r="B36" s="50" t="s">
        <v>36</v>
      </c>
      <c r="C36" s="103"/>
      <c r="D36" s="113"/>
      <c r="E36" s="103"/>
      <c r="F36" s="113"/>
      <c r="G36" s="103"/>
      <c r="H36" s="103"/>
      <c r="I36" s="31">
        <v>1018</v>
      </c>
      <c r="J36" s="55"/>
      <c r="K36" s="55"/>
      <c r="L36" s="55"/>
      <c r="M36" s="55"/>
      <c r="N36" s="55">
        <f>SUM(I36:M36)</f>
        <v>1018</v>
      </c>
      <c r="O36" s="55">
        <v>488.87400000000002</v>
      </c>
      <c r="P36" s="162">
        <f t="shared" si="12"/>
        <v>0.48022986247544208</v>
      </c>
    </row>
    <row r="37" spans="1:16" s="16" customFormat="1" ht="16.5" customHeight="1" x14ac:dyDescent="0.25">
      <c r="A37" s="102" t="s">
        <v>63</v>
      </c>
      <c r="B37" s="102" t="s">
        <v>2</v>
      </c>
      <c r="C37" s="103">
        <v>19008</v>
      </c>
      <c r="D37" s="113">
        <f>[3]összefogl!$Y$58</f>
        <v>150</v>
      </c>
      <c r="E37" s="103">
        <f>132-193</f>
        <v>-61</v>
      </c>
      <c r="F37" s="113"/>
      <c r="G37" s="103">
        <f t="shared" si="6"/>
        <v>19097</v>
      </c>
      <c r="H37" s="103">
        <v>19498</v>
      </c>
      <c r="I37" s="103">
        <v>20304</v>
      </c>
      <c r="J37" s="113"/>
      <c r="K37" s="113">
        <f>253</f>
        <v>253</v>
      </c>
      <c r="L37" s="113">
        <f>74</f>
        <v>74</v>
      </c>
      <c r="M37" s="113"/>
      <c r="N37" s="113">
        <f>SUM(I37:M37)</f>
        <v>20631</v>
      </c>
      <c r="O37" s="113">
        <v>9140.4979999999996</v>
      </c>
      <c r="P37" s="167">
        <f t="shared" si="12"/>
        <v>0.44304677427172701</v>
      </c>
    </row>
    <row r="38" spans="1:16" s="16" customFormat="1" ht="16.5" customHeight="1" x14ac:dyDescent="0.25">
      <c r="A38" s="102" t="s">
        <v>64</v>
      </c>
      <c r="B38" s="102" t="s">
        <v>3</v>
      </c>
      <c r="C38" s="103">
        <v>64466</v>
      </c>
      <c r="D38" s="113">
        <f>[3]összefogl!$Z$58</f>
        <v>3698</v>
      </c>
      <c r="E38" s="103">
        <f>1394+106-3507</f>
        <v>-2007</v>
      </c>
      <c r="F38" s="113">
        <v>0</v>
      </c>
      <c r="G38" s="103">
        <f t="shared" si="6"/>
        <v>66157</v>
      </c>
      <c r="H38" s="103">
        <v>53327</v>
      </c>
      <c r="I38" s="103">
        <f>SUM(I39:I43)</f>
        <v>60900</v>
      </c>
      <c r="J38" s="103">
        <f t="shared" ref="J38:K38" si="15">SUM(J39:J43)</f>
        <v>0</v>
      </c>
      <c r="K38" s="103">
        <f t="shared" si="15"/>
        <v>3673</v>
      </c>
      <c r="L38" s="103">
        <f t="shared" ref="L38:M38" si="16">SUM(L39:L43)</f>
        <v>-2875</v>
      </c>
      <c r="M38" s="103">
        <f t="shared" si="16"/>
        <v>1715</v>
      </c>
      <c r="N38" s="103">
        <f t="shared" ref="N38:O38" si="17">SUM(N39:N43)</f>
        <v>63413</v>
      </c>
      <c r="O38" s="103">
        <f t="shared" si="17"/>
        <v>20305.631999999998</v>
      </c>
      <c r="P38" s="163">
        <f t="shared" si="12"/>
        <v>0.32021244855155878</v>
      </c>
    </row>
    <row r="39" spans="1:16" s="16" customFormat="1" ht="16.5" hidden="1" customHeight="1" x14ac:dyDescent="0.25">
      <c r="A39" s="50" t="s">
        <v>65</v>
      </c>
      <c r="B39" s="50" t="s">
        <v>37</v>
      </c>
      <c r="C39" s="103"/>
      <c r="D39" s="113"/>
      <c r="E39" s="103"/>
      <c r="F39" s="113"/>
      <c r="G39" s="103"/>
      <c r="H39" s="103"/>
      <c r="I39" s="31">
        <v>13414</v>
      </c>
      <c r="J39" s="31"/>
      <c r="K39" s="31"/>
      <c r="L39" s="31"/>
      <c r="M39" s="31"/>
      <c r="N39" s="55">
        <f t="shared" ref="N39:N44" si="18">SUM(I39:M39)</f>
        <v>13414</v>
      </c>
      <c r="O39" s="55">
        <v>2186.0120000000002</v>
      </c>
      <c r="P39" s="162">
        <f t="shared" si="12"/>
        <v>0.16296496198002089</v>
      </c>
    </row>
    <row r="40" spans="1:16" s="16" customFormat="1" ht="16.5" hidden="1" customHeight="1" x14ac:dyDescent="0.25">
      <c r="A40" s="50" t="s">
        <v>66</v>
      </c>
      <c r="B40" s="50" t="s">
        <v>38</v>
      </c>
      <c r="C40" s="103"/>
      <c r="D40" s="113"/>
      <c r="E40" s="103"/>
      <c r="F40" s="113"/>
      <c r="G40" s="103"/>
      <c r="H40" s="103"/>
      <c r="I40" s="31">
        <v>4036</v>
      </c>
      <c r="J40" s="31"/>
      <c r="K40" s="31"/>
      <c r="L40" s="31"/>
      <c r="M40" s="31"/>
      <c r="N40" s="55">
        <f t="shared" si="18"/>
        <v>4036</v>
      </c>
      <c r="O40" s="55">
        <v>5951.8209999999999</v>
      </c>
      <c r="P40" s="162">
        <f t="shared" si="12"/>
        <v>1.4746831020812685</v>
      </c>
    </row>
    <row r="41" spans="1:16" s="16" customFormat="1" ht="16.5" hidden="1" customHeight="1" x14ac:dyDescent="0.25">
      <c r="A41" s="50" t="s">
        <v>67</v>
      </c>
      <c r="B41" s="50" t="s">
        <v>39</v>
      </c>
      <c r="C41" s="103"/>
      <c r="D41" s="113"/>
      <c r="E41" s="103"/>
      <c r="F41" s="113"/>
      <c r="G41" s="103"/>
      <c r="H41" s="103"/>
      <c r="I41" s="31">
        <v>27714</v>
      </c>
      <c r="J41" s="31"/>
      <c r="K41" s="31">
        <f>484+625+3048-484</f>
        <v>3673</v>
      </c>
      <c r="L41" s="31">
        <f>466</f>
        <v>466</v>
      </c>
      <c r="M41" s="31">
        <f>('[1]Intézményi kezd. ei mód'!$D$20+'[1]Intézményi kezd. ei mód'!$D$27+'[1]Intézményi kezd. ei mód'!$D$28+'[1]Intézményi kezd. ei mód'!$D$29+'[1]Intézményi kezd. ei mód'!$D$23)/1000</f>
        <v>1715</v>
      </c>
      <c r="N41" s="55">
        <f t="shared" si="18"/>
        <v>33568</v>
      </c>
      <c r="O41" s="55">
        <v>8482.5149999999994</v>
      </c>
      <c r="P41" s="162">
        <f t="shared" si="12"/>
        <v>0.25269646687321257</v>
      </c>
    </row>
    <row r="42" spans="1:16" s="16" customFormat="1" ht="16.5" hidden="1" customHeight="1" x14ac:dyDescent="0.25">
      <c r="A42" s="50" t="s">
        <v>68</v>
      </c>
      <c r="B42" s="50" t="s">
        <v>40</v>
      </c>
      <c r="C42" s="103"/>
      <c r="D42" s="113"/>
      <c r="E42" s="103"/>
      <c r="F42" s="113"/>
      <c r="G42" s="103"/>
      <c r="H42" s="103"/>
      <c r="I42" s="31">
        <v>1710</v>
      </c>
      <c r="J42" s="31"/>
      <c r="K42" s="31"/>
      <c r="L42" s="31"/>
      <c r="M42" s="31"/>
      <c r="N42" s="55">
        <f t="shared" si="18"/>
        <v>1710</v>
      </c>
      <c r="O42" s="55">
        <v>26.385999999999999</v>
      </c>
      <c r="P42" s="162">
        <f t="shared" si="12"/>
        <v>1.5430409356725145E-2</v>
      </c>
    </row>
    <row r="43" spans="1:16" s="16" customFormat="1" ht="16.5" hidden="1" customHeight="1" x14ac:dyDescent="0.25">
      <c r="A43" s="50" t="s">
        <v>69</v>
      </c>
      <c r="B43" s="50" t="s">
        <v>41</v>
      </c>
      <c r="C43" s="103"/>
      <c r="D43" s="113"/>
      <c r="E43" s="103"/>
      <c r="F43" s="113"/>
      <c r="G43" s="103"/>
      <c r="H43" s="103"/>
      <c r="I43" s="31">
        <v>14026</v>
      </c>
      <c r="J43" s="31"/>
      <c r="K43" s="31"/>
      <c r="L43" s="31">
        <f>-3341</f>
        <v>-3341</v>
      </c>
      <c r="M43" s="31"/>
      <c r="N43" s="55">
        <f t="shared" si="18"/>
        <v>10685</v>
      </c>
      <c r="O43" s="55">
        <v>3658.8980000000001</v>
      </c>
      <c r="P43" s="162">
        <f t="shared" si="12"/>
        <v>0.34243313055685543</v>
      </c>
    </row>
    <row r="44" spans="1:16" ht="16.5" customHeight="1" x14ac:dyDescent="0.25">
      <c r="A44" s="102" t="s">
        <v>70</v>
      </c>
      <c r="B44" s="102" t="s">
        <v>152</v>
      </c>
      <c r="C44" s="103"/>
      <c r="D44" s="113"/>
      <c r="E44" s="103"/>
      <c r="F44" s="113"/>
      <c r="G44" s="103">
        <f t="shared" si="6"/>
        <v>0</v>
      </c>
      <c r="H44" s="103"/>
      <c r="I44" s="103">
        <v>0</v>
      </c>
      <c r="J44" s="113"/>
      <c r="K44" s="113"/>
      <c r="L44" s="113"/>
      <c r="M44" s="113"/>
      <c r="N44" s="113">
        <f t="shared" si="18"/>
        <v>0</v>
      </c>
      <c r="O44" s="113">
        <v>0</v>
      </c>
      <c r="P44" s="167"/>
    </row>
    <row r="45" spans="1:16" ht="16.5" customHeight="1" x14ac:dyDescent="0.25">
      <c r="A45" s="102" t="s">
        <v>71</v>
      </c>
      <c r="B45" s="102" t="s">
        <v>153</v>
      </c>
      <c r="C45" s="103">
        <f>SUM(C47,C46)</f>
        <v>0</v>
      </c>
      <c r="D45" s="113">
        <f>SUM(D47,D46)</f>
        <v>0</v>
      </c>
      <c r="E45" s="103"/>
      <c r="F45" s="113">
        <f>SUM(F47,F46)</f>
        <v>0</v>
      </c>
      <c r="G45" s="103">
        <f>SUM(G47,G46)</f>
        <v>0</v>
      </c>
      <c r="H45" s="103">
        <f>SUM(H47,H46)</f>
        <v>1170</v>
      </c>
      <c r="I45" s="103">
        <f>SUM(I47,I46)</f>
        <v>0</v>
      </c>
      <c r="J45" s="103">
        <f t="shared" ref="J45:O45" si="19">SUM(J47,J46)</f>
        <v>0</v>
      </c>
      <c r="K45" s="103">
        <f t="shared" si="19"/>
        <v>0</v>
      </c>
      <c r="L45" s="103">
        <f t="shared" si="19"/>
        <v>0</v>
      </c>
      <c r="M45" s="103">
        <f t="shared" si="19"/>
        <v>0</v>
      </c>
      <c r="N45" s="103">
        <f t="shared" si="19"/>
        <v>0</v>
      </c>
      <c r="O45" s="103">
        <f t="shared" si="19"/>
        <v>113.88500000000001</v>
      </c>
      <c r="P45" s="163"/>
    </row>
    <row r="46" spans="1:16" s="10" customFormat="1" ht="16.5" customHeight="1" x14ac:dyDescent="0.25">
      <c r="A46" s="156" t="s">
        <v>188</v>
      </c>
      <c r="B46" s="50" t="s">
        <v>154</v>
      </c>
      <c r="C46" s="31"/>
      <c r="D46" s="55"/>
      <c r="E46" s="31"/>
      <c r="F46" s="55"/>
      <c r="G46" s="31">
        <f t="shared" si="6"/>
        <v>0</v>
      </c>
      <c r="H46" s="31">
        <v>1170</v>
      </c>
      <c r="I46" s="31">
        <v>0</v>
      </c>
      <c r="J46" s="55"/>
      <c r="K46" s="55"/>
      <c r="L46" s="55"/>
      <c r="M46" s="55"/>
      <c r="N46" s="55">
        <f t="shared" ref="N46:N52" si="20">SUM(I46:M46)</f>
        <v>0</v>
      </c>
      <c r="O46" s="57">
        <v>113.88500000000001</v>
      </c>
      <c r="P46" s="162"/>
    </row>
    <row r="47" spans="1:16" s="10" customFormat="1" ht="16.5" customHeight="1" x14ac:dyDescent="0.25">
      <c r="A47" s="50" t="s">
        <v>168</v>
      </c>
      <c r="B47" s="50" t="s">
        <v>155</v>
      </c>
      <c r="C47" s="55">
        <f>SUM(C48:C49)</f>
        <v>0</v>
      </c>
      <c r="D47" s="55">
        <f>SUM(D48:D49)</f>
        <v>0</v>
      </c>
      <c r="E47" s="55"/>
      <c r="F47" s="55">
        <f>SUM(F48:F49)</f>
        <v>0</v>
      </c>
      <c r="G47" s="55">
        <f>SUM(G48:G49)</f>
        <v>0</v>
      </c>
      <c r="H47" s="55"/>
      <c r="I47" s="55">
        <f>SUM(I48:I49)</f>
        <v>0</v>
      </c>
      <c r="J47" s="55"/>
      <c r="K47" s="55"/>
      <c r="L47" s="55"/>
      <c r="M47" s="55"/>
      <c r="N47" s="55">
        <f t="shared" si="20"/>
        <v>0</v>
      </c>
      <c r="O47" s="55">
        <f t="shared" ref="O47" si="21">SUM(O48:O49)</f>
        <v>0</v>
      </c>
      <c r="P47" s="162"/>
    </row>
    <row r="48" spans="1:16" s="10" customFormat="1" ht="16.5" customHeight="1" x14ac:dyDescent="0.25">
      <c r="A48" s="50"/>
      <c r="B48" s="50" t="s">
        <v>77</v>
      </c>
      <c r="C48" s="31"/>
      <c r="D48" s="55"/>
      <c r="E48" s="31"/>
      <c r="F48" s="55"/>
      <c r="G48" s="31">
        <f>SUM(C48:F48)</f>
        <v>0</v>
      </c>
      <c r="H48" s="31"/>
      <c r="I48" s="31">
        <v>0</v>
      </c>
      <c r="J48" s="55"/>
      <c r="K48" s="55"/>
      <c r="L48" s="55"/>
      <c r="M48" s="55"/>
      <c r="N48" s="55">
        <f t="shared" si="20"/>
        <v>0</v>
      </c>
      <c r="O48" s="57"/>
      <c r="P48" s="162"/>
    </row>
    <row r="49" spans="1:16" s="10" customFormat="1" ht="16.5" customHeight="1" x14ac:dyDescent="0.25">
      <c r="A49" s="50"/>
      <c r="B49" s="50" t="s">
        <v>78</v>
      </c>
      <c r="C49" s="31"/>
      <c r="D49" s="55"/>
      <c r="E49" s="31"/>
      <c r="F49" s="55"/>
      <c r="G49" s="31">
        <f>SUM(C49:F49)</f>
        <v>0</v>
      </c>
      <c r="H49" s="31"/>
      <c r="I49" s="31">
        <v>0</v>
      </c>
      <c r="J49" s="55"/>
      <c r="K49" s="55"/>
      <c r="L49" s="55"/>
      <c r="M49" s="55"/>
      <c r="N49" s="55">
        <f t="shared" si="20"/>
        <v>0</v>
      </c>
      <c r="O49" s="57"/>
      <c r="P49" s="162"/>
    </row>
    <row r="50" spans="1:16" ht="16.5" customHeight="1" x14ac:dyDescent="0.25">
      <c r="A50" s="102" t="s">
        <v>73</v>
      </c>
      <c r="B50" s="102" t="s">
        <v>169</v>
      </c>
      <c r="C50" s="103">
        <v>52170</v>
      </c>
      <c r="D50" s="113">
        <f>[3]összefogl!$AF$58</f>
        <v>614</v>
      </c>
      <c r="E50" s="103"/>
      <c r="F50" s="113"/>
      <c r="G50" s="103">
        <f>SUM(C50:F50)</f>
        <v>52784</v>
      </c>
      <c r="H50" s="103">
        <v>62008</v>
      </c>
      <c r="I50" s="103">
        <v>61281</v>
      </c>
      <c r="J50" s="113"/>
      <c r="K50" s="113">
        <v>1000</v>
      </c>
      <c r="L50" s="113">
        <f>1862+4348</f>
        <v>6210</v>
      </c>
      <c r="M50" s="113">
        <f>('[1]Intézményi kezd. ei mód'!$D$17+'[1]Intézményi kezd. ei mód'!$D$26)/1000</f>
        <v>2888</v>
      </c>
      <c r="N50" s="113">
        <f t="shared" si="20"/>
        <v>71379</v>
      </c>
      <c r="O50" s="113">
        <v>35500.732000000004</v>
      </c>
      <c r="P50" s="163">
        <f t="shared" ref="P50:P57" si="22">O50/N50</f>
        <v>0.49735541265638356</v>
      </c>
    </row>
    <row r="51" spans="1:16" ht="16.5" customHeight="1" x14ac:dyDescent="0.25">
      <c r="A51" s="102" t="s">
        <v>74</v>
      </c>
      <c r="B51" s="102" t="s">
        <v>151</v>
      </c>
      <c r="C51" s="103"/>
      <c r="D51" s="113"/>
      <c r="E51" s="103"/>
      <c r="F51" s="113"/>
      <c r="G51" s="103">
        <f>SUM(C51:F51)</f>
        <v>0</v>
      </c>
      <c r="H51" s="103"/>
      <c r="I51" s="103">
        <v>0</v>
      </c>
      <c r="J51" s="113"/>
      <c r="K51" s="113"/>
      <c r="L51" s="113"/>
      <c r="M51" s="113"/>
      <c r="N51" s="113">
        <f t="shared" si="20"/>
        <v>0</v>
      </c>
      <c r="O51" s="113">
        <v>0</v>
      </c>
      <c r="P51" s="163"/>
    </row>
    <row r="52" spans="1:16" ht="16.5" customHeight="1" x14ac:dyDescent="0.25">
      <c r="A52" s="102" t="s">
        <v>75</v>
      </c>
      <c r="B52" s="102" t="s">
        <v>170</v>
      </c>
      <c r="C52" s="103"/>
      <c r="D52" s="113"/>
      <c r="E52" s="103"/>
      <c r="F52" s="113"/>
      <c r="G52" s="103">
        <f>SUM(C52:F52)</f>
        <v>0</v>
      </c>
      <c r="H52" s="103"/>
      <c r="I52" s="103">
        <v>0</v>
      </c>
      <c r="J52" s="113"/>
      <c r="K52" s="113"/>
      <c r="L52" s="113"/>
      <c r="M52" s="113"/>
      <c r="N52" s="113">
        <f t="shared" si="20"/>
        <v>0</v>
      </c>
      <c r="O52" s="113">
        <v>0</v>
      </c>
      <c r="P52" s="163"/>
    </row>
    <row r="53" spans="1:16" ht="16.5" customHeight="1" x14ac:dyDescent="0.25">
      <c r="A53" s="115"/>
      <c r="B53" s="116" t="s">
        <v>42</v>
      </c>
      <c r="C53" s="117">
        <f t="shared" ref="C53:I53" si="23">C3-C33</f>
        <v>-190289</v>
      </c>
      <c r="D53" s="117">
        <f t="shared" si="23"/>
        <v>-5016</v>
      </c>
      <c r="E53" s="117">
        <f t="shared" si="23"/>
        <v>3774</v>
      </c>
      <c r="F53" s="117">
        <f t="shared" si="23"/>
        <v>0</v>
      </c>
      <c r="G53" s="117">
        <f t="shared" si="23"/>
        <v>-191531</v>
      </c>
      <c r="H53" s="117">
        <f>H3-H33</f>
        <v>-188424</v>
      </c>
      <c r="I53" s="117">
        <f t="shared" si="23"/>
        <v>-204622</v>
      </c>
      <c r="J53" s="117">
        <f t="shared" ref="J53:O53" si="24">J3-J33</f>
        <v>0</v>
      </c>
      <c r="K53" s="117">
        <f t="shared" si="24"/>
        <v>-2814</v>
      </c>
      <c r="L53" s="117">
        <f t="shared" si="24"/>
        <v>-2677</v>
      </c>
      <c r="M53" s="117">
        <f t="shared" si="24"/>
        <v>0</v>
      </c>
      <c r="N53" s="117">
        <f t="shared" si="24"/>
        <v>-210113</v>
      </c>
      <c r="O53" s="117">
        <f t="shared" si="24"/>
        <v>-90134.890000000014</v>
      </c>
      <c r="P53" s="169">
        <f t="shared" si="22"/>
        <v>0.4289829282338552</v>
      </c>
    </row>
    <row r="54" spans="1:16" ht="16.5" customHeight="1" x14ac:dyDescent="0.25">
      <c r="A54" s="118"/>
      <c r="B54" s="111" t="s">
        <v>43</v>
      </c>
      <c r="C54" s="112">
        <f t="shared" ref="C54:I54" si="25">C6+C8+C15+C31-C34-C37-C38-C44-C45-C50-C51</f>
        <v>-190289</v>
      </c>
      <c r="D54" s="112">
        <f t="shared" si="25"/>
        <v>-5016</v>
      </c>
      <c r="E54" s="112">
        <f t="shared" si="25"/>
        <v>2274</v>
      </c>
      <c r="F54" s="112">
        <f t="shared" si="25"/>
        <v>0</v>
      </c>
      <c r="G54" s="112">
        <f t="shared" si="25"/>
        <v>-193031</v>
      </c>
      <c r="H54" s="112">
        <f>H6+H8+H15+H31-H34-H37-H38-H44-H45-H50-H51</f>
        <v>-188976</v>
      </c>
      <c r="I54" s="112">
        <f t="shared" si="25"/>
        <v>-204622</v>
      </c>
      <c r="J54" s="112">
        <f t="shared" ref="J54:O54" si="26">J6+J8+J15+J31-J34-J37-J38-J44-J45-J50-J51</f>
        <v>0</v>
      </c>
      <c r="K54" s="112">
        <f t="shared" si="26"/>
        <v>-2814</v>
      </c>
      <c r="L54" s="112">
        <f t="shared" si="26"/>
        <v>-2677</v>
      </c>
      <c r="M54" s="112">
        <f t="shared" si="26"/>
        <v>0</v>
      </c>
      <c r="N54" s="112">
        <f t="shared" si="26"/>
        <v>-210113</v>
      </c>
      <c r="O54" s="112">
        <f t="shared" si="26"/>
        <v>-90175.50900000002</v>
      </c>
      <c r="P54" s="170">
        <f t="shared" si="22"/>
        <v>0.42917624801892323</v>
      </c>
    </row>
    <row r="55" spans="1:16" ht="16.5" customHeight="1" x14ac:dyDescent="0.25">
      <c r="A55" s="118"/>
      <c r="B55" s="111" t="s">
        <v>44</v>
      </c>
      <c r="C55" s="112">
        <f t="shared" ref="C55:I55" si="27">C7+C27+C32-C52</f>
        <v>0</v>
      </c>
      <c r="D55" s="112">
        <f t="shared" si="27"/>
        <v>0</v>
      </c>
      <c r="E55" s="112">
        <f t="shared" si="27"/>
        <v>1500</v>
      </c>
      <c r="F55" s="112">
        <f t="shared" si="27"/>
        <v>0</v>
      </c>
      <c r="G55" s="112">
        <f t="shared" si="27"/>
        <v>1500</v>
      </c>
      <c r="H55" s="112">
        <f>H7+H27+H32-H52</f>
        <v>552</v>
      </c>
      <c r="I55" s="112">
        <f t="shared" si="27"/>
        <v>0</v>
      </c>
      <c r="J55" s="112">
        <f t="shared" ref="J55:O55" si="28">J7+J27+J32-J52</f>
        <v>0</v>
      </c>
      <c r="K55" s="112">
        <f t="shared" si="28"/>
        <v>0</v>
      </c>
      <c r="L55" s="112">
        <f t="shared" si="28"/>
        <v>0</v>
      </c>
      <c r="M55" s="112">
        <f t="shared" si="28"/>
        <v>0</v>
      </c>
      <c r="N55" s="112">
        <f t="shared" si="28"/>
        <v>0</v>
      </c>
      <c r="O55" s="112">
        <f t="shared" si="28"/>
        <v>40.619</v>
      </c>
      <c r="P55" s="170"/>
    </row>
    <row r="56" spans="1:16" ht="16.5" customHeight="1" x14ac:dyDescent="0.25">
      <c r="A56" s="119" t="s">
        <v>132</v>
      </c>
      <c r="B56" s="98" t="s">
        <v>45</v>
      </c>
      <c r="C56" s="99">
        <f t="shared" ref="C56:I56" si="29">C57+C65</f>
        <v>190289</v>
      </c>
      <c r="D56" s="99">
        <f t="shared" si="29"/>
        <v>5016</v>
      </c>
      <c r="E56" s="99">
        <f t="shared" si="29"/>
        <v>-3774</v>
      </c>
      <c r="F56" s="99">
        <f t="shared" si="29"/>
        <v>0</v>
      </c>
      <c r="G56" s="99">
        <f t="shared" si="29"/>
        <v>191531</v>
      </c>
      <c r="H56" s="99">
        <f>H57+H65</f>
        <v>193807</v>
      </c>
      <c r="I56" s="99">
        <f t="shared" si="29"/>
        <v>204622</v>
      </c>
      <c r="J56" s="99">
        <f t="shared" ref="J56:O56" si="30">J57+J65</f>
        <v>0</v>
      </c>
      <c r="K56" s="99">
        <f t="shared" si="30"/>
        <v>2814</v>
      </c>
      <c r="L56" s="99">
        <f t="shared" si="30"/>
        <v>2677</v>
      </c>
      <c r="M56" s="99">
        <f t="shared" si="30"/>
        <v>0</v>
      </c>
      <c r="N56" s="99">
        <f t="shared" si="30"/>
        <v>210113</v>
      </c>
      <c r="O56" s="99">
        <f t="shared" si="30"/>
        <v>130176.114</v>
      </c>
      <c r="P56" s="171">
        <f t="shared" si="22"/>
        <v>0.61955287868908637</v>
      </c>
    </row>
    <row r="57" spans="1:16" ht="16.5" customHeight="1" x14ac:dyDescent="0.25">
      <c r="A57" s="100" t="s">
        <v>120</v>
      </c>
      <c r="B57" s="100" t="s">
        <v>50</v>
      </c>
      <c r="C57" s="107">
        <f t="shared" ref="C57:I57" si="31">SUM(C58,C59,C60,C63,C64)</f>
        <v>190289</v>
      </c>
      <c r="D57" s="107">
        <f t="shared" si="31"/>
        <v>5016</v>
      </c>
      <c r="E57" s="107">
        <f t="shared" si="31"/>
        <v>-3774</v>
      </c>
      <c r="F57" s="107">
        <f t="shared" si="31"/>
        <v>0</v>
      </c>
      <c r="G57" s="107">
        <f t="shared" si="31"/>
        <v>191531</v>
      </c>
      <c r="H57" s="107">
        <f t="shared" si="31"/>
        <v>193807</v>
      </c>
      <c r="I57" s="107">
        <f t="shared" si="31"/>
        <v>204622</v>
      </c>
      <c r="J57" s="107">
        <f>SUM(J58,J59,J60,J63,J64)</f>
        <v>0</v>
      </c>
      <c r="K57" s="107">
        <f>SUM(K58,K59,K60,K63,K64)</f>
        <v>2814</v>
      </c>
      <c r="L57" s="107">
        <f>SUM(L58,L59,L60,L63,L64)</f>
        <v>2677</v>
      </c>
      <c r="M57" s="107">
        <f>SUM(M58,M59,M60,M63,M64)</f>
        <v>0</v>
      </c>
      <c r="N57" s="107">
        <f>SUM(N58,N59,N60,N63,N64)</f>
        <v>210113</v>
      </c>
      <c r="O57" s="107">
        <f t="shared" ref="O57" si="32">SUM(O58,O59,O60,O63,O64)</f>
        <v>130176.114</v>
      </c>
      <c r="P57" s="168">
        <f t="shared" si="22"/>
        <v>0.61955287868908637</v>
      </c>
    </row>
    <row r="58" spans="1:16" ht="16.5" customHeight="1" x14ac:dyDescent="0.25">
      <c r="A58" s="100" t="s">
        <v>79</v>
      </c>
      <c r="B58" s="100" t="s">
        <v>47</v>
      </c>
      <c r="C58" s="101"/>
      <c r="D58" s="120"/>
      <c r="E58" s="101"/>
      <c r="F58" s="120"/>
      <c r="G58" s="101">
        <f>SUM(C58:F58)</f>
        <v>0</v>
      </c>
      <c r="H58" s="101"/>
      <c r="I58" s="101"/>
      <c r="J58" s="120"/>
      <c r="K58" s="120"/>
      <c r="L58" s="120"/>
      <c r="M58" s="120"/>
      <c r="N58" s="55">
        <f>SUM(I58:M58)</f>
        <v>0</v>
      </c>
      <c r="O58" s="101"/>
      <c r="P58" s="162"/>
    </row>
    <row r="59" spans="1:16" ht="16.5" customHeight="1" x14ac:dyDescent="0.25">
      <c r="A59" s="100" t="s">
        <v>80</v>
      </c>
      <c r="B59" s="100" t="s">
        <v>48</v>
      </c>
      <c r="C59" s="101"/>
      <c r="D59" s="107"/>
      <c r="E59" s="101"/>
      <c r="F59" s="107"/>
      <c r="G59" s="101">
        <f>SUM(C59:F59)</f>
        <v>0</v>
      </c>
      <c r="H59" s="101"/>
      <c r="I59" s="101"/>
      <c r="J59" s="107"/>
      <c r="K59" s="107"/>
      <c r="L59" s="107"/>
      <c r="M59" s="107"/>
      <c r="N59" s="55">
        <f>SUM(I59:M59)</f>
        <v>0</v>
      </c>
      <c r="O59" s="107"/>
      <c r="P59" s="162"/>
    </row>
    <row r="60" spans="1:16" ht="16.5" customHeight="1" x14ac:dyDescent="0.25">
      <c r="A60" s="100" t="s">
        <v>81</v>
      </c>
      <c r="B60" s="100" t="s">
        <v>49</v>
      </c>
      <c r="C60" s="107">
        <f>SUM(C61:C62)</f>
        <v>0</v>
      </c>
      <c r="D60" s="107">
        <f>SUM(D61:D62)</f>
        <v>3198</v>
      </c>
      <c r="E60" s="107"/>
      <c r="F60" s="107">
        <f>SUM(F61:F62)</f>
        <v>0</v>
      </c>
      <c r="G60" s="107">
        <f>SUM(G61:G62)</f>
        <v>3198</v>
      </c>
      <c r="H60" s="107">
        <f>SUM(H61:H62)</f>
        <v>4368</v>
      </c>
      <c r="I60" s="107">
        <f>SUM(I61:I62)</f>
        <v>0</v>
      </c>
      <c r="J60" s="107"/>
      <c r="K60" s="107">
        <f>K62+K61</f>
        <v>6051</v>
      </c>
      <c r="L60" s="107">
        <f t="shared" ref="L60:N60" si="33">L62+L61</f>
        <v>0</v>
      </c>
      <c r="M60" s="107">
        <f t="shared" si="33"/>
        <v>0</v>
      </c>
      <c r="N60" s="107">
        <f t="shared" si="33"/>
        <v>6051</v>
      </c>
      <c r="O60" s="107">
        <f>SUM(O61:O62)</f>
        <v>6051</v>
      </c>
      <c r="P60" s="172">
        <f>O60/N60</f>
        <v>1</v>
      </c>
    </row>
    <row r="61" spans="1:16" ht="16.5" customHeight="1" x14ac:dyDescent="0.25">
      <c r="A61" s="100"/>
      <c r="B61" s="114" t="s">
        <v>82</v>
      </c>
      <c r="C61" s="101"/>
      <c r="D61" s="121">
        <v>3198</v>
      </c>
      <c r="E61" s="101"/>
      <c r="F61" s="121"/>
      <c r="G61" s="101">
        <f>SUM(C61:F61)</f>
        <v>3198</v>
      </c>
      <c r="H61" s="101">
        <v>4368</v>
      </c>
      <c r="I61" s="101"/>
      <c r="J61" s="121"/>
      <c r="K61" s="121">
        <v>6051</v>
      </c>
      <c r="L61" s="121"/>
      <c r="M61" s="121"/>
      <c r="N61" s="55">
        <f>SUM(I61:M61)</f>
        <v>6051</v>
      </c>
      <c r="O61" s="121">
        <v>6051</v>
      </c>
      <c r="P61" s="162">
        <f>O61/N61</f>
        <v>1</v>
      </c>
    </row>
    <row r="62" spans="1:16" ht="16.5" customHeight="1" x14ac:dyDescent="0.25">
      <c r="A62" s="100"/>
      <c r="B62" s="114" t="s">
        <v>83</v>
      </c>
      <c r="C62" s="101"/>
      <c r="D62" s="107"/>
      <c r="E62" s="101"/>
      <c r="F62" s="107"/>
      <c r="G62" s="101">
        <f>SUM(C62:F62)</f>
        <v>0</v>
      </c>
      <c r="H62" s="101"/>
      <c r="I62" s="101"/>
      <c r="J62" s="107"/>
      <c r="K62" s="107"/>
      <c r="L62" s="107"/>
      <c r="M62" s="107"/>
      <c r="N62" s="113">
        <f>SUM(I62:M62)</f>
        <v>0</v>
      </c>
      <c r="O62" s="107"/>
      <c r="P62" s="162"/>
    </row>
    <row r="63" spans="1:16" ht="16.5" customHeight="1" x14ac:dyDescent="0.25">
      <c r="A63" s="100" t="s">
        <v>84</v>
      </c>
      <c r="B63" s="100" t="s">
        <v>131</v>
      </c>
      <c r="C63" s="101"/>
      <c r="D63" s="107"/>
      <c r="E63" s="101"/>
      <c r="F63" s="107"/>
      <c r="G63" s="101">
        <f>SUM(C63:F63)</f>
        <v>0</v>
      </c>
      <c r="H63" s="101"/>
      <c r="I63" s="101"/>
      <c r="J63" s="107"/>
      <c r="K63" s="107"/>
      <c r="L63" s="107"/>
      <c r="M63" s="107"/>
      <c r="N63" s="107"/>
      <c r="O63" s="107"/>
      <c r="P63" s="162"/>
    </row>
    <row r="64" spans="1:16" ht="16.5" customHeight="1" x14ac:dyDescent="0.25">
      <c r="A64" s="100" t="s">
        <v>121</v>
      </c>
      <c r="B64" s="100" t="s">
        <v>122</v>
      </c>
      <c r="C64" s="101">
        <v>190289</v>
      </c>
      <c r="D64" s="107">
        <f>[3]összefogl!$S$58</f>
        <v>1818</v>
      </c>
      <c r="E64" s="101">
        <f>620-4394</f>
        <v>-3774</v>
      </c>
      <c r="F64" s="107"/>
      <c r="G64" s="101">
        <f>SUM(C64:F64)</f>
        <v>188333</v>
      </c>
      <c r="H64" s="101">
        <v>189439</v>
      </c>
      <c r="I64" s="101">
        <f>169706+34916</f>
        <v>204622</v>
      </c>
      <c r="J64" s="107"/>
      <c r="K64" s="107">
        <v>-3237</v>
      </c>
      <c r="L64" s="107">
        <f>2328+349</f>
        <v>2677</v>
      </c>
      <c r="M64" s="107"/>
      <c r="N64" s="55">
        <f>SUM(I64:M64)</f>
        <v>204062</v>
      </c>
      <c r="O64" s="107">
        <v>124125.114</v>
      </c>
      <c r="P64" s="172">
        <f>O64/N64</f>
        <v>0.60827157432545009</v>
      </c>
    </row>
    <row r="65" spans="1:16" ht="16.5" hidden="1" customHeight="1" thickBot="1" x14ac:dyDescent="0.3">
      <c r="A65" s="100" t="s">
        <v>85</v>
      </c>
      <c r="B65" s="122" t="s">
        <v>51</v>
      </c>
      <c r="C65" s="101"/>
      <c r="D65" s="107"/>
      <c r="E65" s="101"/>
      <c r="F65" s="107"/>
      <c r="G65" s="101">
        <f>SUM(C65:F65)</f>
        <v>0</v>
      </c>
      <c r="H65" s="101"/>
      <c r="I65" s="101"/>
      <c r="J65" s="107"/>
      <c r="K65" s="107"/>
      <c r="L65" s="107"/>
      <c r="M65" s="107"/>
      <c r="N65" s="107"/>
      <c r="O65" s="107"/>
      <c r="P65" s="162"/>
    </row>
    <row r="66" spans="1:16" ht="16.5" customHeight="1" x14ac:dyDescent="0.25">
      <c r="A66" s="123" t="s">
        <v>133</v>
      </c>
      <c r="B66" s="124" t="s">
        <v>52</v>
      </c>
      <c r="C66" s="125">
        <f t="shared" ref="C66:O66" si="34">C67+C71</f>
        <v>0</v>
      </c>
      <c r="D66" s="125">
        <f t="shared" si="34"/>
        <v>0</v>
      </c>
      <c r="E66" s="125">
        <f t="shared" si="34"/>
        <v>0</v>
      </c>
      <c r="F66" s="125">
        <f t="shared" si="34"/>
        <v>0</v>
      </c>
      <c r="G66" s="125">
        <f t="shared" si="34"/>
        <v>0</v>
      </c>
      <c r="H66" s="125">
        <f t="shared" si="34"/>
        <v>0</v>
      </c>
      <c r="I66" s="125">
        <f t="shared" si="34"/>
        <v>0</v>
      </c>
      <c r="J66" s="125">
        <f t="shared" si="34"/>
        <v>0</v>
      </c>
      <c r="K66" s="125">
        <f t="shared" si="34"/>
        <v>0</v>
      </c>
      <c r="L66" s="125">
        <f t="shared" si="34"/>
        <v>0</v>
      </c>
      <c r="M66" s="125">
        <f t="shared" si="34"/>
        <v>0</v>
      </c>
      <c r="N66" s="125">
        <f t="shared" si="34"/>
        <v>0</v>
      </c>
      <c r="O66" s="125">
        <f t="shared" si="34"/>
        <v>0</v>
      </c>
      <c r="P66" s="173"/>
    </row>
    <row r="67" spans="1:16" ht="16.5" customHeight="1" x14ac:dyDescent="0.25">
      <c r="A67" s="100" t="s">
        <v>138</v>
      </c>
      <c r="B67" s="100" t="s">
        <v>139</v>
      </c>
      <c r="C67" s="107">
        <f>SUM(C68:C70)</f>
        <v>0</v>
      </c>
      <c r="D67" s="107">
        <f>SUM(D68:D70)</f>
        <v>0</v>
      </c>
      <c r="E67" s="107"/>
      <c r="F67" s="107">
        <f>SUM(F68:F70)</f>
        <v>0</v>
      </c>
      <c r="G67" s="107">
        <f>SUM(G68:G70)</f>
        <v>0</v>
      </c>
      <c r="H67" s="107"/>
      <c r="I67" s="107">
        <f>SUM(I68:I70)</f>
        <v>0</v>
      </c>
      <c r="J67" s="107"/>
      <c r="K67" s="107"/>
      <c r="L67" s="107"/>
      <c r="M67" s="107"/>
      <c r="N67" s="107"/>
      <c r="O67" s="107">
        <f>SUM(O68:O70)</f>
        <v>0</v>
      </c>
      <c r="P67" s="168"/>
    </row>
    <row r="68" spans="1:16" ht="16.5" customHeight="1" x14ac:dyDescent="0.25">
      <c r="A68" s="100" t="s">
        <v>86</v>
      </c>
      <c r="B68" s="100" t="s">
        <v>46</v>
      </c>
      <c r="C68" s="101"/>
      <c r="D68" s="107"/>
      <c r="E68" s="101"/>
      <c r="F68" s="107"/>
      <c r="G68" s="101">
        <f>SUM(C68:F68)</f>
        <v>0</v>
      </c>
      <c r="H68" s="101"/>
      <c r="I68" s="101"/>
      <c r="J68" s="107"/>
      <c r="K68" s="107"/>
      <c r="L68" s="107"/>
      <c r="M68" s="107"/>
      <c r="N68" s="107"/>
      <c r="O68" s="107"/>
      <c r="P68" s="168"/>
    </row>
    <row r="69" spans="1:16" ht="16.5" customHeight="1" x14ac:dyDescent="0.25">
      <c r="A69" s="100" t="s">
        <v>171</v>
      </c>
      <c r="B69" s="100" t="s">
        <v>172</v>
      </c>
      <c r="C69" s="101"/>
      <c r="D69" s="107"/>
      <c r="E69" s="101"/>
      <c r="F69" s="107"/>
      <c r="G69" s="101">
        <f>SUM(C69:F69)</f>
        <v>0</v>
      </c>
      <c r="H69" s="101"/>
      <c r="I69" s="101"/>
      <c r="J69" s="107"/>
      <c r="K69" s="107"/>
      <c r="L69" s="107"/>
      <c r="M69" s="107"/>
      <c r="N69" s="107"/>
      <c r="O69" s="107"/>
      <c r="P69" s="168"/>
    </row>
    <row r="70" spans="1:16" ht="16.5" customHeight="1" x14ac:dyDescent="0.25">
      <c r="A70" s="100" t="s">
        <v>88</v>
      </c>
      <c r="B70" s="100" t="s">
        <v>54</v>
      </c>
      <c r="C70" s="101"/>
      <c r="D70" s="107"/>
      <c r="E70" s="101"/>
      <c r="F70" s="107"/>
      <c r="G70" s="101">
        <f>SUM(C70:F70)</f>
        <v>0</v>
      </c>
      <c r="H70" s="101"/>
      <c r="I70" s="101"/>
      <c r="J70" s="107"/>
      <c r="K70" s="107"/>
      <c r="L70" s="107"/>
      <c r="M70" s="107"/>
      <c r="N70" s="107"/>
      <c r="O70" s="107"/>
      <c r="P70" s="168"/>
    </row>
    <row r="71" spans="1:16" ht="16.5" customHeight="1" x14ac:dyDescent="0.25">
      <c r="A71" s="100" t="s">
        <v>90</v>
      </c>
      <c r="B71" s="122" t="s">
        <v>89</v>
      </c>
      <c r="C71" s="101"/>
      <c r="D71" s="107"/>
      <c r="E71" s="101"/>
      <c r="F71" s="107"/>
      <c r="G71" s="101">
        <f>SUM(C71:F71)</f>
        <v>0</v>
      </c>
      <c r="H71" s="101"/>
      <c r="I71" s="101"/>
      <c r="J71" s="107"/>
      <c r="K71" s="107"/>
      <c r="L71" s="107"/>
      <c r="M71" s="107"/>
      <c r="N71" s="107"/>
      <c r="O71" s="107"/>
      <c r="P71" s="162"/>
    </row>
    <row r="72" spans="1:16" ht="16.5" customHeight="1" x14ac:dyDescent="0.25">
      <c r="A72" s="115"/>
      <c r="B72" s="126" t="s">
        <v>57</v>
      </c>
      <c r="C72" s="117">
        <f t="shared" ref="C72:I72" si="35">C56-C66</f>
        <v>190289</v>
      </c>
      <c r="D72" s="117">
        <f t="shared" si="35"/>
        <v>5016</v>
      </c>
      <c r="E72" s="117">
        <f t="shared" si="35"/>
        <v>-3774</v>
      </c>
      <c r="F72" s="117">
        <f t="shared" si="35"/>
        <v>0</v>
      </c>
      <c r="G72" s="117">
        <f t="shared" si="35"/>
        <v>191531</v>
      </c>
      <c r="H72" s="117">
        <f>H56-H66</f>
        <v>193807</v>
      </c>
      <c r="I72" s="117">
        <f t="shared" si="35"/>
        <v>204622</v>
      </c>
      <c r="J72" s="117">
        <f t="shared" ref="J72:O72" si="36">J56-J66</f>
        <v>0</v>
      </c>
      <c r="K72" s="117">
        <f t="shared" si="36"/>
        <v>2814</v>
      </c>
      <c r="L72" s="117">
        <f t="shared" si="36"/>
        <v>2677</v>
      </c>
      <c r="M72" s="117">
        <f t="shared" si="36"/>
        <v>0</v>
      </c>
      <c r="N72" s="117">
        <f t="shared" si="36"/>
        <v>210113</v>
      </c>
      <c r="O72" s="117">
        <f t="shared" si="36"/>
        <v>130176.114</v>
      </c>
      <c r="P72" s="169">
        <f t="shared" ref="P72:P79" si="37">O72/N72</f>
        <v>0.61955287868908637</v>
      </c>
    </row>
    <row r="73" spans="1:16" ht="16.5" customHeight="1" x14ac:dyDescent="0.25">
      <c r="A73" s="127"/>
      <c r="B73" s="128" t="s">
        <v>58</v>
      </c>
      <c r="C73" s="129">
        <f t="shared" ref="C73:I73" si="38">C3+C56</f>
        <v>203610</v>
      </c>
      <c r="D73" s="129">
        <f t="shared" si="38"/>
        <v>5016</v>
      </c>
      <c r="E73" s="129">
        <f t="shared" si="38"/>
        <v>-2274</v>
      </c>
      <c r="F73" s="129">
        <f t="shared" si="38"/>
        <v>0</v>
      </c>
      <c r="G73" s="129">
        <f t="shared" si="38"/>
        <v>206352</v>
      </c>
      <c r="H73" s="129">
        <f>H3+H56</f>
        <v>212032</v>
      </c>
      <c r="I73" s="129">
        <f t="shared" si="38"/>
        <v>214907</v>
      </c>
      <c r="J73" s="129">
        <f t="shared" ref="J73:O73" si="39">J3+J56</f>
        <v>0</v>
      </c>
      <c r="K73" s="129">
        <f t="shared" si="39"/>
        <v>5862</v>
      </c>
      <c r="L73" s="129">
        <f t="shared" si="39"/>
        <v>3684</v>
      </c>
      <c r="M73" s="129">
        <f t="shared" si="39"/>
        <v>4603</v>
      </c>
      <c r="N73" s="129">
        <f t="shared" si="39"/>
        <v>229056</v>
      </c>
      <c r="O73" s="129">
        <f t="shared" si="39"/>
        <v>138713.18100000001</v>
      </c>
      <c r="P73" s="161">
        <f t="shared" si="37"/>
        <v>0.60558632386839906</v>
      </c>
    </row>
    <row r="74" spans="1:16" ht="16.5" customHeight="1" x14ac:dyDescent="0.25">
      <c r="A74" s="119"/>
      <c r="B74" s="72" t="s">
        <v>140</v>
      </c>
      <c r="C74" s="99">
        <f>C6+C8+C15+C31</f>
        <v>13321</v>
      </c>
      <c r="D74" s="99">
        <f>D6+D8+D15+D31</f>
        <v>0</v>
      </c>
      <c r="E74" s="99">
        <f>E6+E8+E15+E31</f>
        <v>0</v>
      </c>
      <c r="F74" s="99">
        <f>F6+F8+F15+F31</f>
        <v>0</v>
      </c>
      <c r="G74" s="99">
        <f>G6+G8+G15+G31</f>
        <v>13321</v>
      </c>
      <c r="H74" s="99">
        <f t="shared" ref="H74:N74" si="40">H6+H8+H15+H31+H61</f>
        <v>22041</v>
      </c>
      <c r="I74" s="99">
        <f t="shared" si="40"/>
        <v>10285</v>
      </c>
      <c r="J74" s="99">
        <f t="shared" si="40"/>
        <v>0</v>
      </c>
      <c r="K74" s="99">
        <f t="shared" si="40"/>
        <v>9099</v>
      </c>
      <c r="L74" s="99">
        <f t="shared" si="40"/>
        <v>1007</v>
      </c>
      <c r="M74" s="99">
        <f t="shared" ref="M74" si="41">M6+M8+M15+M31+M61</f>
        <v>4603</v>
      </c>
      <c r="N74" s="99">
        <f t="shared" si="40"/>
        <v>24994</v>
      </c>
      <c r="O74" s="99">
        <f>O6+O8+O15+O31</f>
        <v>8496.4480000000003</v>
      </c>
      <c r="P74" s="174">
        <f t="shared" si="37"/>
        <v>0.33993950548131552</v>
      </c>
    </row>
    <row r="75" spans="1:16" ht="16.5" customHeight="1" x14ac:dyDescent="0.25">
      <c r="A75" s="119"/>
      <c r="B75" s="72" t="s">
        <v>141</v>
      </c>
      <c r="C75" s="99">
        <f>C7+C27+C32</f>
        <v>0</v>
      </c>
      <c r="D75" s="99">
        <f>D7+D27+D32</f>
        <v>0</v>
      </c>
      <c r="E75" s="99">
        <f>E7+E27+E32</f>
        <v>1500</v>
      </c>
      <c r="F75" s="99">
        <f>F7+F27+F32</f>
        <v>0</v>
      </c>
      <c r="G75" s="99">
        <f>G7+G27+G32</f>
        <v>1500</v>
      </c>
      <c r="H75" s="99">
        <f t="shared" ref="H75:N75" si="42">H7+H27+H32+H62</f>
        <v>552</v>
      </c>
      <c r="I75" s="99">
        <f t="shared" si="42"/>
        <v>0</v>
      </c>
      <c r="J75" s="99">
        <f t="shared" si="42"/>
        <v>0</v>
      </c>
      <c r="K75" s="99">
        <f t="shared" si="42"/>
        <v>0</v>
      </c>
      <c r="L75" s="99">
        <f t="shared" si="42"/>
        <v>0</v>
      </c>
      <c r="M75" s="99">
        <f t="shared" ref="M75" si="43">M7+M27+M32+M62</f>
        <v>0</v>
      </c>
      <c r="N75" s="99">
        <f t="shared" si="42"/>
        <v>0</v>
      </c>
      <c r="O75" s="99">
        <f>O7+O27+O32</f>
        <v>40.619</v>
      </c>
      <c r="P75" s="174"/>
    </row>
    <row r="76" spans="1:16" ht="16.5" customHeight="1" x14ac:dyDescent="0.25">
      <c r="A76" s="119"/>
      <c r="B76" s="72" t="s">
        <v>144</v>
      </c>
      <c r="C76" s="99">
        <f>C56</f>
        <v>190289</v>
      </c>
      <c r="D76" s="99">
        <f>D56</f>
        <v>5016</v>
      </c>
      <c r="E76" s="99">
        <f>E56</f>
        <v>-3774</v>
      </c>
      <c r="F76" s="99">
        <f>F56</f>
        <v>0</v>
      </c>
      <c r="G76" s="99">
        <f>G56</f>
        <v>191531</v>
      </c>
      <c r="H76" s="99">
        <f t="shared" ref="H76:N76" si="44">H56-H60</f>
        <v>189439</v>
      </c>
      <c r="I76" s="99">
        <f t="shared" si="44"/>
        <v>204622</v>
      </c>
      <c r="J76" s="99">
        <f t="shared" si="44"/>
        <v>0</v>
      </c>
      <c r="K76" s="99">
        <f t="shared" si="44"/>
        <v>-3237</v>
      </c>
      <c r="L76" s="99">
        <f t="shared" si="44"/>
        <v>2677</v>
      </c>
      <c r="M76" s="99">
        <f t="shared" ref="M76" si="45">M56-M60</f>
        <v>0</v>
      </c>
      <c r="N76" s="99">
        <f t="shared" si="44"/>
        <v>204062</v>
      </c>
      <c r="O76" s="99">
        <f>O56</f>
        <v>130176.114</v>
      </c>
      <c r="P76" s="174">
        <f t="shared" si="37"/>
        <v>0.6379243269202497</v>
      </c>
    </row>
    <row r="77" spans="1:16" ht="16.5" customHeight="1" x14ac:dyDescent="0.25">
      <c r="A77" s="130"/>
      <c r="B77" s="84" t="s">
        <v>59</v>
      </c>
      <c r="C77" s="131">
        <f t="shared" ref="C77:I77" si="46">C33+C66</f>
        <v>203610</v>
      </c>
      <c r="D77" s="131">
        <f t="shared" si="46"/>
        <v>5016</v>
      </c>
      <c r="E77" s="131">
        <f t="shared" si="46"/>
        <v>-2274</v>
      </c>
      <c r="F77" s="131">
        <f t="shared" si="46"/>
        <v>0</v>
      </c>
      <c r="G77" s="131">
        <f t="shared" si="46"/>
        <v>206352</v>
      </c>
      <c r="H77" s="131">
        <f>H33+H66</f>
        <v>206649</v>
      </c>
      <c r="I77" s="131">
        <f t="shared" si="46"/>
        <v>214907</v>
      </c>
      <c r="J77" s="131">
        <f t="shared" ref="J77:O77" si="47">J33+J66</f>
        <v>0</v>
      </c>
      <c r="K77" s="131">
        <f t="shared" si="47"/>
        <v>5862</v>
      </c>
      <c r="L77" s="131">
        <f t="shared" si="47"/>
        <v>3684</v>
      </c>
      <c r="M77" s="131">
        <f t="shared" si="47"/>
        <v>4603</v>
      </c>
      <c r="N77" s="131">
        <f t="shared" si="47"/>
        <v>229056</v>
      </c>
      <c r="O77" s="131">
        <f t="shared" si="47"/>
        <v>98671.957000000009</v>
      </c>
      <c r="P77" s="175">
        <f t="shared" si="37"/>
        <v>0.43077656555602128</v>
      </c>
    </row>
    <row r="78" spans="1:16" ht="16.5" customHeight="1" x14ac:dyDescent="0.25">
      <c r="A78" s="123"/>
      <c r="B78" s="77" t="s">
        <v>142</v>
      </c>
      <c r="C78" s="125">
        <f t="shared" ref="C78:I78" si="48">C34+C37+C38+C44+C45-C49</f>
        <v>151440</v>
      </c>
      <c r="D78" s="125">
        <f t="shared" si="48"/>
        <v>4402</v>
      </c>
      <c r="E78" s="125">
        <f t="shared" si="48"/>
        <v>-2274</v>
      </c>
      <c r="F78" s="125">
        <f t="shared" si="48"/>
        <v>0</v>
      </c>
      <c r="G78" s="125">
        <f t="shared" si="48"/>
        <v>153568</v>
      </c>
      <c r="H78" s="125">
        <f>H34+H37+H38+H44+H45-H49</f>
        <v>144641</v>
      </c>
      <c r="I78" s="125">
        <f t="shared" si="48"/>
        <v>153626</v>
      </c>
      <c r="J78" s="125">
        <f t="shared" ref="J78:O78" si="49">J34+J37+J38+J44+J45-J49</f>
        <v>0</v>
      </c>
      <c r="K78" s="125">
        <f t="shared" si="49"/>
        <v>4862</v>
      </c>
      <c r="L78" s="125">
        <f t="shared" si="49"/>
        <v>-2526</v>
      </c>
      <c r="M78" s="125">
        <f t="shared" si="49"/>
        <v>1715</v>
      </c>
      <c r="N78" s="125">
        <f t="shared" si="49"/>
        <v>157677</v>
      </c>
      <c r="O78" s="125">
        <f t="shared" si="49"/>
        <v>63171.225000000006</v>
      </c>
      <c r="P78" s="176">
        <f t="shared" si="37"/>
        <v>0.40063690328963647</v>
      </c>
    </row>
    <row r="79" spans="1:16" ht="16.5" customHeight="1" x14ac:dyDescent="0.25">
      <c r="A79" s="123"/>
      <c r="B79" s="77" t="s">
        <v>141</v>
      </c>
      <c r="C79" s="125">
        <f t="shared" ref="C79:I79" si="50">C49+C50+C51+C52</f>
        <v>52170</v>
      </c>
      <c r="D79" s="125">
        <f t="shared" si="50"/>
        <v>614</v>
      </c>
      <c r="E79" s="125">
        <f t="shared" si="50"/>
        <v>0</v>
      </c>
      <c r="F79" s="125">
        <f t="shared" si="50"/>
        <v>0</v>
      </c>
      <c r="G79" s="125">
        <f t="shared" si="50"/>
        <v>52784</v>
      </c>
      <c r="H79" s="125">
        <f>H49+H50+H51+H52</f>
        <v>62008</v>
      </c>
      <c r="I79" s="125">
        <f t="shared" si="50"/>
        <v>61281</v>
      </c>
      <c r="J79" s="125">
        <f t="shared" ref="J79:O79" si="51">J49+J50+J51+J52</f>
        <v>0</v>
      </c>
      <c r="K79" s="125">
        <f t="shared" si="51"/>
        <v>1000</v>
      </c>
      <c r="L79" s="125">
        <f t="shared" si="51"/>
        <v>6210</v>
      </c>
      <c r="M79" s="125">
        <f t="shared" si="51"/>
        <v>2888</v>
      </c>
      <c r="N79" s="125">
        <f t="shared" si="51"/>
        <v>71379</v>
      </c>
      <c r="O79" s="125">
        <f t="shared" si="51"/>
        <v>35500.732000000004</v>
      </c>
      <c r="P79" s="176">
        <f t="shared" si="37"/>
        <v>0.49735541265638356</v>
      </c>
    </row>
    <row r="80" spans="1:16" ht="16.5" customHeight="1" x14ac:dyDescent="0.25">
      <c r="A80" s="123"/>
      <c r="B80" s="77" t="s">
        <v>144</v>
      </c>
      <c r="C80" s="125">
        <f t="shared" ref="C80:I80" si="52">C66</f>
        <v>0</v>
      </c>
      <c r="D80" s="125">
        <f t="shared" si="52"/>
        <v>0</v>
      </c>
      <c r="E80" s="125">
        <f t="shared" si="52"/>
        <v>0</v>
      </c>
      <c r="F80" s="125">
        <f t="shared" si="52"/>
        <v>0</v>
      </c>
      <c r="G80" s="125">
        <f t="shared" si="52"/>
        <v>0</v>
      </c>
      <c r="H80" s="125">
        <f>H66</f>
        <v>0</v>
      </c>
      <c r="I80" s="125">
        <f t="shared" si="52"/>
        <v>0</v>
      </c>
      <c r="J80" s="125">
        <f t="shared" ref="J80:O80" si="53">J66</f>
        <v>0</v>
      </c>
      <c r="K80" s="125">
        <f t="shared" si="53"/>
        <v>0</v>
      </c>
      <c r="L80" s="125">
        <f t="shared" si="53"/>
        <v>0</v>
      </c>
      <c r="M80" s="125">
        <f t="shared" si="53"/>
        <v>0</v>
      </c>
      <c r="N80" s="125">
        <f t="shared" si="53"/>
        <v>0</v>
      </c>
      <c r="O80" s="125">
        <f t="shared" si="53"/>
        <v>0</v>
      </c>
      <c r="P80" s="176"/>
    </row>
    <row r="81" spans="1:16" ht="16.5" customHeight="1" x14ac:dyDescent="0.25">
      <c r="A81" s="132"/>
      <c r="B81" s="86" t="s">
        <v>55</v>
      </c>
      <c r="C81" s="133">
        <f t="shared" ref="C81:G84" si="54">C73-C77</f>
        <v>0</v>
      </c>
      <c r="D81" s="133">
        <f t="shared" si="54"/>
        <v>0</v>
      </c>
      <c r="E81" s="133">
        <f>E73-E77</f>
        <v>0</v>
      </c>
      <c r="F81" s="133">
        <f t="shared" si="54"/>
        <v>0</v>
      </c>
      <c r="G81" s="133">
        <f t="shared" si="54"/>
        <v>0</v>
      </c>
      <c r="H81" s="133">
        <f t="shared" ref="H81:I83" si="55">H73-H77</f>
        <v>5383</v>
      </c>
      <c r="I81" s="133">
        <f t="shared" si="55"/>
        <v>0</v>
      </c>
      <c r="J81" s="133">
        <f t="shared" ref="J81:O83" si="56">J73-J77</f>
        <v>0</v>
      </c>
      <c r="K81" s="133">
        <f t="shared" si="56"/>
        <v>0</v>
      </c>
      <c r="L81" s="133">
        <f t="shared" si="56"/>
        <v>0</v>
      </c>
      <c r="M81" s="133">
        <f t="shared" ref="M81" si="57">M73-M77</f>
        <v>0</v>
      </c>
      <c r="N81" s="133">
        <f t="shared" si="56"/>
        <v>0</v>
      </c>
      <c r="O81" s="133">
        <f t="shared" si="56"/>
        <v>40041.224000000002</v>
      </c>
      <c r="P81" s="177"/>
    </row>
    <row r="82" spans="1:16" ht="16.5" customHeight="1" x14ac:dyDescent="0.25">
      <c r="A82" s="134"/>
      <c r="B82" s="89" t="s">
        <v>140</v>
      </c>
      <c r="C82" s="135">
        <f t="shared" si="54"/>
        <v>-138119</v>
      </c>
      <c r="D82" s="135">
        <f t="shared" si="54"/>
        <v>-4402</v>
      </c>
      <c r="E82" s="135">
        <f>E74-E78</f>
        <v>2274</v>
      </c>
      <c r="F82" s="135">
        <f t="shared" si="54"/>
        <v>0</v>
      </c>
      <c r="G82" s="135">
        <f t="shared" si="54"/>
        <v>-140247</v>
      </c>
      <c r="H82" s="135">
        <f t="shared" si="55"/>
        <v>-122600</v>
      </c>
      <c r="I82" s="135">
        <f t="shared" si="55"/>
        <v>-143341</v>
      </c>
      <c r="J82" s="135">
        <f t="shared" si="56"/>
        <v>0</v>
      </c>
      <c r="K82" s="135">
        <f t="shared" si="56"/>
        <v>4237</v>
      </c>
      <c r="L82" s="135">
        <f t="shared" si="56"/>
        <v>3533</v>
      </c>
      <c r="M82" s="135">
        <f t="shared" ref="M82" si="58">M74-M78</f>
        <v>2888</v>
      </c>
      <c r="N82" s="135">
        <f t="shared" si="56"/>
        <v>-132683</v>
      </c>
      <c r="O82" s="135">
        <f t="shared" si="56"/>
        <v>-54674.777000000002</v>
      </c>
      <c r="P82" s="178">
        <f>O82/N82</f>
        <v>0.41207070235071563</v>
      </c>
    </row>
    <row r="83" spans="1:16" ht="16.5" customHeight="1" x14ac:dyDescent="0.25">
      <c r="A83" s="134"/>
      <c r="B83" s="89" t="s">
        <v>143</v>
      </c>
      <c r="C83" s="135">
        <f t="shared" si="54"/>
        <v>-52170</v>
      </c>
      <c r="D83" s="135">
        <f t="shared" si="54"/>
        <v>-614</v>
      </c>
      <c r="E83" s="135">
        <f>E75-E79</f>
        <v>1500</v>
      </c>
      <c r="F83" s="135">
        <f t="shared" si="54"/>
        <v>0</v>
      </c>
      <c r="G83" s="135">
        <f t="shared" si="54"/>
        <v>-51284</v>
      </c>
      <c r="H83" s="135">
        <f t="shared" si="55"/>
        <v>-61456</v>
      </c>
      <c r="I83" s="135">
        <f t="shared" si="55"/>
        <v>-61281</v>
      </c>
      <c r="J83" s="135">
        <f t="shared" si="56"/>
        <v>0</v>
      </c>
      <c r="K83" s="135">
        <f t="shared" si="56"/>
        <v>-1000</v>
      </c>
      <c r="L83" s="135">
        <f t="shared" si="56"/>
        <v>-6210</v>
      </c>
      <c r="M83" s="135">
        <f t="shared" ref="M83" si="59">M75-M79</f>
        <v>-2888</v>
      </c>
      <c r="N83" s="135">
        <f t="shared" si="56"/>
        <v>-71379</v>
      </c>
      <c r="O83" s="135">
        <f t="shared" si="56"/>
        <v>-35460.113000000005</v>
      </c>
      <c r="P83" s="178">
        <f>O83/N83</f>
        <v>0.49678635172809937</v>
      </c>
    </row>
    <row r="84" spans="1:16" ht="16.5" customHeight="1" x14ac:dyDescent="0.25">
      <c r="A84" s="134"/>
      <c r="B84" s="89" t="s">
        <v>144</v>
      </c>
      <c r="C84" s="135">
        <f t="shared" si="54"/>
        <v>190289</v>
      </c>
      <c r="D84" s="135">
        <f t="shared" si="54"/>
        <v>5016</v>
      </c>
      <c r="E84" s="135">
        <f>E76-E80</f>
        <v>-3774</v>
      </c>
      <c r="F84" s="135">
        <f t="shared" si="54"/>
        <v>0</v>
      </c>
      <c r="G84" s="135">
        <f t="shared" si="54"/>
        <v>191531</v>
      </c>
      <c r="H84" s="135">
        <f t="shared" ref="H84:N84" si="60">H72-H61-H62</f>
        <v>189439</v>
      </c>
      <c r="I84" s="135">
        <f t="shared" si="60"/>
        <v>204622</v>
      </c>
      <c r="J84" s="135">
        <f t="shared" si="60"/>
        <v>0</v>
      </c>
      <c r="K84" s="135">
        <f t="shared" si="60"/>
        <v>-3237</v>
      </c>
      <c r="L84" s="135">
        <f t="shared" si="60"/>
        <v>2677</v>
      </c>
      <c r="M84" s="135">
        <f t="shared" ref="M84" si="61">M72-M61-M62</f>
        <v>0</v>
      </c>
      <c r="N84" s="135">
        <f t="shared" si="60"/>
        <v>204062</v>
      </c>
      <c r="O84" s="135">
        <f t="shared" ref="O84" si="62">O72</f>
        <v>130176.114</v>
      </c>
      <c r="P84" s="178">
        <f>O84/N84</f>
        <v>0.6379243269202497</v>
      </c>
    </row>
    <row r="88" spans="1:16" ht="14.45" customHeight="1" x14ac:dyDescent="0.25">
      <c r="I88" s="14"/>
      <c r="J88" s="14"/>
      <c r="K88" s="14"/>
      <c r="L88" s="14"/>
      <c r="M88" s="14"/>
      <c r="N88" s="14"/>
      <c r="O88" s="14"/>
    </row>
    <row r="89" spans="1:16" ht="14.45" customHeight="1" x14ac:dyDescent="0.25">
      <c r="G89" s="19"/>
      <c r="H89" s="19"/>
      <c r="I89" s="14"/>
      <c r="J89" s="14"/>
      <c r="K89" s="14"/>
      <c r="L89" s="14"/>
      <c r="M89" s="14"/>
      <c r="N89" s="14"/>
      <c r="O89" s="14"/>
    </row>
    <row r="90" spans="1:16" x14ac:dyDescent="0.25">
      <c r="G90" s="20"/>
      <c r="H90" s="20"/>
      <c r="I90" s="14"/>
      <c r="J90" s="14"/>
      <c r="K90" s="14"/>
      <c r="L90" s="14"/>
      <c r="M90" s="14"/>
      <c r="N90" s="14"/>
      <c r="O90" s="14"/>
    </row>
    <row r="91" spans="1:16" x14ac:dyDescent="0.25">
      <c r="G91" s="19"/>
      <c r="H91" s="19"/>
      <c r="I91" s="14"/>
      <c r="J91" s="14"/>
      <c r="K91" s="14"/>
      <c r="L91" s="14"/>
      <c r="M91" s="14"/>
      <c r="N91" s="14"/>
      <c r="O91" s="14"/>
    </row>
    <row r="92" spans="1:16" x14ac:dyDescent="0.25">
      <c r="G92" s="19"/>
      <c r="H92" s="19"/>
      <c r="I92" s="14"/>
      <c r="J92" s="14"/>
      <c r="K92" s="14"/>
      <c r="L92" s="14"/>
      <c r="M92" s="14"/>
      <c r="N92" s="14"/>
      <c r="O92" s="14"/>
    </row>
    <row r="93" spans="1:16" x14ac:dyDescent="0.25">
      <c r="G93" s="19"/>
      <c r="H93" s="19"/>
      <c r="I93" s="14"/>
      <c r="J93" s="14"/>
      <c r="K93" s="14"/>
      <c r="L93" s="14"/>
      <c r="M93" s="14"/>
      <c r="N93" s="14"/>
      <c r="O93" s="14"/>
    </row>
    <row r="94" spans="1:16" x14ac:dyDescent="0.25">
      <c r="G94" s="19"/>
      <c r="H94" s="19"/>
      <c r="I94" s="14"/>
      <c r="J94" s="14"/>
      <c r="K94" s="14"/>
      <c r="L94" s="14"/>
      <c r="M94" s="14"/>
      <c r="N94" s="14"/>
      <c r="O94" s="14"/>
    </row>
    <row r="95" spans="1:16" x14ac:dyDescent="0.25">
      <c r="G95" s="19"/>
      <c r="H95" s="19"/>
      <c r="I95" s="14"/>
      <c r="J95" s="14"/>
      <c r="K95" s="14"/>
      <c r="L95" s="14"/>
      <c r="M95" s="14"/>
      <c r="N95" s="14"/>
      <c r="O95" s="14"/>
    </row>
    <row r="96" spans="1:16" x14ac:dyDescent="0.25">
      <c r="G96" s="19"/>
      <c r="H96" s="19"/>
      <c r="I96" s="14"/>
      <c r="J96" s="14"/>
      <c r="K96" s="14"/>
      <c r="L96" s="14"/>
      <c r="M96" s="14"/>
      <c r="N96" s="14"/>
      <c r="O96" s="14"/>
    </row>
    <row r="97" spans="7:15" x14ac:dyDescent="0.25">
      <c r="G97" s="19"/>
      <c r="H97" s="19"/>
      <c r="I97" s="14"/>
      <c r="J97" s="14"/>
      <c r="K97" s="14"/>
      <c r="L97" s="14"/>
      <c r="M97" s="14"/>
      <c r="N97" s="14"/>
      <c r="O97" s="14"/>
    </row>
    <row r="98" spans="7:15" x14ac:dyDescent="0.25">
      <c r="G98" s="19"/>
      <c r="H98" s="19"/>
      <c r="I98" s="14"/>
      <c r="J98" s="14"/>
      <c r="K98" s="14"/>
      <c r="L98" s="14"/>
      <c r="M98" s="14"/>
      <c r="N98" s="14"/>
      <c r="O98" s="14"/>
    </row>
    <row r="99" spans="7:15" x14ac:dyDescent="0.25">
      <c r="G99" s="19"/>
      <c r="H99" s="19"/>
      <c r="I99" s="14"/>
      <c r="J99" s="14"/>
      <c r="K99" s="14"/>
      <c r="L99" s="14"/>
      <c r="M99" s="14"/>
      <c r="N99" s="14"/>
      <c r="O99" s="14"/>
    </row>
    <row r="100" spans="7:15" x14ac:dyDescent="0.25">
      <c r="G100" s="19"/>
      <c r="H100" s="19"/>
      <c r="I100" s="14"/>
      <c r="J100" s="14"/>
      <c r="K100" s="14"/>
      <c r="L100" s="14"/>
      <c r="M100" s="14"/>
      <c r="N100" s="14"/>
      <c r="O100" s="14"/>
    </row>
    <row r="101" spans="7:15" x14ac:dyDescent="0.25">
      <c r="G101" s="19"/>
      <c r="H101" s="19"/>
      <c r="I101" s="14"/>
      <c r="J101" s="14"/>
      <c r="K101" s="14"/>
      <c r="L101" s="14"/>
      <c r="M101" s="14"/>
      <c r="N101" s="14"/>
      <c r="O101" s="14"/>
    </row>
    <row r="102" spans="7:15" x14ac:dyDescent="0.25">
      <c r="G102" s="19"/>
      <c r="H102" s="19"/>
      <c r="I102" s="14"/>
      <c r="J102" s="14"/>
      <c r="K102" s="14"/>
      <c r="L102" s="14"/>
      <c r="M102" s="14"/>
      <c r="N102" s="14"/>
      <c r="O102" s="14"/>
    </row>
    <row r="103" spans="7:15" x14ac:dyDescent="0.25">
      <c r="G103" s="19"/>
      <c r="H103" s="19"/>
      <c r="I103" s="14"/>
      <c r="J103" s="14"/>
      <c r="K103" s="14"/>
      <c r="L103" s="14"/>
      <c r="M103" s="14"/>
      <c r="N103" s="14"/>
      <c r="O103" s="14"/>
    </row>
    <row r="104" spans="7:15" x14ac:dyDescent="0.25">
      <c r="G104" s="19"/>
      <c r="H104" s="19"/>
      <c r="I104" s="14"/>
      <c r="J104" s="14"/>
      <c r="K104" s="14"/>
      <c r="L104" s="14"/>
      <c r="M104" s="14"/>
      <c r="N104" s="14"/>
      <c r="O104" s="14"/>
    </row>
    <row r="105" spans="7:15" x14ac:dyDescent="0.25">
      <c r="G105" s="19"/>
      <c r="H105" s="19"/>
      <c r="I105" s="14"/>
      <c r="J105" s="14"/>
      <c r="K105" s="14"/>
      <c r="L105" s="14"/>
      <c r="M105" s="14"/>
      <c r="N105" s="14"/>
      <c r="O105" s="14"/>
    </row>
    <row r="106" spans="7:15" x14ac:dyDescent="0.25">
      <c r="G106" s="19"/>
      <c r="H106" s="19"/>
      <c r="I106" s="14"/>
      <c r="J106" s="14"/>
      <c r="K106" s="14"/>
      <c r="L106" s="14"/>
      <c r="M106" s="14"/>
      <c r="N106" s="14"/>
      <c r="O106" s="14"/>
    </row>
    <row r="107" spans="7:15" x14ac:dyDescent="0.25">
      <c r="G107" s="19"/>
      <c r="H107" s="19"/>
      <c r="I107" s="14"/>
      <c r="J107" s="14"/>
      <c r="K107" s="14"/>
      <c r="L107" s="14"/>
      <c r="M107" s="14"/>
      <c r="N107" s="14"/>
      <c r="O107" s="14"/>
    </row>
    <row r="108" spans="7:15" x14ac:dyDescent="0.25">
      <c r="G108" s="19"/>
      <c r="H108" s="19"/>
      <c r="I108" s="14"/>
      <c r="J108" s="14"/>
      <c r="K108" s="14"/>
      <c r="L108" s="14"/>
      <c r="M108" s="14"/>
      <c r="N108" s="14"/>
      <c r="O108" s="14"/>
    </row>
    <row r="109" spans="7:15" x14ac:dyDescent="0.25">
      <c r="G109" s="19"/>
      <c r="H109" s="19"/>
      <c r="I109" s="14"/>
      <c r="J109" s="14"/>
      <c r="K109" s="14"/>
      <c r="L109" s="14"/>
      <c r="M109" s="14"/>
      <c r="N109" s="14"/>
      <c r="O109" s="14"/>
    </row>
    <row r="110" spans="7:15" x14ac:dyDescent="0.25">
      <c r="G110" s="19"/>
      <c r="H110" s="19"/>
      <c r="I110" s="14"/>
      <c r="J110" s="14"/>
      <c r="K110" s="14"/>
      <c r="L110" s="14"/>
      <c r="M110" s="14"/>
      <c r="N110" s="14"/>
      <c r="O110" s="14"/>
    </row>
    <row r="111" spans="7:15" x14ac:dyDescent="0.25">
      <c r="G111" s="19"/>
      <c r="H111" s="19"/>
      <c r="I111" s="14"/>
      <c r="J111" s="14"/>
      <c r="K111" s="14"/>
      <c r="L111" s="14"/>
      <c r="M111" s="14"/>
      <c r="N111" s="14"/>
      <c r="O111" s="14"/>
    </row>
    <row r="112" spans="7:15" x14ac:dyDescent="0.25">
      <c r="G112" s="19"/>
      <c r="H112" s="19"/>
      <c r="I112" s="14"/>
      <c r="J112" s="14"/>
      <c r="K112" s="14"/>
      <c r="L112" s="14"/>
      <c r="M112" s="14"/>
      <c r="N112" s="14"/>
      <c r="O112" s="14"/>
    </row>
    <row r="113" spans="3:15" x14ac:dyDescent="0.25">
      <c r="G113" s="19"/>
      <c r="H113" s="19"/>
      <c r="I113" s="14"/>
      <c r="J113" s="14"/>
      <c r="K113" s="14"/>
      <c r="L113" s="14"/>
      <c r="M113" s="14"/>
      <c r="N113" s="14"/>
      <c r="O113" s="14"/>
    </row>
    <row r="114" spans="3:15" x14ac:dyDescent="0.25">
      <c r="G114" s="19"/>
      <c r="H114" s="19"/>
    </row>
    <row r="120" spans="3:15" ht="12.75" x14ac:dyDescent="0.25">
      <c r="C120" s="14"/>
      <c r="D120" s="14"/>
      <c r="E120" s="14"/>
      <c r="G120" s="14"/>
      <c r="H120" s="14"/>
      <c r="I120" s="14"/>
      <c r="J120" s="14"/>
      <c r="K120" s="14"/>
      <c r="L120" s="14"/>
      <c r="M120" s="14"/>
      <c r="N120" s="14"/>
    </row>
    <row r="121" spans="3:15" x14ac:dyDescent="0.25">
      <c r="O121" s="14"/>
    </row>
  </sheetData>
  <mergeCells count="6">
    <mergeCell ref="O1:P1"/>
    <mergeCell ref="A1:A2"/>
    <mergeCell ref="H1:H2"/>
    <mergeCell ref="I1:N1"/>
    <mergeCell ref="C1:G1"/>
    <mergeCell ref="B1:B2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61" orientation="portrait" r:id="rId1"/>
  <headerFooter>
    <oddHeader>&amp;C&amp;"Times New Roman,Félkövér"&amp;10Szentendre Város Önkormányzat összevont bevételei és kiadásai mérlegszerűen 
2016. év&amp;R&amp;"Times New Roman,Normál"&amp;10 1d. sz. melléklet
EFt</oddHead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21"/>
  <sheetViews>
    <sheetView view="pageBreakPreview" zoomScale="96" zoomScaleNormal="90" zoomScaleSheetLayoutView="96" workbookViewId="0">
      <pane xSplit="2" ySplit="3" topLeftCell="I4" activePane="bottomRight" state="frozen"/>
      <selection activeCell="B6" sqref="B6"/>
      <selection pane="topRight" activeCell="B6" sqref="B6"/>
      <selection pane="bottomLeft" activeCell="B6" sqref="B6"/>
      <selection pane="bottomRight" activeCell="M3" sqref="I3:M3"/>
    </sheetView>
  </sheetViews>
  <sheetFormatPr defaultColWidth="9.28515625" defaultRowHeight="15" x14ac:dyDescent="0.25"/>
  <cols>
    <col min="1" max="1" width="7.85546875" style="14" customWidth="1"/>
    <col min="2" max="2" width="68.5703125" style="14" customWidth="1"/>
    <col min="3" max="3" width="15.7109375" style="9" hidden="1" customWidth="1"/>
    <col min="4" max="5" width="13" style="9" hidden="1" customWidth="1"/>
    <col min="6" max="6" width="15.7109375" style="14" hidden="1" customWidth="1"/>
    <col min="7" max="8" width="13.85546875" style="18" hidden="1" customWidth="1"/>
    <col min="9" max="14" width="14.7109375" style="17" customWidth="1"/>
    <col min="15" max="15" width="12.7109375" style="17" hidden="1" customWidth="1"/>
    <col min="16" max="16" width="9.28515625" style="155" hidden="1" customWidth="1"/>
    <col min="17" max="18" width="9.28515625" style="14" customWidth="1"/>
    <col min="19" max="19" width="17.85546875" style="14" customWidth="1"/>
    <col min="20" max="26" width="9.28515625" style="14" customWidth="1"/>
    <col min="27" max="16384" width="9.28515625" style="14"/>
  </cols>
  <sheetData>
    <row r="1" spans="1:16" ht="29.25" customHeight="1" x14ac:dyDescent="0.25">
      <c r="A1" s="201"/>
      <c r="B1" s="202" t="s">
        <v>180</v>
      </c>
      <c r="C1" s="200" t="s">
        <v>162</v>
      </c>
      <c r="D1" s="200"/>
      <c r="E1" s="200"/>
      <c r="F1" s="200"/>
      <c r="G1" s="200"/>
      <c r="H1" s="193" t="s">
        <v>176</v>
      </c>
      <c r="I1" s="200" t="s">
        <v>173</v>
      </c>
      <c r="J1" s="200"/>
      <c r="K1" s="200"/>
      <c r="L1" s="200"/>
      <c r="M1" s="200"/>
      <c r="N1" s="200"/>
      <c r="O1" s="195" t="s">
        <v>187</v>
      </c>
      <c r="P1" s="196"/>
    </row>
    <row r="2" spans="1:16" s="15" customFormat="1" ht="46.5" customHeight="1" x14ac:dyDescent="0.25">
      <c r="A2" s="201"/>
      <c r="B2" s="202"/>
      <c r="C2" s="39" t="s">
        <v>8</v>
      </c>
      <c r="D2" s="39" t="s">
        <v>166</v>
      </c>
      <c r="E2" s="39" t="s">
        <v>175</v>
      </c>
      <c r="F2" s="39" t="s">
        <v>9</v>
      </c>
      <c r="G2" s="39" t="s">
        <v>167</v>
      </c>
      <c r="H2" s="193"/>
      <c r="I2" s="39" t="s">
        <v>8</v>
      </c>
      <c r="J2" s="39" t="s">
        <v>9</v>
      </c>
      <c r="K2" s="39" t="s">
        <v>166</v>
      </c>
      <c r="L2" s="181" t="s">
        <v>192</v>
      </c>
      <c r="M2" s="183" t="s">
        <v>193</v>
      </c>
      <c r="N2" s="39" t="s">
        <v>186</v>
      </c>
      <c r="O2" s="159" t="s">
        <v>190</v>
      </c>
      <c r="P2" s="159" t="s">
        <v>191</v>
      </c>
    </row>
    <row r="3" spans="1:16" ht="16.5" customHeight="1" x14ac:dyDescent="0.25">
      <c r="A3" s="97" t="s">
        <v>0</v>
      </c>
      <c r="B3" s="98" t="s">
        <v>91</v>
      </c>
      <c r="C3" s="99">
        <f t="shared" ref="C3:G3" si="0">C6+C7+C8+C15+C27+C31+C32</f>
        <v>286981</v>
      </c>
      <c r="D3" s="99">
        <f t="shared" si="0"/>
        <v>0</v>
      </c>
      <c r="E3" s="99">
        <f t="shared" si="0"/>
        <v>52000</v>
      </c>
      <c r="F3" s="99">
        <f t="shared" si="0"/>
        <v>0</v>
      </c>
      <c r="G3" s="99">
        <f t="shared" si="0"/>
        <v>338981</v>
      </c>
      <c r="H3" s="99">
        <f t="shared" ref="H3:O3" si="1">H6+H7+H8+H15+H27+H31+H32</f>
        <v>237767</v>
      </c>
      <c r="I3" s="99">
        <f t="shared" si="1"/>
        <v>168198</v>
      </c>
      <c r="J3" s="99">
        <f t="shared" si="1"/>
        <v>0</v>
      </c>
      <c r="K3" s="99">
        <f t="shared" si="1"/>
        <v>0</v>
      </c>
      <c r="L3" s="99">
        <f t="shared" si="1"/>
        <v>0</v>
      </c>
      <c r="M3" s="99">
        <f t="shared" si="1"/>
        <v>20639.241000000002</v>
      </c>
      <c r="N3" s="99">
        <f t="shared" si="1"/>
        <v>188837.24100000001</v>
      </c>
      <c r="O3" s="99">
        <f t="shared" si="1"/>
        <v>51413.1</v>
      </c>
      <c r="P3" s="161">
        <f t="shared" ref="P3:P7" si="2">O3/N3</f>
        <v>0.27226144444675504</v>
      </c>
    </row>
    <row r="4" spans="1:16" ht="16.5" customHeight="1" x14ac:dyDescent="0.25">
      <c r="A4" s="100" t="s">
        <v>92</v>
      </c>
      <c r="B4" s="100" t="s">
        <v>12</v>
      </c>
      <c r="C4" s="101"/>
      <c r="D4" s="101"/>
      <c r="E4" s="101"/>
      <c r="F4" s="101"/>
      <c r="G4" s="101">
        <f>SUM(C4:F4)</f>
        <v>0</v>
      </c>
      <c r="H4" s="101"/>
      <c r="I4" s="101"/>
      <c r="J4" s="101"/>
      <c r="K4" s="101"/>
      <c r="L4" s="101"/>
      <c r="M4" s="101"/>
      <c r="N4" s="55">
        <f>SUM(I4:M4)</f>
        <v>0</v>
      </c>
      <c r="O4" s="101"/>
      <c r="P4" s="162"/>
    </row>
    <row r="5" spans="1:16" ht="16.5" customHeight="1" x14ac:dyDescent="0.25">
      <c r="A5" s="100" t="s">
        <v>163</v>
      </c>
      <c r="B5" s="100" t="s">
        <v>164</v>
      </c>
      <c r="C5" s="101"/>
      <c r="D5" s="101"/>
      <c r="E5" s="101">
        <v>34140</v>
      </c>
      <c r="F5" s="101"/>
      <c r="G5" s="101">
        <f>SUM(C5:F5)</f>
        <v>34140</v>
      </c>
      <c r="H5" s="101">
        <v>57187</v>
      </c>
      <c r="I5" s="101"/>
      <c r="J5" s="101"/>
      <c r="K5" s="101"/>
      <c r="L5" s="101"/>
      <c r="M5" s="101">
        <f>'[1]Egyéb ei módosítás'!$C$37/1000</f>
        <v>3800</v>
      </c>
      <c r="N5" s="55">
        <f>SUM(I5:M5)</f>
        <v>3800</v>
      </c>
      <c r="O5" s="101">
        <v>2000</v>
      </c>
      <c r="P5" s="162"/>
    </row>
    <row r="6" spans="1:16" ht="16.5" customHeight="1" x14ac:dyDescent="0.25">
      <c r="A6" s="102" t="s">
        <v>93</v>
      </c>
      <c r="B6" s="102" t="s">
        <v>13</v>
      </c>
      <c r="C6" s="103">
        <f t="shared" ref="C6:G6" si="3">SUM(C4:C5)</f>
        <v>0</v>
      </c>
      <c r="D6" s="103">
        <f t="shared" si="3"/>
        <v>0</v>
      </c>
      <c r="E6" s="103">
        <f t="shared" si="3"/>
        <v>34140</v>
      </c>
      <c r="F6" s="103">
        <f t="shared" si="3"/>
        <v>0</v>
      </c>
      <c r="G6" s="103">
        <f t="shared" si="3"/>
        <v>34140</v>
      </c>
      <c r="H6" s="103">
        <f t="shared" ref="H6:O6" si="4">SUM(H4:H5)</f>
        <v>57187</v>
      </c>
      <c r="I6" s="103">
        <f t="shared" si="4"/>
        <v>0</v>
      </c>
      <c r="J6" s="103">
        <f t="shared" si="4"/>
        <v>0</v>
      </c>
      <c r="K6" s="103">
        <f t="shared" si="4"/>
        <v>0</v>
      </c>
      <c r="L6" s="103">
        <f t="shared" si="4"/>
        <v>0</v>
      </c>
      <c r="M6" s="103">
        <f t="shared" si="4"/>
        <v>3800</v>
      </c>
      <c r="N6" s="103">
        <f t="shared" si="4"/>
        <v>3800</v>
      </c>
      <c r="O6" s="103">
        <f t="shared" si="4"/>
        <v>2000</v>
      </c>
      <c r="P6" s="163"/>
    </row>
    <row r="7" spans="1:16" ht="16.5" customHeight="1" x14ac:dyDescent="0.25">
      <c r="A7" s="102" t="s">
        <v>94</v>
      </c>
      <c r="B7" s="102" t="s">
        <v>14</v>
      </c>
      <c r="C7" s="103">
        <f>48000+42557</f>
        <v>90557</v>
      </c>
      <c r="D7" s="103"/>
      <c r="E7" s="103">
        <f>13860+600+700+200+2500-9450</f>
        <v>8410</v>
      </c>
      <c r="F7" s="103"/>
      <c r="G7" s="103">
        <f>SUM(C7:F7)</f>
        <v>98967</v>
      </c>
      <c r="H7" s="103">
        <v>58225</v>
      </c>
      <c r="I7" s="103">
        <v>9000</v>
      </c>
      <c r="J7" s="103"/>
      <c r="K7" s="103"/>
      <c r="L7" s="103"/>
      <c r="M7" s="103"/>
      <c r="N7" s="57">
        <f>SUM(I7:M7)</f>
        <v>9000</v>
      </c>
      <c r="O7" s="103">
        <v>3445.0749999999998</v>
      </c>
      <c r="P7" s="164">
        <f t="shared" si="2"/>
        <v>0.3827861111111111</v>
      </c>
    </row>
    <row r="8" spans="1:16" ht="16.5" customHeight="1" x14ac:dyDescent="0.25">
      <c r="A8" s="102" t="s">
        <v>95</v>
      </c>
      <c r="B8" s="102" t="s">
        <v>4</v>
      </c>
      <c r="C8" s="103">
        <f>SUM(C9,C10,C14)</f>
        <v>0</v>
      </c>
      <c r="D8" s="103">
        <f>SUM(D9,D10,D14)</f>
        <v>0</v>
      </c>
      <c r="E8" s="103"/>
      <c r="F8" s="103">
        <f>SUM(F9,F10,F14)</f>
        <v>0</v>
      </c>
      <c r="G8" s="103">
        <f>SUM(G9,G10,G14)</f>
        <v>0</v>
      </c>
      <c r="H8" s="103">
        <f>SUM(H9,H10,H14)</f>
        <v>0</v>
      </c>
      <c r="I8" s="103">
        <f>SUM(I9,I10,I14)</f>
        <v>0</v>
      </c>
      <c r="J8" s="103">
        <f t="shared" ref="J8:O8" si="5">J9+J11+J12+J13+J14</f>
        <v>0</v>
      </c>
      <c r="K8" s="103">
        <f t="shared" si="5"/>
        <v>0</v>
      </c>
      <c r="L8" s="103">
        <f t="shared" si="5"/>
        <v>0</v>
      </c>
      <c r="M8" s="103">
        <f t="shared" si="5"/>
        <v>0</v>
      </c>
      <c r="N8" s="103">
        <f t="shared" si="5"/>
        <v>0</v>
      </c>
      <c r="O8" s="103">
        <f t="shared" si="5"/>
        <v>0</v>
      </c>
      <c r="P8" s="163"/>
    </row>
    <row r="9" spans="1:16" ht="16.5" hidden="1" customHeight="1" x14ac:dyDescent="0.25">
      <c r="A9" s="100" t="s">
        <v>96</v>
      </c>
      <c r="B9" s="105" t="s">
        <v>15</v>
      </c>
      <c r="C9" s="101"/>
      <c r="D9" s="101"/>
      <c r="E9" s="101"/>
      <c r="F9" s="101"/>
      <c r="G9" s="101">
        <f>SUM(C9:F9)</f>
        <v>0</v>
      </c>
      <c r="H9" s="101"/>
      <c r="I9" s="101"/>
      <c r="J9" s="101"/>
      <c r="K9" s="101"/>
      <c r="L9" s="101"/>
      <c r="M9" s="101"/>
      <c r="N9" s="101"/>
      <c r="O9" s="101"/>
      <c r="P9" s="162"/>
    </row>
    <row r="10" spans="1:16" ht="16.5" hidden="1" customHeight="1" x14ac:dyDescent="0.25">
      <c r="A10" s="100" t="s">
        <v>125</v>
      </c>
      <c r="B10" s="105" t="s">
        <v>126</v>
      </c>
      <c r="C10" s="101">
        <f>SUM(C11:C13)</f>
        <v>0</v>
      </c>
      <c r="D10" s="101"/>
      <c r="E10" s="101"/>
      <c r="F10" s="101">
        <f>SUM(F11:F13)</f>
        <v>0</v>
      </c>
      <c r="G10" s="101">
        <f>SUM(G11:G13)</f>
        <v>0</v>
      </c>
      <c r="H10" s="101"/>
      <c r="I10" s="101">
        <f t="shared" ref="I10:O10" si="6">SUM(I11:I13)</f>
        <v>0</v>
      </c>
      <c r="J10" s="101">
        <f t="shared" si="6"/>
        <v>0</v>
      </c>
      <c r="K10" s="101">
        <f t="shared" si="6"/>
        <v>0</v>
      </c>
      <c r="L10" s="101">
        <f t="shared" si="6"/>
        <v>0</v>
      </c>
      <c r="M10" s="101">
        <f t="shared" si="6"/>
        <v>0</v>
      </c>
      <c r="N10" s="101">
        <f t="shared" si="6"/>
        <v>0</v>
      </c>
      <c r="O10" s="101">
        <f t="shared" si="6"/>
        <v>0</v>
      </c>
      <c r="P10" s="162"/>
    </row>
    <row r="11" spans="1:16" ht="16.5" hidden="1" customHeight="1" x14ac:dyDescent="0.25">
      <c r="A11" s="100" t="s">
        <v>97</v>
      </c>
      <c r="B11" s="105" t="s">
        <v>16</v>
      </c>
      <c r="C11" s="101"/>
      <c r="D11" s="101"/>
      <c r="E11" s="101"/>
      <c r="F11" s="101"/>
      <c r="G11" s="101">
        <f>SUM(C11:F11)</f>
        <v>0</v>
      </c>
      <c r="H11" s="101"/>
      <c r="I11" s="101"/>
      <c r="J11" s="101"/>
      <c r="K11" s="101"/>
      <c r="L11" s="101"/>
      <c r="M11" s="101"/>
      <c r="N11" s="101"/>
      <c r="O11" s="101"/>
      <c r="P11" s="162"/>
    </row>
    <row r="12" spans="1:16" ht="16.5" hidden="1" customHeight="1" x14ac:dyDescent="0.25">
      <c r="A12" s="100" t="s">
        <v>98</v>
      </c>
      <c r="B12" s="105" t="s">
        <v>17</v>
      </c>
      <c r="C12" s="101"/>
      <c r="D12" s="101"/>
      <c r="E12" s="101"/>
      <c r="F12" s="101"/>
      <c r="G12" s="101">
        <f>SUM(C12:F12)</f>
        <v>0</v>
      </c>
      <c r="H12" s="101"/>
      <c r="I12" s="101"/>
      <c r="J12" s="101"/>
      <c r="K12" s="101"/>
      <c r="L12" s="101"/>
      <c r="M12" s="101"/>
      <c r="N12" s="101"/>
      <c r="O12" s="101"/>
      <c r="P12" s="162"/>
    </row>
    <row r="13" spans="1:16" ht="16.5" hidden="1" customHeight="1" x14ac:dyDescent="0.25">
      <c r="A13" s="100" t="s">
        <v>99</v>
      </c>
      <c r="B13" s="100" t="s">
        <v>18</v>
      </c>
      <c r="C13" s="101"/>
      <c r="D13" s="101"/>
      <c r="E13" s="101"/>
      <c r="F13" s="101"/>
      <c r="G13" s="101">
        <f>SUM(C13:F13)</f>
        <v>0</v>
      </c>
      <c r="H13" s="101"/>
      <c r="I13" s="101"/>
      <c r="J13" s="101"/>
      <c r="K13" s="101"/>
      <c r="L13" s="101"/>
      <c r="M13" s="101"/>
      <c r="N13" s="101"/>
      <c r="O13" s="101"/>
      <c r="P13" s="162"/>
    </row>
    <row r="14" spans="1:16" ht="16.5" hidden="1" customHeight="1" x14ac:dyDescent="0.25">
      <c r="A14" s="100" t="s">
        <v>100</v>
      </c>
      <c r="B14" s="100" t="s">
        <v>19</v>
      </c>
      <c r="C14" s="101"/>
      <c r="D14" s="101"/>
      <c r="E14" s="101"/>
      <c r="F14" s="101"/>
      <c r="G14" s="101">
        <f>SUM(C14:F14)</f>
        <v>0</v>
      </c>
      <c r="H14" s="101"/>
      <c r="I14" s="101"/>
      <c r="J14" s="101"/>
      <c r="K14" s="101"/>
      <c r="L14" s="101"/>
      <c r="M14" s="101"/>
      <c r="N14" s="101"/>
      <c r="O14" s="101"/>
      <c r="P14" s="162"/>
    </row>
    <row r="15" spans="1:16" ht="16.5" customHeight="1" x14ac:dyDescent="0.25">
      <c r="A15" s="102" t="s">
        <v>101</v>
      </c>
      <c r="B15" s="102" t="s">
        <v>20</v>
      </c>
      <c r="C15" s="103">
        <f t="shared" ref="C15:G15" si="7">SUM(C16:C26)</f>
        <v>196424</v>
      </c>
      <c r="D15" s="103">
        <f t="shared" si="7"/>
        <v>0</v>
      </c>
      <c r="E15" s="103">
        <f t="shared" si="7"/>
        <v>9450</v>
      </c>
      <c r="F15" s="103">
        <f t="shared" si="7"/>
        <v>0</v>
      </c>
      <c r="G15" s="103">
        <f t="shared" si="7"/>
        <v>205874</v>
      </c>
      <c r="H15" s="103">
        <f t="shared" ref="H15:O15" si="8">SUM(H16:H26)</f>
        <v>122303</v>
      </c>
      <c r="I15" s="103">
        <f t="shared" si="8"/>
        <v>159198</v>
      </c>
      <c r="J15" s="103">
        <f t="shared" si="8"/>
        <v>0</v>
      </c>
      <c r="K15" s="103">
        <f t="shared" si="8"/>
        <v>-3</v>
      </c>
      <c r="L15" s="103">
        <f t="shared" si="8"/>
        <v>0</v>
      </c>
      <c r="M15" s="103">
        <f t="shared" si="8"/>
        <v>0</v>
      </c>
      <c r="N15" s="103">
        <f t="shared" si="8"/>
        <v>159195</v>
      </c>
      <c r="O15" s="103">
        <f t="shared" si="8"/>
        <v>45965.025000000001</v>
      </c>
      <c r="P15" s="165">
        <f>O15/N15</f>
        <v>0.28873409968906061</v>
      </c>
    </row>
    <row r="16" spans="1:16" ht="16.5" hidden="1" customHeight="1" x14ac:dyDescent="0.25">
      <c r="A16" s="105" t="s">
        <v>102</v>
      </c>
      <c r="B16" s="106" t="s">
        <v>21</v>
      </c>
      <c r="C16" s="107">
        <v>6000</v>
      </c>
      <c r="D16" s="107"/>
      <c r="E16" s="107"/>
      <c r="F16" s="107"/>
      <c r="G16" s="107">
        <f>SUM(C16:F16)</f>
        <v>6000</v>
      </c>
      <c r="H16" s="107">
        <v>3224</v>
      </c>
      <c r="I16" s="107">
        <v>3800</v>
      </c>
      <c r="J16" s="107"/>
      <c r="K16" s="107"/>
      <c r="L16" s="107"/>
      <c r="M16" s="107"/>
      <c r="N16" s="55">
        <f t="shared" ref="N16:N26" si="9">SUM(I16:M16)</f>
        <v>3800</v>
      </c>
      <c r="O16" s="107">
        <v>790.25599999999997</v>
      </c>
      <c r="P16" s="162">
        <f>O16/N16</f>
        <v>0.20796210526315789</v>
      </c>
    </row>
    <row r="17" spans="1:16" ht="16.5" hidden="1" customHeight="1" x14ac:dyDescent="0.25">
      <c r="A17" s="100" t="s">
        <v>103</v>
      </c>
      <c r="B17" s="105" t="s">
        <v>22</v>
      </c>
      <c r="C17" s="101">
        <f>142215+9500</f>
        <v>151715</v>
      </c>
      <c r="D17" s="101"/>
      <c r="E17" s="101"/>
      <c r="F17" s="101"/>
      <c r="G17" s="101">
        <f t="shared" ref="G17:G46" si="10">SUM(C17:F17)</f>
        <v>151715</v>
      </c>
      <c r="H17" s="101">
        <v>94593</v>
      </c>
      <c r="I17" s="101">
        <v>134200</v>
      </c>
      <c r="J17" s="101"/>
      <c r="K17" s="101">
        <v>-3</v>
      </c>
      <c r="L17" s="101"/>
      <c r="M17" s="101"/>
      <c r="N17" s="55">
        <f t="shared" si="9"/>
        <v>134197</v>
      </c>
      <c r="O17" s="101">
        <v>35686.811000000002</v>
      </c>
      <c r="P17" s="162">
        <f t="shared" ref="P17:P21" si="11">O17/N17</f>
        <v>0.26592853044404868</v>
      </c>
    </row>
    <row r="18" spans="1:16" ht="16.5" hidden="1" customHeight="1" x14ac:dyDescent="0.25">
      <c r="A18" s="100" t="s">
        <v>104</v>
      </c>
      <c r="B18" s="105" t="s">
        <v>23</v>
      </c>
      <c r="C18" s="101"/>
      <c r="D18" s="101"/>
      <c r="E18" s="101"/>
      <c r="F18" s="101"/>
      <c r="G18" s="101">
        <f t="shared" si="10"/>
        <v>0</v>
      </c>
      <c r="H18" s="101">
        <v>473</v>
      </c>
      <c r="I18" s="101"/>
      <c r="J18" s="101"/>
      <c r="K18" s="101"/>
      <c r="L18" s="101"/>
      <c r="M18" s="101"/>
      <c r="N18" s="55">
        <f t="shared" si="9"/>
        <v>0</v>
      </c>
      <c r="O18" s="101">
        <v>44.046999999999997</v>
      </c>
      <c r="P18" s="162"/>
    </row>
    <row r="19" spans="1:16" ht="16.5" hidden="1" customHeight="1" x14ac:dyDescent="0.25">
      <c r="A19" s="100" t="s">
        <v>105</v>
      </c>
      <c r="B19" s="105" t="s">
        <v>24</v>
      </c>
      <c r="C19" s="101"/>
      <c r="D19" s="101"/>
      <c r="E19" s="101"/>
      <c r="F19" s="101"/>
      <c r="G19" s="101">
        <f t="shared" si="10"/>
        <v>0</v>
      </c>
      <c r="H19" s="101">
        <v>30</v>
      </c>
      <c r="I19" s="101"/>
      <c r="J19" s="101"/>
      <c r="K19" s="101"/>
      <c r="L19" s="101"/>
      <c r="M19" s="101"/>
      <c r="N19" s="55">
        <f t="shared" si="9"/>
        <v>0</v>
      </c>
      <c r="O19" s="101"/>
      <c r="P19" s="162"/>
    </row>
    <row r="20" spans="1:16" ht="16.5" hidden="1" customHeight="1" x14ac:dyDescent="0.25">
      <c r="A20" s="100" t="s">
        <v>106</v>
      </c>
      <c r="B20" s="105" t="s">
        <v>25</v>
      </c>
      <c r="C20" s="101"/>
      <c r="D20" s="101"/>
      <c r="E20" s="101"/>
      <c r="F20" s="101"/>
      <c r="G20" s="101">
        <f t="shared" si="10"/>
        <v>0</v>
      </c>
      <c r="H20" s="101"/>
      <c r="I20" s="101"/>
      <c r="J20" s="101"/>
      <c r="K20" s="101"/>
      <c r="L20" s="101"/>
      <c r="M20" s="101"/>
      <c r="N20" s="55">
        <f t="shared" si="9"/>
        <v>0</v>
      </c>
      <c r="O20" s="101"/>
      <c r="P20" s="162"/>
    </row>
    <row r="21" spans="1:16" ht="16.5" hidden="1" customHeight="1" x14ac:dyDescent="0.25">
      <c r="A21" s="100" t="s">
        <v>107</v>
      </c>
      <c r="B21" s="105" t="s">
        <v>26</v>
      </c>
      <c r="C21" s="101">
        <v>38709</v>
      </c>
      <c r="D21" s="101"/>
      <c r="E21" s="101"/>
      <c r="F21" s="101"/>
      <c r="G21" s="101">
        <f t="shared" si="10"/>
        <v>38709</v>
      </c>
      <c r="H21" s="101">
        <v>23097</v>
      </c>
      <c r="I21" s="101">
        <v>21198</v>
      </c>
      <c r="J21" s="101"/>
      <c r="K21" s="101"/>
      <c r="L21" s="101"/>
      <c r="M21" s="101"/>
      <c r="N21" s="55">
        <f t="shared" si="9"/>
        <v>21198</v>
      </c>
      <c r="O21" s="101">
        <v>8595.1749999999993</v>
      </c>
      <c r="P21" s="162">
        <f t="shared" si="11"/>
        <v>0.40547103500330217</v>
      </c>
    </row>
    <row r="22" spans="1:16" ht="16.5" hidden="1" customHeight="1" x14ac:dyDescent="0.25">
      <c r="A22" s="100" t="s">
        <v>108</v>
      </c>
      <c r="B22" s="105" t="s">
        <v>27</v>
      </c>
      <c r="C22" s="101"/>
      <c r="D22" s="101"/>
      <c r="E22" s="101"/>
      <c r="F22" s="101"/>
      <c r="G22" s="101">
        <f t="shared" si="10"/>
        <v>0</v>
      </c>
      <c r="H22" s="101"/>
      <c r="I22" s="101"/>
      <c r="J22" s="101"/>
      <c r="K22" s="101"/>
      <c r="L22" s="101"/>
      <c r="M22" s="101"/>
      <c r="N22" s="55">
        <f t="shared" si="9"/>
        <v>0</v>
      </c>
      <c r="O22" s="101"/>
      <c r="P22" s="162"/>
    </row>
    <row r="23" spans="1:16" ht="16.5" hidden="1" customHeight="1" x14ac:dyDescent="0.25">
      <c r="A23" s="100" t="s">
        <v>109</v>
      </c>
      <c r="B23" s="105" t="s">
        <v>28</v>
      </c>
      <c r="C23" s="101"/>
      <c r="D23" s="101"/>
      <c r="E23" s="101"/>
      <c r="F23" s="101"/>
      <c r="G23" s="101">
        <f t="shared" si="10"/>
        <v>0</v>
      </c>
      <c r="H23" s="101">
        <v>300</v>
      </c>
      <c r="I23" s="101"/>
      <c r="J23" s="101"/>
      <c r="K23" s="101"/>
      <c r="L23" s="101"/>
      <c r="M23" s="101"/>
      <c r="N23" s="55">
        <f t="shared" si="9"/>
        <v>0</v>
      </c>
      <c r="O23" s="101">
        <v>488.38</v>
      </c>
      <c r="P23" s="162"/>
    </row>
    <row r="24" spans="1:16" ht="16.5" hidden="1" customHeight="1" x14ac:dyDescent="0.25">
      <c r="A24" s="100" t="s">
        <v>110</v>
      </c>
      <c r="B24" s="105" t="s">
        <v>29</v>
      </c>
      <c r="C24" s="101"/>
      <c r="D24" s="101"/>
      <c r="E24" s="101"/>
      <c r="F24" s="101"/>
      <c r="G24" s="101">
        <f t="shared" si="10"/>
        <v>0</v>
      </c>
      <c r="H24" s="101"/>
      <c r="I24" s="101"/>
      <c r="J24" s="101"/>
      <c r="K24" s="101"/>
      <c r="L24" s="101"/>
      <c r="M24" s="101"/>
      <c r="N24" s="55">
        <f t="shared" si="9"/>
        <v>0</v>
      </c>
      <c r="O24" s="101"/>
      <c r="P24" s="162"/>
    </row>
    <row r="25" spans="1:16" ht="16.5" hidden="1" customHeight="1" x14ac:dyDescent="0.25">
      <c r="A25" s="100" t="s">
        <v>111</v>
      </c>
      <c r="B25" s="54" t="s">
        <v>177</v>
      </c>
      <c r="C25" s="101"/>
      <c r="D25" s="101"/>
      <c r="E25" s="101"/>
      <c r="F25" s="101"/>
      <c r="G25" s="101"/>
      <c r="H25" s="101">
        <v>347</v>
      </c>
      <c r="I25" s="101"/>
      <c r="J25" s="101"/>
      <c r="K25" s="101"/>
      <c r="L25" s="101"/>
      <c r="M25" s="101"/>
      <c r="N25" s="55">
        <f t="shared" si="9"/>
        <v>0</v>
      </c>
      <c r="O25" s="101"/>
      <c r="P25" s="162"/>
    </row>
    <row r="26" spans="1:16" ht="16.5" hidden="1" customHeight="1" x14ac:dyDescent="0.25">
      <c r="A26" s="100" t="s">
        <v>165</v>
      </c>
      <c r="B26" s="105" t="s">
        <v>30</v>
      </c>
      <c r="C26" s="101"/>
      <c r="D26" s="101"/>
      <c r="E26" s="101">
        <v>9450</v>
      </c>
      <c r="F26" s="101"/>
      <c r="G26" s="101">
        <f t="shared" si="10"/>
        <v>9450</v>
      </c>
      <c r="H26" s="101">
        <v>239</v>
      </c>
      <c r="I26" s="101"/>
      <c r="J26" s="101"/>
      <c r="K26" s="101"/>
      <c r="L26" s="101"/>
      <c r="M26" s="101"/>
      <c r="N26" s="55">
        <f t="shared" si="9"/>
        <v>0</v>
      </c>
      <c r="O26" s="101">
        <v>360.35599999999999</v>
      </c>
      <c r="P26" s="162"/>
    </row>
    <row r="27" spans="1:16" ht="16.5" customHeight="1" x14ac:dyDescent="0.25">
      <c r="A27" s="102" t="s">
        <v>112</v>
      </c>
      <c r="B27" s="102" t="s">
        <v>31</v>
      </c>
      <c r="C27" s="103">
        <f t="shared" ref="C27:G27" si="12">C28+C29+C30</f>
        <v>0</v>
      </c>
      <c r="D27" s="103">
        <f t="shared" si="12"/>
        <v>0</v>
      </c>
      <c r="E27" s="103">
        <f t="shared" si="12"/>
        <v>0</v>
      </c>
      <c r="F27" s="103">
        <f t="shared" si="12"/>
        <v>0</v>
      </c>
      <c r="G27" s="103">
        <f t="shared" si="12"/>
        <v>0</v>
      </c>
      <c r="H27" s="103">
        <f t="shared" ref="H27:O27" si="13">H28+H29+H30</f>
        <v>52</v>
      </c>
      <c r="I27" s="103">
        <f t="shared" si="13"/>
        <v>0</v>
      </c>
      <c r="J27" s="103">
        <f t="shared" si="13"/>
        <v>0</v>
      </c>
      <c r="K27" s="103">
        <v>3</v>
      </c>
      <c r="L27" s="103">
        <f t="shared" si="13"/>
        <v>0</v>
      </c>
      <c r="M27" s="103">
        <f t="shared" si="13"/>
        <v>6445</v>
      </c>
      <c r="N27" s="103">
        <f t="shared" si="13"/>
        <v>6448</v>
      </c>
      <c r="O27" s="103">
        <f t="shared" si="13"/>
        <v>3</v>
      </c>
      <c r="P27" s="165">
        <f>O27/N27</f>
        <v>4.652605459057072E-4</v>
      </c>
    </row>
    <row r="28" spans="1:16" ht="16.5" hidden="1" customHeight="1" x14ac:dyDescent="0.25">
      <c r="A28" s="105" t="s">
        <v>113</v>
      </c>
      <c r="B28" s="106" t="s">
        <v>32</v>
      </c>
      <c r="C28" s="101"/>
      <c r="D28" s="101"/>
      <c r="E28" s="101"/>
      <c r="F28" s="101"/>
      <c r="G28" s="101">
        <f t="shared" si="10"/>
        <v>0</v>
      </c>
      <c r="H28" s="101"/>
      <c r="I28" s="101"/>
      <c r="J28" s="101"/>
      <c r="K28" s="101"/>
      <c r="L28" s="101"/>
      <c r="M28" s="101"/>
      <c r="N28" s="55">
        <f>SUM(I28:M28)</f>
        <v>0</v>
      </c>
      <c r="O28" s="101"/>
      <c r="P28" s="162"/>
    </row>
    <row r="29" spans="1:16" ht="16.5" hidden="1" customHeight="1" x14ac:dyDescent="0.25">
      <c r="A29" s="105" t="s">
        <v>114</v>
      </c>
      <c r="B29" s="106" t="s">
        <v>33</v>
      </c>
      <c r="C29" s="101"/>
      <c r="D29" s="101"/>
      <c r="E29" s="101"/>
      <c r="F29" s="101"/>
      <c r="G29" s="101">
        <f t="shared" si="10"/>
        <v>0</v>
      </c>
      <c r="H29" s="101"/>
      <c r="I29" s="101"/>
      <c r="J29" s="101"/>
      <c r="K29" s="101"/>
      <c r="L29" s="101"/>
      <c r="M29" s="101"/>
      <c r="N29" s="55">
        <f>SUM(I29:M29)</f>
        <v>0</v>
      </c>
      <c r="O29" s="101"/>
      <c r="P29" s="162"/>
    </row>
    <row r="30" spans="1:16" ht="16.5" hidden="1" customHeight="1" x14ac:dyDescent="0.25">
      <c r="A30" s="105" t="s">
        <v>115</v>
      </c>
      <c r="B30" s="106" t="s">
        <v>34</v>
      </c>
      <c r="C30" s="101"/>
      <c r="D30" s="101"/>
      <c r="E30" s="101"/>
      <c r="F30" s="101"/>
      <c r="G30" s="101">
        <f t="shared" si="10"/>
        <v>0</v>
      </c>
      <c r="H30" s="101">
        <v>52</v>
      </c>
      <c r="I30" s="101"/>
      <c r="J30" s="101"/>
      <c r="K30" s="101">
        <v>3</v>
      </c>
      <c r="L30" s="101"/>
      <c r="M30" s="101">
        <f>'[1]Egyéb ei módosítás'!$C$38/1000</f>
        <v>6445</v>
      </c>
      <c r="N30" s="55">
        <f>SUM(I30:M30)</f>
        <v>6448</v>
      </c>
      <c r="O30" s="101">
        <v>3</v>
      </c>
      <c r="P30" s="162">
        <f t="shared" ref="P30:P43" si="14">O30/N30</f>
        <v>4.652605459057072E-4</v>
      </c>
    </row>
    <row r="31" spans="1:16" ht="16.5" customHeight="1" x14ac:dyDescent="0.25">
      <c r="A31" s="104" t="s">
        <v>116</v>
      </c>
      <c r="B31" s="108" t="s">
        <v>5</v>
      </c>
      <c r="C31" s="103"/>
      <c r="D31" s="103"/>
      <c r="E31" s="103"/>
      <c r="F31" s="103"/>
      <c r="G31" s="103">
        <f t="shared" si="10"/>
        <v>0</v>
      </c>
      <c r="H31" s="103"/>
      <c r="I31" s="103"/>
      <c r="J31" s="103"/>
      <c r="K31" s="103"/>
      <c r="L31" s="103"/>
      <c r="M31" s="103">
        <f>'[1]Egyéb ei módosítás'!$C$39/1000</f>
        <v>10394.241</v>
      </c>
      <c r="N31" s="57">
        <f>SUM(I31:M31)</f>
        <v>10394.241</v>
      </c>
      <c r="O31" s="103"/>
      <c r="P31" s="164"/>
    </row>
    <row r="32" spans="1:16" ht="16.5" customHeight="1" x14ac:dyDescent="0.25">
      <c r="A32" s="104" t="s">
        <v>117</v>
      </c>
      <c r="B32" s="109" t="s">
        <v>7</v>
      </c>
      <c r="C32" s="103"/>
      <c r="D32" s="103"/>
      <c r="E32" s="103"/>
      <c r="F32" s="103"/>
      <c r="G32" s="103">
        <f t="shared" si="10"/>
        <v>0</v>
      </c>
      <c r="H32" s="103"/>
      <c r="I32" s="103"/>
      <c r="J32" s="103"/>
      <c r="K32" s="103"/>
      <c r="L32" s="103"/>
      <c r="M32" s="103"/>
      <c r="N32" s="57">
        <f>SUM(I32:M32)</f>
        <v>0</v>
      </c>
      <c r="O32" s="103"/>
      <c r="P32" s="164"/>
    </row>
    <row r="33" spans="1:16" ht="16.5" customHeight="1" x14ac:dyDescent="0.25">
      <c r="A33" s="110" t="s">
        <v>6</v>
      </c>
      <c r="B33" s="111" t="s">
        <v>76</v>
      </c>
      <c r="C33" s="112">
        <f t="shared" ref="C33:G33" si="15">C34+C37+C38+C44+C45+C50+C51+C52</f>
        <v>623459</v>
      </c>
      <c r="D33" s="112">
        <f t="shared" si="15"/>
        <v>12471</v>
      </c>
      <c r="E33" s="112">
        <f t="shared" si="15"/>
        <v>56700</v>
      </c>
      <c r="F33" s="112">
        <f t="shared" si="15"/>
        <v>0</v>
      </c>
      <c r="G33" s="112">
        <f t="shared" si="15"/>
        <v>692630</v>
      </c>
      <c r="H33" s="112">
        <f t="shared" ref="H33:O33" si="16">H34+H37+H38+H44+H45+H50+H51+H52</f>
        <v>760868</v>
      </c>
      <c r="I33" s="112">
        <f t="shared" si="16"/>
        <v>504676</v>
      </c>
      <c r="J33" s="112">
        <f t="shared" si="16"/>
        <v>0</v>
      </c>
      <c r="K33" s="112">
        <f>K34+K37+K38+K45+K50+K51+K52</f>
        <v>54135</v>
      </c>
      <c r="L33" s="112">
        <f t="shared" si="16"/>
        <v>21910</v>
      </c>
      <c r="M33" s="112">
        <f t="shared" si="16"/>
        <v>59979.241000000002</v>
      </c>
      <c r="N33" s="112">
        <f t="shared" si="16"/>
        <v>640700.24100000004</v>
      </c>
      <c r="O33" s="112">
        <f t="shared" si="16"/>
        <v>339581.49699999997</v>
      </c>
      <c r="P33" s="166">
        <f t="shared" si="14"/>
        <v>0.53001618427672792</v>
      </c>
    </row>
    <row r="34" spans="1:16" s="16" customFormat="1" ht="16.5" customHeight="1" x14ac:dyDescent="0.25">
      <c r="A34" s="102" t="s">
        <v>60</v>
      </c>
      <c r="B34" s="102" t="s">
        <v>1</v>
      </c>
      <c r="C34" s="103">
        <v>346262</v>
      </c>
      <c r="D34" s="113">
        <f>[3]összefogl!$X$68</f>
        <v>8804</v>
      </c>
      <c r="E34" s="103">
        <v>1760</v>
      </c>
      <c r="F34" s="113">
        <v>0</v>
      </c>
      <c r="G34" s="103">
        <f t="shared" si="10"/>
        <v>356826</v>
      </c>
      <c r="H34" s="103">
        <v>327753</v>
      </c>
      <c r="I34" s="103">
        <f>SUM(I35:I36)</f>
        <v>294352</v>
      </c>
      <c r="J34" s="103">
        <f t="shared" ref="J34:O34" si="17">SUM(J35:J36)</f>
        <v>0</v>
      </c>
      <c r="K34" s="103">
        <f t="shared" si="17"/>
        <v>2359</v>
      </c>
      <c r="L34" s="103">
        <f t="shared" si="17"/>
        <v>-1697</v>
      </c>
      <c r="M34" s="103">
        <f t="shared" ref="M34" si="18">SUM(M35:M36)</f>
        <v>0</v>
      </c>
      <c r="N34" s="103">
        <f t="shared" si="17"/>
        <v>295014</v>
      </c>
      <c r="O34" s="103">
        <f t="shared" si="17"/>
        <v>177068.193</v>
      </c>
      <c r="P34" s="163">
        <f t="shared" si="14"/>
        <v>0.60020267851695175</v>
      </c>
    </row>
    <row r="35" spans="1:16" s="16" customFormat="1" ht="16.5" hidden="1" customHeight="1" x14ac:dyDescent="0.25">
      <c r="A35" s="50" t="s">
        <v>61</v>
      </c>
      <c r="B35" s="50" t="s">
        <v>35</v>
      </c>
      <c r="C35" s="103"/>
      <c r="D35" s="113"/>
      <c r="E35" s="103"/>
      <c r="F35" s="113"/>
      <c r="G35" s="103"/>
      <c r="H35" s="103"/>
      <c r="I35" s="31">
        <v>288152</v>
      </c>
      <c r="J35" s="55"/>
      <c r="K35" s="55">
        <v>2359</v>
      </c>
      <c r="L35" s="55">
        <f>-18929+16600+632</f>
        <v>-1697</v>
      </c>
      <c r="M35" s="55"/>
      <c r="N35" s="55">
        <f>SUM(I35:M35)</f>
        <v>288814</v>
      </c>
      <c r="O35" s="55">
        <v>168579.924</v>
      </c>
      <c r="P35" s="162">
        <f t="shared" si="14"/>
        <v>0.58369720304417372</v>
      </c>
    </row>
    <row r="36" spans="1:16" s="16" customFormat="1" ht="16.5" hidden="1" customHeight="1" x14ac:dyDescent="0.25">
      <c r="A36" s="50" t="s">
        <v>62</v>
      </c>
      <c r="B36" s="50" t="s">
        <v>36</v>
      </c>
      <c r="C36" s="103"/>
      <c r="D36" s="113"/>
      <c r="E36" s="103"/>
      <c r="F36" s="113"/>
      <c r="G36" s="103"/>
      <c r="H36" s="103"/>
      <c r="I36" s="31">
        <v>6200</v>
      </c>
      <c r="J36" s="55"/>
      <c r="K36" s="55"/>
      <c r="L36" s="55"/>
      <c r="M36" s="55"/>
      <c r="N36" s="55">
        <f>SUM(I36:M36)</f>
        <v>6200</v>
      </c>
      <c r="O36" s="55">
        <v>8488.2690000000002</v>
      </c>
      <c r="P36" s="162">
        <f t="shared" si="14"/>
        <v>1.3690756451612904</v>
      </c>
    </row>
    <row r="37" spans="1:16" s="16" customFormat="1" ht="16.5" customHeight="1" x14ac:dyDescent="0.25">
      <c r="A37" s="102" t="s">
        <v>63</v>
      </c>
      <c r="B37" s="102" t="s">
        <v>2</v>
      </c>
      <c r="C37" s="103">
        <v>87996</v>
      </c>
      <c r="D37" s="113">
        <f>[3]összefogl!$Y$68</f>
        <v>2377</v>
      </c>
      <c r="E37" s="103">
        <v>538</v>
      </c>
      <c r="F37" s="113"/>
      <c r="G37" s="103">
        <f t="shared" si="10"/>
        <v>90911</v>
      </c>
      <c r="H37" s="103">
        <v>85952</v>
      </c>
      <c r="I37" s="103">
        <v>74704</v>
      </c>
      <c r="J37" s="113"/>
      <c r="K37" s="113">
        <f>637</f>
        <v>637</v>
      </c>
      <c r="L37" s="113">
        <f>4507+171</f>
        <v>4678</v>
      </c>
      <c r="M37" s="113">
        <v>0</v>
      </c>
      <c r="N37" s="113">
        <f>SUM(I37:M37)</f>
        <v>80019</v>
      </c>
      <c r="O37" s="113">
        <v>49006.627</v>
      </c>
      <c r="P37" s="167">
        <f t="shared" si="14"/>
        <v>0.61243738362138989</v>
      </c>
    </row>
    <row r="38" spans="1:16" s="16" customFormat="1" ht="16.5" customHeight="1" x14ac:dyDescent="0.25">
      <c r="A38" s="102" t="s">
        <v>64</v>
      </c>
      <c r="B38" s="102" t="s">
        <v>3</v>
      </c>
      <c r="C38" s="103">
        <v>91134</v>
      </c>
      <c r="D38" s="113">
        <v>1290</v>
      </c>
      <c r="E38" s="103">
        <f>33042+9450</f>
        <v>42492</v>
      </c>
      <c r="F38" s="113">
        <v>0</v>
      </c>
      <c r="G38" s="103">
        <f t="shared" si="10"/>
        <v>134916</v>
      </c>
      <c r="H38" s="103">
        <v>223411</v>
      </c>
      <c r="I38" s="103">
        <f>SUM(I39:I43)</f>
        <v>126620</v>
      </c>
      <c r="J38" s="103">
        <f t="shared" ref="J38:O38" si="19">SUM(J39:J43)</f>
        <v>0</v>
      </c>
      <c r="K38" s="103">
        <f t="shared" si="19"/>
        <v>26084</v>
      </c>
      <c r="L38" s="103">
        <f t="shared" si="19"/>
        <v>17296</v>
      </c>
      <c r="M38" s="103">
        <f t="shared" si="19"/>
        <v>48407.89</v>
      </c>
      <c r="N38" s="103">
        <f t="shared" si="19"/>
        <v>218407.89</v>
      </c>
      <c r="O38" s="103">
        <f t="shared" si="19"/>
        <v>81924.138000000006</v>
      </c>
      <c r="P38" s="163">
        <f t="shared" si="14"/>
        <v>0.37509697108469847</v>
      </c>
    </row>
    <row r="39" spans="1:16" s="16" customFormat="1" ht="16.5" hidden="1" customHeight="1" x14ac:dyDescent="0.25">
      <c r="A39" s="50" t="s">
        <v>65</v>
      </c>
      <c r="B39" s="50" t="s">
        <v>37</v>
      </c>
      <c r="C39" s="103"/>
      <c r="D39" s="113"/>
      <c r="E39" s="103"/>
      <c r="F39" s="113"/>
      <c r="G39" s="103"/>
      <c r="H39" s="103"/>
      <c r="I39" s="31">
        <v>15485</v>
      </c>
      <c r="J39" s="55"/>
      <c r="K39" s="55"/>
      <c r="L39" s="55"/>
      <c r="M39" s="55"/>
      <c r="N39" s="55">
        <f t="shared" ref="N39:N44" si="20">SUM(I39:M39)</f>
        <v>15485</v>
      </c>
      <c r="O39" s="55">
        <v>11526.364</v>
      </c>
      <c r="P39" s="162">
        <f t="shared" si="14"/>
        <v>0.74435673232160149</v>
      </c>
    </row>
    <row r="40" spans="1:16" s="16" customFormat="1" ht="16.5" hidden="1" customHeight="1" x14ac:dyDescent="0.25">
      <c r="A40" s="50" t="s">
        <v>66</v>
      </c>
      <c r="B40" s="50" t="s">
        <v>38</v>
      </c>
      <c r="C40" s="103"/>
      <c r="D40" s="113"/>
      <c r="E40" s="103"/>
      <c r="F40" s="113"/>
      <c r="G40" s="103"/>
      <c r="H40" s="103"/>
      <c r="I40" s="31">
        <v>5307</v>
      </c>
      <c r="J40" s="55"/>
      <c r="K40" s="55"/>
      <c r="L40" s="55"/>
      <c r="M40" s="55"/>
      <c r="N40" s="55">
        <f t="shared" si="20"/>
        <v>5307</v>
      </c>
      <c r="O40" s="55">
        <v>3337.4290000000001</v>
      </c>
      <c r="P40" s="162">
        <f t="shared" si="14"/>
        <v>0.62887299792726592</v>
      </c>
    </row>
    <row r="41" spans="1:16" s="16" customFormat="1" ht="16.5" hidden="1" customHeight="1" x14ac:dyDescent="0.25">
      <c r="A41" s="50" t="s">
        <v>67</v>
      </c>
      <c r="B41" s="50" t="s">
        <v>39</v>
      </c>
      <c r="C41" s="103"/>
      <c r="D41" s="113"/>
      <c r="E41" s="103"/>
      <c r="F41" s="113"/>
      <c r="G41" s="103"/>
      <c r="H41" s="103"/>
      <c r="I41" s="31">
        <v>76226</v>
      </c>
      <c r="J41" s="55"/>
      <c r="K41" s="55">
        <v>26084</v>
      </c>
      <c r="L41" s="55">
        <f>17296</f>
        <v>17296</v>
      </c>
      <c r="M41" s="55">
        <f>('[1]Állami támogatás'!$D$10+'[1]Testületi kezdv ei mód'!$D$16+'[1]Egyéb ei módosítás'!$D$40)/1000</f>
        <v>48407.89</v>
      </c>
      <c r="N41" s="55">
        <f t="shared" si="20"/>
        <v>168013.89</v>
      </c>
      <c r="O41" s="55">
        <v>45162.582000000002</v>
      </c>
      <c r="P41" s="162">
        <f t="shared" si="14"/>
        <v>0.26880266863650382</v>
      </c>
    </row>
    <row r="42" spans="1:16" s="16" customFormat="1" ht="16.5" hidden="1" customHeight="1" x14ac:dyDescent="0.25">
      <c r="A42" s="50" t="s">
        <v>68</v>
      </c>
      <c r="B42" s="50" t="s">
        <v>40</v>
      </c>
      <c r="C42" s="103"/>
      <c r="D42" s="113"/>
      <c r="E42" s="103"/>
      <c r="F42" s="113"/>
      <c r="G42" s="103"/>
      <c r="H42" s="103"/>
      <c r="I42" s="31">
        <v>1825</v>
      </c>
      <c r="J42" s="55"/>
      <c r="K42" s="55"/>
      <c r="L42" s="55"/>
      <c r="M42" s="55"/>
      <c r="N42" s="55">
        <f t="shared" si="20"/>
        <v>1825</v>
      </c>
      <c r="O42" s="55">
        <v>3559.14</v>
      </c>
      <c r="P42" s="162">
        <f t="shared" si="14"/>
        <v>1.9502136986301368</v>
      </c>
    </row>
    <row r="43" spans="1:16" s="16" customFormat="1" ht="16.5" hidden="1" customHeight="1" x14ac:dyDescent="0.25">
      <c r="A43" s="50" t="s">
        <v>69</v>
      </c>
      <c r="B43" s="50" t="s">
        <v>41</v>
      </c>
      <c r="C43" s="103"/>
      <c r="D43" s="113"/>
      <c r="E43" s="103"/>
      <c r="F43" s="113"/>
      <c r="G43" s="103"/>
      <c r="H43" s="103"/>
      <c r="I43" s="31">
        <v>27777</v>
      </c>
      <c r="J43" s="55"/>
      <c r="K43" s="55"/>
      <c r="L43" s="55"/>
      <c r="M43" s="55"/>
      <c r="N43" s="55">
        <f t="shared" si="20"/>
        <v>27777</v>
      </c>
      <c r="O43" s="55">
        <v>18338.623</v>
      </c>
      <c r="P43" s="162">
        <f t="shared" si="14"/>
        <v>0.6602089138495878</v>
      </c>
    </row>
    <row r="44" spans="1:16" ht="16.5" customHeight="1" x14ac:dyDescent="0.25">
      <c r="A44" s="102" t="s">
        <v>70</v>
      </c>
      <c r="B44" s="102" t="s">
        <v>152</v>
      </c>
      <c r="C44" s="103"/>
      <c r="D44" s="113"/>
      <c r="E44" s="103"/>
      <c r="F44" s="113"/>
      <c r="G44" s="103">
        <f t="shared" si="10"/>
        <v>0</v>
      </c>
      <c r="H44" s="103">
        <v>50</v>
      </c>
      <c r="I44" s="103">
        <v>0</v>
      </c>
      <c r="J44" s="113"/>
      <c r="K44" s="113"/>
      <c r="L44" s="113"/>
      <c r="M44" s="113"/>
      <c r="N44" s="57">
        <f t="shared" si="20"/>
        <v>0</v>
      </c>
      <c r="O44" s="113">
        <v>0</v>
      </c>
      <c r="P44" s="167"/>
    </row>
    <row r="45" spans="1:16" ht="16.5" customHeight="1" x14ac:dyDescent="0.25">
      <c r="A45" s="102" t="s">
        <v>71</v>
      </c>
      <c r="B45" s="102" t="s">
        <v>153</v>
      </c>
      <c r="C45" s="103">
        <f t="shared" ref="C45:G45" si="21">SUM(C47,C46)</f>
        <v>0</v>
      </c>
      <c r="D45" s="113">
        <f t="shared" si="21"/>
        <v>0</v>
      </c>
      <c r="E45" s="103"/>
      <c r="F45" s="113">
        <f t="shared" si="21"/>
        <v>0</v>
      </c>
      <c r="G45" s="103">
        <f t="shared" si="21"/>
        <v>0</v>
      </c>
      <c r="H45" s="103">
        <f t="shared" ref="H45:O45" si="22">SUM(H47,H46)</f>
        <v>0</v>
      </c>
      <c r="I45" s="103">
        <f t="shared" si="22"/>
        <v>0</v>
      </c>
      <c r="J45" s="113">
        <f t="shared" si="22"/>
        <v>0</v>
      </c>
      <c r="K45" s="113">
        <f>SUM(K46:K47)</f>
        <v>4016</v>
      </c>
      <c r="L45" s="113">
        <f t="shared" ref="L45:N45" si="23">SUM(L46:L47)</f>
        <v>1633</v>
      </c>
      <c r="M45" s="113">
        <f t="shared" si="23"/>
        <v>21</v>
      </c>
      <c r="N45" s="113">
        <f t="shared" si="23"/>
        <v>5670</v>
      </c>
      <c r="O45" s="113">
        <f t="shared" si="22"/>
        <v>5648.5050000000001</v>
      </c>
      <c r="P45" s="163">
        <f>O45/N45</f>
        <v>0.99620899470899471</v>
      </c>
    </row>
    <row r="46" spans="1:16" s="10" customFormat="1" ht="16.5" customHeight="1" x14ac:dyDescent="0.25">
      <c r="A46" s="156" t="s">
        <v>188</v>
      </c>
      <c r="B46" s="50" t="s">
        <v>154</v>
      </c>
      <c r="C46" s="31"/>
      <c r="D46" s="55"/>
      <c r="E46" s="31"/>
      <c r="F46" s="55"/>
      <c r="G46" s="31">
        <f t="shared" si="10"/>
        <v>0</v>
      </c>
      <c r="H46" s="31"/>
      <c r="I46" s="31">
        <v>0</v>
      </c>
      <c r="J46" s="55"/>
      <c r="K46" s="55">
        <v>4016</v>
      </c>
      <c r="L46" s="55">
        <v>1633</v>
      </c>
      <c r="M46" s="55">
        <f>'[1]Egyéb ei módosítás'!$D$41/1000</f>
        <v>21</v>
      </c>
      <c r="N46" s="55">
        <f>SUM(I46:M46)</f>
        <v>5670</v>
      </c>
      <c r="O46" s="55">
        <v>5648.5050000000001</v>
      </c>
      <c r="P46" s="162">
        <f>O46/N46</f>
        <v>0.99620899470899471</v>
      </c>
    </row>
    <row r="47" spans="1:16" s="10" customFormat="1" ht="16.5" customHeight="1" x14ac:dyDescent="0.25">
      <c r="A47" s="50" t="s">
        <v>168</v>
      </c>
      <c r="B47" s="50" t="s">
        <v>155</v>
      </c>
      <c r="C47" s="55">
        <f t="shared" ref="C47:G47" si="24">SUM(C48:C49)</f>
        <v>0</v>
      </c>
      <c r="D47" s="55">
        <f t="shared" si="24"/>
        <v>0</v>
      </c>
      <c r="E47" s="55"/>
      <c r="F47" s="55">
        <f t="shared" si="24"/>
        <v>0</v>
      </c>
      <c r="G47" s="55">
        <f t="shared" si="24"/>
        <v>0</v>
      </c>
      <c r="H47" s="55"/>
      <c r="I47" s="55">
        <f>SUM(I48:I49)</f>
        <v>0</v>
      </c>
      <c r="J47" s="55">
        <f>SUM(J48:J49)</f>
        <v>0</v>
      </c>
      <c r="K47" s="55"/>
      <c r="L47" s="55"/>
      <c r="M47" s="55"/>
      <c r="N47" s="55">
        <f>SUM(N48:N49)</f>
        <v>0</v>
      </c>
      <c r="O47" s="55">
        <f t="shared" ref="O47" si="25">SUM(O48:O49)</f>
        <v>0</v>
      </c>
      <c r="P47" s="162"/>
    </row>
    <row r="48" spans="1:16" s="10" customFormat="1" ht="16.5" customHeight="1" x14ac:dyDescent="0.25">
      <c r="A48" s="50"/>
      <c r="B48" s="50" t="s">
        <v>77</v>
      </c>
      <c r="C48" s="31"/>
      <c r="D48" s="55"/>
      <c r="E48" s="31"/>
      <c r="F48" s="55"/>
      <c r="G48" s="31">
        <f>SUM(C48:F48)</f>
        <v>0</v>
      </c>
      <c r="H48" s="31"/>
      <c r="I48" s="31">
        <v>0</v>
      </c>
      <c r="J48" s="55"/>
      <c r="K48" s="55"/>
      <c r="L48" s="55"/>
      <c r="M48" s="55"/>
      <c r="N48" s="55"/>
      <c r="O48" s="55">
        <v>0</v>
      </c>
      <c r="P48" s="162"/>
    </row>
    <row r="49" spans="1:16" s="10" customFormat="1" ht="16.5" customHeight="1" x14ac:dyDescent="0.25">
      <c r="A49" s="50"/>
      <c r="B49" s="50" t="s">
        <v>78</v>
      </c>
      <c r="C49" s="31"/>
      <c r="D49" s="55"/>
      <c r="E49" s="31"/>
      <c r="F49" s="55"/>
      <c r="G49" s="31">
        <f>SUM(C49:F49)</f>
        <v>0</v>
      </c>
      <c r="H49" s="31"/>
      <c r="I49" s="31">
        <v>0</v>
      </c>
      <c r="J49" s="55"/>
      <c r="K49" s="55"/>
      <c r="L49" s="55"/>
      <c r="M49" s="55"/>
      <c r="N49" s="55"/>
      <c r="O49" s="55">
        <v>0</v>
      </c>
      <c r="P49" s="162"/>
    </row>
    <row r="50" spans="1:16" ht="16.5" customHeight="1" x14ac:dyDescent="0.25">
      <c r="A50" s="102" t="s">
        <v>73</v>
      </c>
      <c r="B50" s="102" t="s">
        <v>169</v>
      </c>
      <c r="C50" s="103">
        <v>50067</v>
      </c>
      <c r="D50" s="113"/>
      <c r="E50" s="103">
        <f>3500+14317+10500+10150</f>
        <v>38467</v>
      </c>
      <c r="F50" s="113"/>
      <c r="G50" s="103">
        <f>SUM(C50:F50)</f>
        <v>88534</v>
      </c>
      <c r="H50" s="103">
        <v>68200</v>
      </c>
      <c r="I50" s="103">
        <v>9000</v>
      </c>
      <c r="J50" s="113"/>
      <c r="K50" s="113">
        <f>10599+6547</f>
        <v>17146</v>
      </c>
      <c r="L50" s="113">
        <f>1807</f>
        <v>1807</v>
      </c>
      <c r="M50" s="113">
        <f>('[1]Állami támogatás'!$D$11+'[1]Egyéb ei módosítás'!$D$42)/1000</f>
        <v>11550.351000000001</v>
      </c>
      <c r="N50" s="113">
        <f>SUM(I50:M50)</f>
        <v>39503.351000000002</v>
      </c>
      <c r="O50" s="113">
        <v>25934.034</v>
      </c>
      <c r="P50" s="163">
        <f t="shared" ref="P50:P57" si="26">O50/N50</f>
        <v>0.65650212813591424</v>
      </c>
    </row>
    <row r="51" spans="1:16" ht="16.5" customHeight="1" x14ac:dyDescent="0.25">
      <c r="A51" s="102" t="s">
        <v>74</v>
      </c>
      <c r="B51" s="102" t="s">
        <v>151</v>
      </c>
      <c r="C51" s="103">
        <v>48000</v>
      </c>
      <c r="D51" s="113"/>
      <c r="E51" s="103">
        <f>3543-30100</f>
        <v>-26557</v>
      </c>
      <c r="F51" s="113"/>
      <c r="G51" s="103">
        <f>SUM(C51:F51)</f>
        <v>21443</v>
      </c>
      <c r="H51" s="103">
        <v>55502</v>
      </c>
      <c r="I51" s="103"/>
      <c r="J51" s="113"/>
      <c r="K51" s="113">
        <v>3893</v>
      </c>
      <c r="L51" s="113">
        <f>-1807</f>
        <v>-1807</v>
      </c>
      <c r="M51" s="113"/>
      <c r="N51" s="113">
        <f>SUM(I51:M51)</f>
        <v>2086</v>
      </c>
      <c r="O51" s="113">
        <v>0</v>
      </c>
      <c r="P51" s="163">
        <f t="shared" si="26"/>
        <v>0</v>
      </c>
    </row>
    <row r="52" spans="1:16" ht="16.5" customHeight="1" x14ac:dyDescent="0.25">
      <c r="A52" s="102" t="s">
        <v>75</v>
      </c>
      <c r="B52" s="102" t="s">
        <v>170</v>
      </c>
      <c r="C52" s="103"/>
      <c r="D52" s="113"/>
      <c r="E52" s="103"/>
      <c r="F52" s="113"/>
      <c r="G52" s="103">
        <f>SUM(C52:F52)</f>
        <v>0</v>
      </c>
      <c r="H52" s="103"/>
      <c r="I52" s="103"/>
      <c r="J52" s="113"/>
      <c r="K52" s="113"/>
      <c r="L52" s="113"/>
      <c r="M52" s="113"/>
      <c r="N52" s="113">
        <f>SUM(I52:M52)</f>
        <v>0</v>
      </c>
      <c r="O52" s="113">
        <v>0</v>
      </c>
      <c r="P52" s="163"/>
    </row>
    <row r="53" spans="1:16" ht="16.5" customHeight="1" x14ac:dyDescent="0.25">
      <c r="A53" s="115"/>
      <c r="B53" s="116" t="s">
        <v>42</v>
      </c>
      <c r="C53" s="117">
        <f t="shared" ref="C53:H53" si="27">C3-C33</f>
        <v>-336478</v>
      </c>
      <c r="D53" s="117">
        <f t="shared" si="27"/>
        <v>-12471</v>
      </c>
      <c r="E53" s="117">
        <f>E3-E33</f>
        <v>-4700</v>
      </c>
      <c r="F53" s="117">
        <f t="shared" si="27"/>
        <v>0</v>
      </c>
      <c r="G53" s="117">
        <f t="shared" si="27"/>
        <v>-353649</v>
      </c>
      <c r="H53" s="117">
        <f t="shared" si="27"/>
        <v>-523101</v>
      </c>
      <c r="I53" s="117">
        <f t="shared" ref="I53:O53" si="28">I3-I33</f>
        <v>-336478</v>
      </c>
      <c r="J53" s="117">
        <f t="shared" si="28"/>
        <v>0</v>
      </c>
      <c r="K53" s="117">
        <f t="shared" si="28"/>
        <v>-54135</v>
      </c>
      <c r="L53" s="117">
        <f t="shared" si="28"/>
        <v>-21910</v>
      </c>
      <c r="M53" s="117">
        <f t="shared" ref="M53" si="29">M3-M33</f>
        <v>-39340</v>
      </c>
      <c r="N53" s="117">
        <f t="shared" si="28"/>
        <v>-451863</v>
      </c>
      <c r="O53" s="117">
        <f t="shared" si="28"/>
        <v>-288168.397</v>
      </c>
      <c r="P53" s="169">
        <f t="shared" si="26"/>
        <v>0.6377339968087673</v>
      </c>
    </row>
    <row r="54" spans="1:16" ht="16.5" customHeight="1" x14ac:dyDescent="0.25">
      <c r="A54" s="118"/>
      <c r="B54" s="111" t="s">
        <v>43</v>
      </c>
      <c r="C54" s="112">
        <f t="shared" ref="C54:H54" si="30">C6+C8+C15+C31-C34-C37-C38-C44-C45-C50-C51</f>
        <v>-427035</v>
      </c>
      <c r="D54" s="112">
        <f t="shared" si="30"/>
        <v>-12471</v>
      </c>
      <c r="E54" s="112">
        <f>E6+E8+E15+E31-E34-E37-E38-E44-E45-E50-E51</f>
        <v>-13110</v>
      </c>
      <c r="F54" s="112">
        <f t="shared" si="30"/>
        <v>0</v>
      </c>
      <c r="G54" s="112">
        <f t="shared" si="30"/>
        <v>-452616</v>
      </c>
      <c r="H54" s="112">
        <f t="shared" si="30"/>
        <v>-581378</v>
      </c>
      <c r="I54" s="112">
        <f t="shared" ref="I54:O54" si="31">I6+I8+I15+I31-I34-I37-I38-I44-I45-I50-I51</f>
        <v>-345478</v>
      </c>
      <c r="J54" s="112">
        <f t="shared" si="31"/>
        <v>0</v>
      </c>
      <c r="K54" s="112">
        <f t="shared" si="31"/>
        <v>-54138</v>
      </c>
      <c r="L54" s="112">
        <f t="shared" si="31"/>
        <v>-21910</v>
      </c>
      <c r="M54" s="112">
        <f t="shared" ref="M54" si="32">M6+M8+M15+M31-M34-M37-M38-M44-M45-M50-M51</f>
        <v>-45785</v>
      </c>
      <c r="N54" s="112">
        <f t="shared" si="31"/>
        <v>-467311</v>
      </c>
      <c r="O54" s="112">
        <f t="shared" si="31"/>
        <v>-291616.47200000001</v>
      </c>
      <c r="P54" s="170">
        <f t="shared" si="26"/>
        <v>0.62403083171592366</v>
      </c>
    </row>
    <row r="55" spans="1:16" ht="16.5" customHeight="1" x14ac:dyDescent="0.25">
      <c r="A55" s="118"/>
      <c r="B55" s="111" t="s">
        <v>44</v>
      </c>
      <c r="C55" s="112">
        <f t="shared" ref="C55:H55" si="33">C7+C27+C32-C52</f>
        <v>90557</v>
      </c>
      <c r="D55" s="112">
        <f t="shared" si="33"/>
        <v>0</v>
      </c>
      <c r="E55" s="112">
        <f>E7+E27+E32-E52</f>
        <v>8410</v>
      </c>
      <c r="F55" s="112">
        <f t="shared" si="33"/>
        <v>0</v>
      </c>
      <c r="G55" s="112">
        <f t="shared" si="33"/>
        <v>98967</v>
      </c>
      <c r="H55" s="112">
        <f t="shared" si="33"/>
        <v>58277</v>
      </c>
      <c r="I55" s="112">
        <f t="shared" ref="I55:O55" si="34">I7+I27+I32-I52</f>
        <v>9000</v>
      </c>
      <c r="J55" s="112">
        <f t="shared" si="34"/>
        <v>0</v>
      </c>
      <c r="K55" s="112">
        <f t="shared" si="34"/>
        <v>3</v>
      </c>
      <c r="L55" s="112">
        <f t="shared" si="34"/>
        <v>0</v>
      </c>
      <c r="M55" s="112">
        <f t="shared" ref="M55" si="35">M7+M27+M32-M52</f>
        <v>6445</v>
      </c>
      <c r="N55" s="112">
        <f t="shared" si="34"/>
        <v>15448</v>
      </c>
      <c r="O55" s="112">
        <f t="shared" si="34"/>
        <v>3448.0749999999998</v>
      </c>
      <c r="P55" s="170">
        <f t="shared" si="26"/>
        <v>0.22320526929052303</v>
      </c>
    </row>
    <row r="56" spans="1:16" ht="16.5" customHeight="1" x14ac:dyDescent="0.25">
      <c r="A56" s="119" t="s">
        <v>132</v>
      </c>
      <c r="B56" s="98" t="s">
        <v>45</v>
      </c>
      <c r="C56" s="99">
        <f t="shared" ref="C56:H56" si="36">C57+C65</f>
        <v>336478</v>
      </c>
      <c r="D56" s="99">
        <f t="shared" si="36"/>
        <v>12471</v>
      </c>
      <c r="E56" s="99">
        <f t="shared" si="36"/>
        <v>4700</v>
      </c>
      <c r="F56" s="99">
        <f t="shared" si="36"/>
        <v>0</v>
      </c>
      <c r="G56" s="99">
        <f t="shared" si="36"/>
        <v>353649</v>
      </c>
      <c r="H56" s="99">
        <f t="shared" si="36"/>
        <v>532317</v>
      </c>
      <c r="I56" s="99">
        <f t="shared" ref="I56:O56" si="37">I57+I65</f>
        <v>336478</v>
      </c>
      <c r="J56" s="99">
        <f t="shared" si="37"/>
        <v>0</v>
      </c>
      <c r="K56" s="99">
        <f t="shared" si="37"/>
        <v>54135</v>
      </c>
      <c r="L56" s="99">
        <f t="shared" si="37"/>
        <v>21910</v>
      </c>
      <c r="M56" s="99">
        <f t="shared" ref="M56" si="38">M57+M65</f>
        <v>39340</v>
      </c>
      <c r="N56" s="99">
        <f t="shared" si="37"/>
        <v>451863</v>
      </c>
      <c r="O56" s="99">
        <f t="shared" si="37"/>
        <v>290621.18199999997</v>
      </c>
      <c r="P56" s="171">
        <f t="shared" si="26"/>
        <v>0.64316215755660444</v>
      </c>
    </row>
    <row r="57" spans="1:16" ht="16.5" customHeight="1" x14ac:dyDescent="0.25">
      <c r="A57" s="100" t="s">
        <v>120</v>
      </c>
      <c r="B57" s="100" t="s">
        <v>50</v>
      </c>
      <c r="C57" s="107">
        <f t="shared" ref="C57:H57" si="39">SUM(C58,C59,C60,C63,C64)</f>
        <v>336478</v>
      </c>
      <c r="D57" s="107">
        <f t="shared" si="39"/>
        <v>12471</v>
      </c>
      <c r="E57" s="107">
        <f t="shared" si="39"/>
        <v>4700</v>
      </c>
      <c r="F57" s="107">
        <f t="shared" si="39"/>
        <v>0</v>
      </c>
      <c r="G57" s="107">
        <f t="shared" si="39"/>
        <v>353649</v>
      </c>
      <c r="H57" s="107">
        <f t="shared" si="39"/>
        <v>532317</v>
      </c>
      <c r="I57" s="107">
        <f t="shared" ref="I57:N57" si="40">SUM(I58,I59,I60,I63,I64)</f>
        <v>336478</v>
      </c>
      <c r="J57" s="107">
        <f t="shared" si="40"/>
        <v>0</v>
      </c>
      <c r="K57" s="107">
        <f t="shared" si="40"/>
        <v>54135</v>
      </c>
      <c r="L57" s="107">
        <f t="shared" si="40"/>
        <v>21910</v>
      </c>
      <c r="M57" s="107">
        <f t="shared" si="40"/>
        <v>39340</v>
      </c>
      <c r="N57" s="107">
        <f t="shared" si="40"/>
        <v>451863</v>
      </c>
      <c r="O57" s="107">
        <f t="shared" ref="O57" si="41">SUM(O58,O59,O60,O63,O64)</f>
        <v>290621.18199999997</v>
      </c>
      <c r="P57" s="168">
        <f t="shared" si="26"/>
        <v>0.64316215755660444</v>
      </c>
    </row>
    <row r="58" spans="1:16" ht="16.5" customHeight="1" x14ac:dyDescent="0.25">
      <c r="A58" s="100" t="s">
        <v>79</v>
      </c>
      <c r="B58" s="100" t="s">
        <v>47</v>
      </c>
      <c r="C58" s="101"/>
      <c r="D58" s="120"/>
      <c r="E58" s="101"/>
      <c r="F58" s="120"/>
      <c r="G58" s="101">
        <f>SUM(C58:F58)</f>
        <v>0</v>
      </c>
      <c r="H58" s="101"/>
      <c r="I58" s="101"/>
      <c r="J58" s="120"/>
      <c r="K58" s="120"/>
      <c r="L58" s="120"/>
      <c r="M58" s="120"/>
      <c r="N58" s="120"/>
      <c r="O58" s="101"/>
      <c r="P58" s="162"/>
    </row>
    <row r="59" spans="1:16" ht="16.5" customHeight="1" x14ac:dyDescent="0.25">
      <c r="A59" s="100" t="s">
        <v>80</v>
      </c>
      <c r="B59" s="100" t="s">
        <v>48</v>
      </c>
      <c r="C59" s="101"/>
      <c r="D59" s="107"/>
      <c r="E59" s="101"/>
      <c r="F59" s="107"/>
      <c r="G59" s="101">
        <f>SUM(C59:F59)</f>
        <v>0</v>
      </c>
      <c r="H59" s="101"/>
      <c r="I59" s="101"/>
      <c r="J59" s="107"/>
      <c r="K59" s="107"/>
      <c r="L59" s="107"/>
      <c r="M59" s="107"/>
      <c r="N59" s="107"/>
      <c r="O59" s="107"/>
      <c r="P59" s="162"/>
    </row>
    <row r="60" spans="1:16" ht="16.5" customHeight="1" x14ac:dyDescent="0.25">
      <c r="A60" s="100" t="s">
        <v>81</v>
      </c>
      <c r="B60" s="100" t="s">
        <v>49</v>
      </c>
      <c r="C60" s="107">
        <f t="shared" ref="C60:G60" si="42">SUM(C61:C62)</f>
        <v>0</v>
      </c>
      <c r="D60" s="107">
        <f t="shared" si="42"/>
        <v>1290</v>
      </c>
      <c r="E60" s="107"/>
      <c r="F60" s="107">
        <f t="shared" si="42"/>
        <v>0</v>
      </c>
      <c r="G60" s="107">
        <f t="shared" si="42"/>
        <v>1290</v>
      </c>
      <c r="H60" s="107">
        <f>SUM(H61:H62)</f>
        <v>1290</v>
      </c>
      <c r="I60" s="107">
        <f>SUM(I61:I62)</f>
        <v>0</v>
      </c>
      <c r="J60" s="107">
        <f>SUM(J61:J62)</f>
        <v>0</v>
      </c>
      <c r="K60" s="107">
        <f>K61+K62</f>
        <v>10599</v>
      </c>
      <c r="L60" s="107">
        <f t="shared" ref="L60:M60" si="43">L61+L62</f>
        <v>0</v>
      </c>
      <c r="M60" s="107">
        <f t="shared" si="43"/>
        <v>0</v>
      </c>
      <c r="N60" s="107">
        <f>SUM(N61:N62)</f>
        <v>10599</v>
      </c>
      <c r="O60" s="107">
        <f>SUM(O61:O62)</f>
        <v>10599</v>
      </c>
      <c r="P60" s="172">
        <f>O60/N60</f>
        <v>1</v>
      </c>
    </row>
    <row r="61" spans="1:16" ht="16.5" customHeight="1" x14ac:dyDescent="0.25">
      <c r="A61" s="100"/>
      <c r="B61" s="114" t="s">
        <v>82</v>
      </c>
      <c r="C61" s="101"/>
      <c r="D61" s="121">
        <v>1290</v>
      </c>
      <c r="E61" s="101"/>
      <c r="F61" s="121"/>
      <c r="G61" s="101">
        <f>SUM(C61:F61)</f>
        <v>1290</v>
      </c>
      <c r="H61" s="101">
        <v>1290</v>
      </c>
      <c r="I61" s="101"/>
      <c r="J61" s="121"/>
      <c r="K61" s="121">
        <v>10599</v>
      </c>
      <c r="L61" s="121"/>
      <c r="M61" s="121"/>
      <c r="N61" s="55">
        <f>SUM(I61:M61)</f>
        <v>10599</v>
      </c>
      <c r="O61" s="121">
        <v>10599</v>
      </c>
      <c r="P61" s="162">
        <f>O61/N61</f>
        <v>1</v>
      </c>
    </row>
    <row r="62" spans="1:16" ht="16.5" customHeight="1" x14ac:dyDescent="0.25">
      <c r="A62" s="100"/>
      <c r="B62" s="114" t="s">
        <v>83</v>
      </c>
      <c r="C62" s="101"/>
      <c r="D62" s="107"/>
      <c r="E62" s="101"/>
      <c r="F62" s="107"/>
      <c r="G62" s="101">
        <f>SUM(C62:F62)</f>
        <v>0</v>
      </c>
      <c r="H62" s="101"/>
      <c r="I62" s="101"/>
      <c r="J62" s="107"/>
      <c r="K62" s="107"/>
      <c r="L62" s="107"/>
      <c r="M62" s="107"/>
      <c r="N62" s="107"/>
      <c r="O62" s="107"/>
      <c r="P62" s="162"/>
    </row>
    <row r="63" spans="1:16" ht="16.5" customHeight="1" x14ac:dyDescent="0.25">
      <c r="A63" s="100" t="s">
        <v>84</v>
      </c>
      <c r="B63" s="100" t="s">
        <v>131</v>
      </c>
      <c r="C63" s="101"/>
      <c r="D63" s="107"/>
      <c r="E63" s="101"/>
      <c r="F63" s="107"/>
      <c r="G63" s="101">
        <f>SUM(C63:F63)</f>
        <v>0</v>
      </c>
      <c r="H63" s="101"/>
      <c r="I63" s="101"/>
      <c r="J63" s="107"/>
      <c r="K63" s="107"/>
      <c r="L63" s="107"/>
      <c r="M63" s="107"/>
      <c r="N63" s="107"/>
      <c r="O63" s="107"/>
      <c r="P63" s="162"/>
    </row>
    <row r="64" spans="1:16" ht="16.5" customHeight="1" x14ac:dyDescent="0.25">
      <c r="A64" s="100" t="s">
        <v>121</v>
      </c>
      <c r="B64" s="100" t="s">
        <v>122</v>
      </c>
      <c r="C64" s="101">
        <v>336478</v>
      </c>
      <c r="D64" s="107">
        <f>[3]összefogl!$S$68</f>
        <v>11181</v>
      </c>
      <c r="E64" s="101">
        <f>3500+1200</f>
        <v>4700</v>
      </c>
      <c r="F64" s="107"/>
      <c r="G64" s="101">
        <f>SUM(C64:F64)</f>
        <v>352359</v>
      </c>
      <c r="H64" s="101">
        <v>531027</v>
      </c>
      <c r="I64" s="101">
        <v>336478</v>
      </c>
      <c r="J64" s="107"/>
      <c r="K64" s="107">
        <f>3893+36647+2996</f>
        <v>43536</v>
      </c>
      <c r="L64" s="107">
        <f>21107+803</f>
        <v>21910</v>
      </c>
      <c r="M64" s="107">
        <f>('[1]Állami támogatás'!$C$12+'[1]Testületi kezdv ei mód'!$C$15)/1000</f>
        <v>39340</v>
      </c>
      <c r="N64" s="55">
        <f>SUM(I64:M64)</f>
        <v>441264</v>
      </c>
      <c r="O64" s="107">
        <v>280022.18199999997</v>
      </c>
      <c r="P64" s="172">
        <f>O64/N64</f>
        <v>0.6345910430037347</v>
      </c>
    </row>
    <row r="65" spans="1:16" ht="16.5" hidden="1" customHeight="1" thickBot="1" x14ac:dyDescent="0.3">
      <c r="A65" s="100" t="s">
        <v>85</v>
      </c>
      <c r="B65" s="122" t="s">
        <v>51</v>
      </c>
      <c r="C65" s="101"/>
      <c r="D65" s="107"/>
      <c r="E65" s="101"/>
      <c r="F65" s="107"/>
      <c r="G65" s="101">
        <f>SUM(C65:F65)</f>
        <v>0</v>
      </c>
      <c r="H65" s="101"/>
      <c r="I65" s="101"/>
      <c r="J65" s="107"/>
      <c r="K65" s="107"/>
      <c r="L65" s="107"/>
      <c r="M65" s="107"/>
      <c r="N65" s="107"/>
      <c r="O65" s="107"/>
      <c r="P65" s="162"/>
    </row>
    <row r="66" spans="1:16" ht="16.5" customHeight="1" x14ac:dyDescent="0.25">
      <c r="A66" s="123" t="s">
        <v>133</v>
      </c>
      <c r="B66" s="124" t="s">
        <v>52</v>
      </c>
      <c r="C66" s="125">
        <f t="shared" ref="C66:G66" si="44">C67+C71</f>
        <v>0</v>
      </c>
      <c r="D66" s="125">
        <f t="shared" si="44"/>
        <v>0</v>
      </c>
      <c r="E66" s="125">
        <f t="shared" si="44"/>
        <v>0</v>
      </c>
      <c r="F66" s="125">
        <f t="shared" si="44"/>
        <v>0</v>
      </c>
      <c r="G66" s="125">
        <f t="shared" si="44"/>
        <v>0</v>
      </c>
      <c r="H66" s="125">
        <f t="shared" ref="H66:O66" si="45">H67+H71</f>
        <v>0</v>
      </c>
      <c r="I66" s="125">
        <f t="shared" si="45"/>
        <v>0</v>
      </c>
      <c r="J66" s="125">
        <f t="shared" si="45"/>
        <v>0</v>
      </c>
      <c r="K66" s="125">
        <f t="shared" si="45"/>
        <v>0</v>
      </c>
      <c r="L66" s="125">
        <f t="shared" si="45"/>
        <v>0</v>
      </c>
      <c r="M66" s="125">
        <f t="shared" ref="M66" si="46">M67+M71</f>
        <v>0</v>
      </c>
      <c r="N66" s="125">
        <f t="shared" si="45"/>
        <v>0</v>
      </c>
      <c r="O66" s="125">
        <f t="shared" si="45"/>
        <v>0</v>
      </c>
      <c r="P66" s="173"/>
    </row>
    <row r="67" spans="1:16" ht="16.5" customHeight="1" x14ac:dyDescent="0.25">
      <c r="A67" s="100" t="s">
        <v>138</v>
      </c>
      <c r="B67" s="100" t="s">
        <v>139</v>
      </c>
      <c r="C67" s="107">
        <f t="shared" ref="C67:G67" si="47">SUM(C68:C70)</f>
        <v>0</v>
      </c>
      <c r="D67" s="107">
        <f t="shared" si="47"/>
        <v>0</v>
      </c>
      <c r="E67" s="107">
        <f t="shared" si="47"/>
        <v>0</v>
      </c>
      <c r="F67" s="107">
        <f t="shared" si="47"/>
        <v>0</v>
      </c>
      <c r="G67" s="107">
        <f t="shared" si="47"/>
        <v>0</v>
      </c>
      <c r="H67" s="107"/>
      <c r="I67" s="107">
        <f t="shared" ref="I67:O67" si="48">SUM(I68:I70)</f>
        <v>0</v>
      </c>
      <c r="J67" s="107">
        <f t="shared" si="48"/>
        <v>0</v>
      </c>
      <c r="K67" s="107">
        <f t="shared" si="48"/>
        <v>0</v>
      </c>
      <c r="L67" s="107">
        <f t="shared" si="48"/>
        <v>0</v>
      </c>
      <c r="M67" s="107">
        <f t="shared" ref="M67" si="49">SUM(M68:M70)</f>
        <v>0</v>
      </c>
      <c r="N67" s="107">
        <f t="shared" si="48"/>
        <v>0</v>
      </c>
      <c r="O67" s="107">
        <f t="shared" si="48"/>
        <v>0</v>
      </c>
      <c r="P67" s="168"/>
    </row>
    <row r="68" spans="1:16" ht="16.5" customHeight="1" x14ac:dyDescent="0.25">
      <c r="A68" s="100" t="s">
        <v>86</v>
      </c>
      <c r="B68" s="100" t="s">
        <v>46</v>
      </c>
      <c r="C68" s="101"/>
      <c r="D68" s="107"/>
      <c r="E68" s="101"/>
      <c r="F68" s="107"/>
      <c r="G68" s="101">
        <f>SUM(C68:F68)</f>
        <v>0</v>
      </c>
      <c r="H68" s="101"/>
      <c r="I68" s="101"/>
      <c r="J68" s="107"/>
      <c r="K68" s="107"/>
      <c r="L68" s="107"/>
      <c r="M68" s="107"/>
      <c r="N68" s="107"/>
      <c r="O68" s="107"/>
      <c r="P68" s="168"/>
    </row>
    <row r="69" spans="1:16" ht="16.5" customHeight="1" x14ac:dyDescent="0.25">
      <c r="A69" s="100" t="s">
        <v>171</v>
      </c>
      <c r="B69" s="100" t="s">
        <v>172</v>
      </c>
      <c r="C69" s="101"/>
      <c r="D69" s="107"/>
      <c r="E69" s="101"/>
      <c r="F69" s="107"/>
      <c r="G69" s="101">
        <f>SUM(C69:F69)</f>
        <v>0</v>
      </c>
      <c r="H69" s="101"/>
      <c r="I69" s="101"/>
      <c r="J69" s="107"/>
      <c r="K69" s="107"/>
      <c r="L69" s="107"/>
      <c r="M69" s="107"/>
      <c r="N69" s="107"/>
      <c r="O69" s="107"/>
      <c r="P69" s="168"/>
    </row>
    <row r="70" spans="1:16" ht="16.5" customHeight="1" x14ac:dyDescent="0.25">
      <c r="A70" s="100" t="s">
        <v>88</v>
      </c>
      <c r="B70" s="100" t="s">
        <v>54</v>
      </c>
      <c r="C70" s="101"/>
      <c r="D70" s="107"/>
      <c r="E70" s="101"/>
      <c r="F70" s="107"/>
      <c r="G70" s="101">
        <f>SUM(C70:F70)</f>
        <v>0</v>
      </c>
      <c r="H70" s="101"/>
      <c r="I70" s="101"/>
      <c r="J70" s="107"/>
      <c r="K70" s="107"/>
      <c r="L70" s="107"/>
      <c r="M70" s="107"/>
      <c r="N70" s="107"/>
      <c r="O70" s="107"/>
      <c r="P70" s="168"/>
    </row>
    <row r="71" spans="1:16" ht="16.5" customHeight="1" x14ac:dyDescent="0.25">
      <c r="A71" s="100" t="s">
        <v>90</v>
      </c>
      <c r="B71" s="122" t="s">
        <v>89</v>
      </c>
      <c r="C71" s="101"/>
      <c r="D71" s="107"/>
      <c r="E71" s="101"/>
      <c r="F71" s="107"/>
      <c r="G71" s="101">
        <f>SUM(C71:F71)</f>
        <v>0</v>
      </c>
      <c r="H71" s="101"/>
      <c r="I71" s="101"/>
      <c r="J71" s="107"/>
      <c r="K71" s="107"/>
      <c r="L71" s="107"/>
      <c r="M71" s="107"/>
      <c r="N71" s="107"/>
      <c r="O71" s="107"/>
      <c r="P71" s="162"/>
    </row>
    <row r="72" spans="1:16" ht="16.5" customHeight="1" x14ac:dyDescent="0.25">
      <c r="A72" s="115"/>
      <c r="B72" s="126" t="s">
        <v>57</v>
      </c>
      <c r="C72" s="117">
        <f t="shared" ref="C72:H72" si="50">C56-C66</f>
        <v>336478</v>
      </c>
      <c r="D72" s="117">
        <f t="shared" si="50"/>
        <v>12471</v>
      </c>
      <c r="E72" s="117">
        <f>E56-E66</f>
        <v>4700</v>
      </c>
      <c r="F72" s="117">
        <f t="shared" si="50"/>
        <v>0</v>
      </c>
      <c r="G72" s="117">
        <f t="shared" si="50"/>
        <v>353649</v>
      </c>
      <c r="H72" s="117">
        <f t="shared" si="50"/>
        <v>532317</v>
      </c>
      <c r="I72" s="117">
        <f t="shared" ref="I72:O72" si="51">I56-I66</f>
        <v>336478</v>
      </c>
      <c r="J72" s="117">
        <f t="shared" si="51"/>
        <v>0</v>
      </c>
      <c r="K72" s="117">
        <f t="shared" si="51"/>
        <v>54135</v>
      </c>
      <c r="L72" s="117">
        <f t="shared" si="51"/>
        <v>21910</v>
      </c>
      <c r="M72" s="117">
        <f t="shared" ref="M72" si="52">M56-M66</f>
        <v>39340</v>
      </c>
      <c r="N72" s="117">
        <f t="shared" si="51"/>
        <v>451863</v>
      </c>
      <c r="O72" s="117">
        <f t="shared" si="51"/>
        <v>290621.18199999997</v>
      </c>
      <c r="P72" s="169">
        <f t="shared" ref="P72:P79" si="53">O72/N72</f>
        <v>0.64316215755660444</v>
      </c>
    </row>
    <row r="73" spans="1:16" ht="16.5" customHeight="1" x14ac:dyDescent="0.25">
      <c r="A73" s="127"/>
      <c r="B73" s="128" t="s">
        <v>58</v>
      </c>
      <c r="C73" s="129">
        <f t="shared" ref="C73:H73" si="54">C3+C56</f>
        <v>623459</v>
      </c>
      <c r="D73" s="129">
        <f t="shared" si="54"/>
        <v>12471</v>
      </c>
      <c r="E73" s="129">
        <f>E3+E56</f>
        <v>56700</v>
      </c>
      <c r="F73" s="129">
        <f t="shared" si="54"/>
        <v>0</v>
      </c>
      <c r="G73" s="129">
        <f t="shared" si="54"/>
        <v>692630</v>
      </c>
      <c r="H73" s="129">
        <f t="shared" si="54"/>
        <v>770084</v>
      </c>
      <c r="I73" s="129">
        <f t="shared" ref="I73:O73" si="55">I3+I56</f>
        <v>504676</v>
      </c>
      <c r="J73" s="129">
        <f t="shared" si="55"/>
        <v>0</v>
      </c>
      <c r="K73" s="129">
        <f t="shared" si="55"/>
        <v>54135</v>
      </c>
      <c r="L73" s="129">
        <f t="shared" si="55"/>
        <v>21910</v>
      </c>
      <c r="M73" s="129">
        <f t="shared" ref="M73" si="56">M3+M56</f>
        <v>59979.241000000002</v>
      </c>
      <c r="N73" s="129">
        <f t="shared" si="55"/>
        <v>640700.24100000004</v>
      </c>
      <c r="O73" s="129">
        <f t="shared" si="55"/>
        <v>342034.28199999995</v>
      </c>
      <c r="P73" s="161">
        <f t="shared" si="53"/>
        <v>0.53384447220771358</v>
      </c>
    </row>
    <row r="74" spans="1:16" ht="16.5" customHeight="1" x14ac:dyDescent="0.25">
      <c r="A74" s="119"/>
      <c r="B74" s="72" t="s">
        <v>140</v>
      </c>
      <c r="C74" s="99">
        <f>C6+C8+C15+C31</f>
        <v>196424</v>
      </c>
      <c r="D74" s="99">
        <f>D6+D8+D15+D31</f>
        <v>0</v>
      </c>
      <c r="E74" s="99">
        <f>E6+E8+E15+E31</f>
        <v>43590</v>
      </c>
      <c r="F74" s="99">
        <f>F6+F8+F15+F31</f>
        <v>0</v>
      </c>
      <c r="G74" s="99">
        <f>G6+G8+G15+G31</f>
        <v>240014</v>
      </c>
      <c r="H74" s="99">
        <f t="shared" ref="H74:N74" si="57">H6+H8+H15+H31+H61</f>
        <v>180780</v>
      </c>
      <c r="I74" s="99">
        <f t="shared" si="57"/>
        <v>159198</v>
      </c>
      <c r="J74" s="99">
        <f t="shared" si="57"/>
        <v>0</v>
      </c>
      <c r="K74" s="99">
        <f t="shared" si="57"/>
        <v>10596</v>
      </c>
      <c r="L74" s="99">
        <f t="shared" si="57"/>
        <v>0</v>
      </c>
      <c r="M74" s="99">
        <f t="shared" ref="M74" si="58">M6+M8+M15+M31+M61</f>
        <v>14194.241</v>
      </c>
      <c r="N74" s="99">
        <f t="shared" si="57"/>
        <v>183988.24100000001</v>
      </c>
      <c r="O74" s="99">
        <f>O6+O8+O15+O31</f>
        <v>47965.025000000001</v>
      </c>
      <c r="P74" s="174">
        <f t="shared" si="53"/>
        <v>0.26069614416282177</v>
      </c>
    </row>
    <row r="75" spans="1:16" ht="16.5" customHeight="1" x14ac:dyDescent="0.25">
      <c r="A75" s="119"/>
      <c r="B75" s="72" t="s">
        <v>141</v>
      </c>
      <c r="C75" s="99">
        <f>C7+C27+C32</f>
        <v>90557</v>
      </c>
      <c r="D75" s="99">
        <f>D7+D27+D32</f>
        <v>0</v>
      </c>
      <c r="E75" s="99">
        <f>E7+E27+E32</f>
        <v>8410</v>
      </c>
      <c r="F75" s="99">
        <f>F7+F27+F32</f>
        <v>0</v>
      </c>
      <c r="G75" s="99">
        <f>G7+G27+G32</f>
        <v>98967</v>
      </c>
      <c r="H75" s="99">
        <f t="shared" ref="H75:N75" si="59">H7+H27+H32+H62</f>
        <v>58277</v>
      </c>
      <c r="I75" s="99">
        <f t="shared" si="59"/>
        <v>9000</v>
      </c>
      <c r="J75" s="99">
        <f t="shared" si="59"/>
        <v>0</v>
      </c>
      <c r="K75" s="99">
        <f t="shared" si="59"/>
        <v>3</v>
      </c>
      <c r="L75" s="99">
        <f t="shared" si="59"/>
        <v>0</v>
      </c>
      <c r="M75" s="99">
        <f t="shared" ref="M75" si="60">M7+M27+M32+M62</f>
        <v>6445</v>
      </c>
      <c r="N75" s="99">
        <f t="shared" si="59"/>
        <v>15448</v>
      </c>
      <c r="O75" s="99">
        <f>O7+O27+O32</f>
        <v>3448.0749999999998</v>
      </c>
      <c r="P75" s="174">
        <f t="shared" si="53"/>
        <v>0.22320526929052303</v>
      </c>
    </row>
    <row r="76" spans="1:16" ht="16.5" customHeight="1" x14ac:dyDescent="0.25">
      <c r="A76" s="119"/>
      <c r="B76" s="72" t="s">
        <v>144</v>
      </c>
      <c r="C76" s="99">
        <f>C56</f>
        <v>336478</v>
      </c>
      <c r="D76" s="99">
        <f>D56</f>
        <v>12471</v>
      </c>
      <c r="E76" s="99">
        <f>E56</f>
        <v>4700</v>
      </c>
      <c r="F76" s="99">
        <f>F56</f>
        <v>0</v>
      </c>
      <c r="G76" s="99">
        <f>G56</f>
        <v>353649</v>
      </c>
      <c r="H76" s="99">
        <f t="shared" ref="H76:N76" si="61">H56-H60</f>
        <v>531027</v>
      </c>
      <c r="I76" s="99">
        <f t="shared" si="61"/>
        <v>336478</v>
      </c>
      <c r="J76" s="99">
        <f t="shared" si="61"/>
        <v>0</v>
      </c>
      <c r="K76" s="99">
        <f t="shared" si="61"/>
        <v>43536</v>
      </c>
      <c r="L76" s="99">
        <f t="shared" si="61"/>
        <v>21910</v>
      </c>
      <c r="M76" s="99">
        <f t="shared" ref="M76" si="62">M56-M60</f>
        <v>39340</v>
      </c>
      <c r="N76" s="99">
        <f t="shared" si="61"/>
        <v>441264</v>
      </c>
      <c r="O76" s="99">
        <f>O56</f>
        <v>290621.18199999997</v>
      </c>
      <c r="P76" s="174">
        <f t="shared" si="53"/>
        <v>0.65861067750824898</v>
      </c>
    </row>
    <row r="77" spans="1:16" ht="16.5" customHeight="1" x14ac:dyDescent="0.25">
      <c r="A77" s="130"/>
      <c r="B77" s="84" t="s">
        <v>59</v>
      </c>
      <c r="C77" s="131">
        <f t="shared" ref="C77:H77" si="63">C33+C66</f>
        <v>623459</v>
      </c>
      <c r="D77" s="131">
        <f t="shared" si="63"/>
        <v>12471</v>
      </c>
      <c r="E77" s="131">
        <f>E33+E66</f>
        <v>56700</v>
      </c>
      <c r="F77" s="131">
        <f t="shared" si="63"/>
        <v>0</v>
      </c>
      <c r="G77" s="131">
        <f t="shared" si="63"/>
        <v>692630</v>
      </c>
      <c r="H77" s="131">
        <f t="shared" si="63"/>
        <v>760868</v>
      </c>
      <c r="I77" s="131">
        <f t="shared" ref="I77:O77" si="64">I33+I66</f>
        <v>504676</v>
      </c>
      <c r="J77" s="131">
        <f t="shared" si="64"/>
        <v>0</v>
      </c>
      <c r="K77" s="131">
        <f t="shared" si="64"/>
        <v>54135</v>
      </c>
      <c r="L77" s="131">
        <f t="shared" si="64"/>
        <v>21910</v>
      </c>
      <c r="M77" s="131">
        <f t="shared" ref="M77" si="65">M33+M66</f>
        <v>59979.241000000002</v>
      </c>
      <c r="N77" s="131">
        <f t="shared" si="64"/>
        <v>640700.24100000004</v>
      </c>
      <c r="O77" s="131">
        <f t="shared" si="64"/>
        <v>339581.49699999997</v>
      </c>
      <c r="P77" s="175">
        <f t="shared" si="53"/>
        <v>0.53001618427672792</v>
      </c>
    </row>
    <row r="78" spans="1:16" ht="16.5" customHeight="1" x14ac:dyDescent="0.25">
      <c r="A78" s="123"/>
      <c r="B78" s="77" t="s">
        <v>142</v>
      </c>
      <c r="C78" s="125">
        <f t="shared" ref="C78:H78" si="66">C34+C37+C38+C44+C45-C49</f>
        <v>525392</v>
      </c>
      <c r="D78" s="125">
        <f t="shared" si="66"/>
        <v>12471</v>
      </c>
      <c r="E78" s="125">
        <f>E34+E37+E38+E44+E45-E49</f>
        <v>44790</v>
      </c>
      <c r="F78" s="125">
        <f t="shared" si="66"/>
        <v>0</v>
      </c>
      <c r="G78" s="125">
        <f t="shared" si="66"/>
        <v>582653</v>
      </c>
      <c r="H78" s="125">
        <f t="shared" si="66"/>
        <v>637166</v>
      </c>
      <c r="I78" s="125">
        <f t="shared" ref="I78:O78" si="67">I34+I37+I38+I44+I45-I49</f>
        <v>495676</v>
      </c>
      <c r="J78" s="125">
        <f t="shared" si="67"/>
        <v>0</v>
      </c>
      <c r="K78" s="125">
        <f t="shared" si="67"/>
        <v>33096</v>
      </c>
      <c r="L78" s="125">
        <f t="shared" si="67"/>
        <v>21910</v>
      </c>
      <c r="M78" s="125">
        <f t="shared" ref="M78" si="68">M34+M37+M38+M44+M45-M49</f>
        <v>48428.89</v>
      </c>
      <c r="N78" s="125">
        <f t="shared" si="67"/>
        <v>599110.89</v>
      </c>
      <c r="O78" s="125">
        <f t="shared" si="67"/>
        <v>313647.46299999999</v>
      </c>
      <c r="P78" s="176">
        <f t="shared" si="53"/>
        <v>0.52352155207861428</v>
      </c>
    </row>
    <row r="79" spans="1:16" ht="16.5" customHeight="1" x14ac:dyDescent="0.25">
      <c r="A79" s="123"/>
      <c r="B79" s="77" t="s">
        <v>141</v>
      </c>
      <c r="C79" s="125">
        <f t="shared" ref="C79:H79" si="69">C49+C50+C51+C52</f>
        <v>98067</v>
      </c>
      <c r="D79" s="125">
        <f t="shared" si="69"/>
        <v>0</v>
      </c>
      <c r="E79" s="125">
        <f>E49+E50+E51+E52</f>
        <v>11910</v>
      </c>
      <c r="F79" s="125">
        <f t="shared" si="69"/>
        <v>0</v>
      </c>
      <c r="G79" s="125">
        <f t="shared" si="69"/>
        <v>109977</v>
      </c>
      <c r="H79" s="125">
        <f t="shared" si="69"/>
        <v>123702</v>
      </c>
      <c r="I79" s="125">
        <f t="shared" ref="I79:O79" si="70">I49+I50+I51+I52</f>
        <v>9000</v>
      </c>
      <c r="J79" s="125">
        <f t="shared" si="70"/>
        <v>0</v>
      </c>
      <c r="K79" s="125">
        <f t="shared" si="70"/>
        <v>21039</v>
      </c>
      <c r="L79" s="125">
        <f t="shared" si="70"/>
        <v>0</v>
      </c>
      <c r="M79" s="125">
        <f t="shared" ref="M79" si="71">M49+M50+M51+M52</f>
        <v>11550.351000000001</v>
      </c>
      <c r="N79" s="125">
        <f t="shared" si="70"/>
        <v>41589.351000000002</v>
      </c>
      <c r="O79" s="125">
        <f t="shared" si="70"/>
        <v>25934.034</v>
      </c>
      <c r="P79" s="176">
        <f t="shared" si="53"/>
        <v>0.62357390477192098</v>
      </c>
    </row>
    <row r="80" spans="1:16" ht="16.5" customHeight="1" x14ac:dyDescent="0.25">
      <c r="A80" s="123"/>
      <c r="B80" s="77" t="s">
        <v>144</v>
      </c>
      <c r="C80" s="125">
        <f t="shared" ref="C80:H80" si="72">C66</f>
        <v>0</v>
      </c>
      <c r="D80" s="125">
        <f t="shared" si="72"/>
        <v>0</v>
      </c>
      <c r="E80" s="125">
        <f>E66</f>
        <v>0</v>
      </c>
      <c r="F80" s="125">
        <f t="shared" si="72"/>
        <v>0</v>
      </c>
      <c r="G80" s="125">
        <f t="shared" si="72"/>
        <v>0</v>
      </c>
      <c r="H80" s="125">
        <f t="shared" si="72"/>
        <v>0</v>
      </c>
      <c r="I80" s="125">
        <f t="shared" ref="I80:O80" si="73">I66</f>
        <v>0</v>
      </c>
      <c r="J80" s="125">
        <f t="shared" si="73"/>
        <v>0</v>
      </c>
      <c r="K80" s="125">
        <f t="shared" si="73"/>
        <v>0</v>
      </c>
      <c r="L80" s="125">
        <f t="shared" si="73"/>
        <v>0</v>
      </c>
      <c r="M80" s="125">
        <f t="shared" ref="M80" si="74">M66</f>
        <v>0</v>
      </c>
      <c r="N80" s="125">
        <f t="shared" si="73"/>
        <v>0</v>
      </c>
      <c r="O80" s="125">
        <f t="shared" si="73"/>
        <v>0</v>
      </c>
      <c r="P80" s="176"/>
    </row>
    <row r="81" spans="1:16" ht="16.5" customHeight="1" x14ac:dyDescent="0.25">
      <c r="A81" s="132"/>
      <c r="B81" s="86" t="s">
        <v>55</v>
      </c>
      <c r="C81" s="133">
        <f t="shared" ref="C81:H84" si="75">C73-C77</f>
        <v>0</v>
      </c>
      <c r="D81" s="133">
        <f t="shared" si="75"/>
        <v>0</v>
      </c>
      <c r="E81" s="133">
        <f>E73-E77</f>
        <v>0</v>
      </c>
      <c r="F81" s="133">
        <f t="shared" si="75"/>
        <v>0</v>
      </c>
      <c r="G81" s="133">
        <f t="shared" si="75"/>
        <v>0</v>
      </c>
      <c r="H81" s="133">
        <f t="shared" si="75"/>
        <v>9216</v>
      </c>
      <c r="I81" s="133">
        <f t="shared" ref="I81:O83" si="76">I73-I77</f>
        <v>0</v>
      </c>
      <c r="J81" s="133">
        <f t="shared" si="76"/>
        <v>0</v>
      </c>
      <c r="K81" s="133">
        <f t="shared" ref="K81:L83" si="77">K73-K77</f>
        <v>0</v>
      </c>
      <c r="L81" s="133">
        <f t="shared" si="77"/>
        <v>0</v>
      </c>
      <c r="M81" s="133">
        <f t="shared" ref="M81" si="78">M73-M77</f>
        <v>0</v>
      </c>
      <c r="N81" s="133">
        <f t="shared" si="76"/>
        <v>0</v>
      </c>
      <c r="O81" s="133">
        <f t="shared" si="76"/>
        <v>2452.7849999999744</v>
      </c>
      <c r="P81" s="177"/>
    </row>
    <row r="82" spans="1:16" ht="16.5" customHeight="1" x14ac:dyDescent="0.25">
      <c r="A82" s="134"/>
      <c r="B82" s="89" t="s">
        <v>140</v>
      </c>
      <c r="C82" s="135">
        <f t="shared" si="75"/>
        <v>-328968</v>
      </c>
      <c r="D82" s="135">
        <f t="shared" si="75"/>
        <v>-12471</v>
      </c>
      <c r="E82" s="135">
        <f>E74-E78</f>
        <v>-1200</v>
      </c>
      <c r="F82" s="135">
        <f t="shared" si="75"/>
        <v>0</v>
      </c>
      <c r="G82" s="135">
        <f t="shared" si="75"/>
        <v>-342639</v>
      </c>
      <c r="H82" s="135">
        <f t="shared" si="75"/>
        <v>-456386</v>
      </c>
      <c r="I82" s="135">
        <f t="shared" si="76"/>
        <v>-336478</v>
      </c>
      <c r="J82" s="135">
        <f t="shared" si="76"/>
        <v>0</v>
      </c>
      <c r="K82" s="135">
        <f t="shared" si="77"/>
        <v>-22500</v>
      </c>
      <c r="L82" s="135">
        <f t="shared" si="77"/>
        <v>-21910</v>
      </c>
      <c r="M82" s="135">
        <f t="shared" ref="M82" si="79">M74-M78</f>
        <v>-34234.648999999998</v>
      </c>
      <c r="N82" s="135">
        <f t="shared" si="76"/>
        <v>-415122.64899999998</v>
      </c>
      <c r="O82" s="135">
        <f t="shared" si="76"/>
        <v>-265682.43799999997</v>
      </c>
      <c r="P82" s="178">
        <f>O82/N82</f>
        <v>0.64000949753045144</v>
      </c>
    </row>
    <row r="83" spans="1:16" ht="16.5" customHeight="1" x14ac:dyDescent="0.25">
      <c r="A83" s="134"/>
      <c r="B83" s="89" t="s">
        <v>143</v>
      </c>
      <c r="C83" s="135">
        <f t="shared" si="75"/>
        <v>-7510</v>
      </c>
      <c r="D83" s="135">
        <f t="shared" si="75"/>
        <v>0</v>
      </c>
      <c r="E83" s="135">
        <f>E75-E79</f>
        <v>-3500</v>
      </c>
      <c r="F83" s="135">
        <f t="shared" si="75"/>
        <v>0</v>
      </c>
      <c r="G83" s="135">
        <f t="shared" si="75"/>
        <v>-11010</v>
      </c>
      <c r="H83" s="135">
        <f t="shared" si="75"/>
        <v>-65425</v>
      </c>
      <c r="I83" s="135">
        <f t="shared" si="76"/>
        <v>0</v>
      </c>
      <c r="J83" s="135">
        <f t="shared" si="76"/>
        <v>0</v>
      </c>
      <c r="K83" s="135">
        <f t="shared" si="77"/>
        <v>-21036</v>
      </c>
      <c r="L83" s="135">
        <f t="shared" si="77"/>
        <v>0</v>
      </c>
      <c r="M83" s="135">
        <f t="shared" ref="M83" si="80">M75-M79</f>
        <v>-5105.3510000000006</v>
      </c>
      <c r="N83" s="135">
        <f t="shared" si="76"/>
        <v>-26141.351000000002</v>
      </c>
      <c r="O83" s="135">
        <f t="shared" si="76"/>
        <v>-22485.958999999999</v>
      </c>
      <c r="P83" s="178">
        <f>O83/N83</f>
        <v>0.86016820630272695</v>
      </c>
    </row>
    <row r="84" spans="1:16" ht="16.5" customHeight="1" x14ac:dyDescent="0.25">
      <c r="A84" s="134"/>
      <c r="B84" s="89" t="s">
        <v>144</v>
      </c>
      <c r="C84" s="135">
        <f t="shared" si="75"/>
        <v>336478</v>
      </c>
      <c r="D84" s="135">
        <f t="shared" si="75"/>
        <v>12471</v>
      </c>
      <c r="E84" s="135">
        <f>E76-E80</f>
        <v>4700</v>
      </c>
      <c r="F84" s="135">
        <f t="shared" si="75"/>
        <v>0</v>
      </c>
      <c r="G84" s="135">
        <f t="shared" si="75"/>
        <v>353649</v>
      </c>
      <c r="H84" s="135">
        <f t="shared" ref="H84:N84" si="81">H72-H61-H62</f>
        <v>531027</v>
      </c>
      <c r="I84" s="135">
        <f t="shared" si="81"/>
        <v>336478</v>
      </c>
      <c r="J84" s="135">
        <f t="shared" si="81"/>
        <v>0</v>
      </c>
      <c r="K84" s="135">
        <f t="shared" si="81"/>
        <v>43536</v>
      </c>
      <c r="L84" s="135">
        <f t="shared" si="81"/>
        <v>21910</v>
      </c>
      <c r="M84" s="135">
        <f t="shared" ref="M84" si="82">M72-M61-M62</f>
        <v>39340</v>
      </c>
      <c r="N84" s="135">
        <f t="shared" si="81"/>
        <v>441264</v>
      </c>
      <c r="O84" s="135">
        <f t="shared" ref="O84" si="83">O72</f>
        <v>290621.18199999997</v>
      </c>
      <c r="P84" s="178">
        <f>O84/N84</f>
        <v>0.65861067750824898</v>
      </c>
    </row>
    <row r="88" spans="1:16" x14ac:dyDescent="0.25">
      <c r="I88" s="14"/>
      <c r="J88" s="14"/>
      <c r="K88" s="14"/>
      <c r="L88" s="14"/>
      <c r="M88" s="14"/>
      <c r="N88" s="14"/>
      <c r="O88" s="14"/>
    </row>
    <row r="89" spans="1:16" x14ac:dyDescent="0.25">
      <c r="G89" s="19"/>
      <c r="H89" s="19"/>
      <c r="I89" s="14"/>
      <c r="J89" s="14"/>
      <c r="K89" s="14"/>
      <c r="L89" s="14"/>
      <c r="M89" s="14"/>
      <c r="N89" s="14"/>
      <c r="O89" s="14"/>
    </row>
    <row r="90" spans="1:16" x14ac:dyDescent="0.25">
      <c r="G90" s="20"/>
      <c r="H90" s="20"/>
      <c r="I90" s="14"/>
      <c r="J90" s="14"/>
      <c r="K90" s="14"/>
      <c r="L90" s="14"/>
      <c r="M90" s="14"/>
      <c r="N90" s="14"/>
      <c r="O90" s="14"/>
    </row>
    <row r="91" spans="1:16" x14ac:dyDescent="0.25">
      <c r="G91" s="19"/>
      <c r="H91" s="19"/>
      <c r="I91" s="14"/>
      <c r="J91" s="14"/>
      <c r="K91" s="14"/>
      <c r="L91" s="14"/>
      <c r="M91" s="14"/>
      <c r="N91" s="14"/>
      <c r="O91" s="14"/>
    </row>
    <row r="92" spans="1:16" x14ac:dyDescent="0.25">
      <c r="G92" s="19"/>
      <c r="H92" s="19"/>
      <c r="I92" s="14"/>
      <c r="J92" s="14"/>
      <c r="K92" s="14"/>
      <c r="L92" s="14"/>
      <c r="M92" s="14"/>
      <c r="N92" s="14"/>
      <c r="O92" s="14"/>
    </row>
    <row r="93" spans="1:16" x14ac:dyDescent="0.25">
      <c r="G93" s="19"/>
      <c r="H93" s="19"/>
      <c r="I93" s="14"/>
      <c r="J93" s="14"/>
      <c r="K93" s="14"/>
      <c r="L93" s="14"/>
      <c r="M93" s="14"/>
      <c r="N93" s="14"/>
      <c r="O93" s="14"/>
    </row>
    <row r="94" spans="1:16" x14ac:dyDescent="0.25">
      <c r="G94" s="19"/>
      <c r="H94" s="19"/>
      <c r="I94" s="14"/>
      <c r="J94" s="14"/>
      <c r="K94" s="14"/>
      <c r="L94" s="14"/>
      <c r="M94" s="14"/>
      <c r="N94" s="14"/>
      <c r="O94" s="14"/>
    </row>
    <row r="95" spans="1:16" x14ac:dyDescent="0.25">
      <c r="G95" s="19"/>
      <c r="H95" s="19"/>
      <c r="I95" s="14"/>
      <c r="J95" s="14"/>
      <c r="K95" s="14"/>
      <c r="L95" s="14"/>
      <c r="M95" s="14"/>
      <c r="N95" s="14"/>
      <c r="O95" s="14"/>
    </row>
    <row r="96" spans="1:16" x14ac:dyDescent="0.25">
      <c r="G96" s="19"/>
      <c r="H96" s="19"/>
      <c r="I96" s="14"/>
      <c r="J96" s="14"/>
      <c r="K96" s="14"/>
      <c r="L96" s="14"/>
      <c r="M96" s="14"/>
      <c r="N96" s="14"/>
      <c r="O96" s="14"/>
    </row>
    <row r="97" spans="7:15" x14ac:dyDescent="0.25">
      <c r="G97" s="19"/>
      <c r="H97" s="19"/>
      <c r="I97" s="14"/>
      <c r="J97" s="14"/>
      <c r="K97" s="14"/>
      <c r="L97" s="14"/>
      <c r="M97" s="14"/>
      <c r="N97" s="14"/>
      <c r="O97" s="14"/>
    </row>
    <row r="98" spans="7:15" x14ac:dyDescent="0.25">
      <c r="G98" s="19"/>
      <c r="H98" s="19"/>
      <c r="I98" s="14"/>
      <c r="J98" s="14"/>
      <c r="K98" s="14"/>
      <c r="L98" s="14"/>
      <c r="M98" s="14"/>
      <c r="N98" s="14"/>
      <c r="O98" s="14"/>
    </row>
    <row r="99" spans="7:15" x14ac:dyDescent="0.25">
      <c r="G99" s="19"/>
      <c r="H99" s="19"/>
      <c r="I99" s="14"/>
      <c r="J99" s="14"/>
      <c r="K99" s="14"/>
      <c r="L99" s="14"/>
      <c r="M99" s="14"/>
      <c r="N99" s="14"/>
      <c r="O99" s="14"/>
    </row>
    <row r="100" spans="7:15" x14ac:dyDescent="0.25">
      <c r="G100" s="19"/>
      <c r="H100" s="19"/>
      <c r="I100" s="14"/>
      <c r="J100" s="14"/>
      <c r="K100" s="14"/>
      <c r="L100" s="14"/>
      <c r="M100" s="14"/>
      <c r="N100" s="14"/>
      <c r="O100" s="14"/>
    </row>
    <row r="101" spans="7:15" x14ac:dyDescent="0.25">
      <c r="G101" s="19"/>
      <c r="H101" s="19"/>
      <c r="I101" s="14"/>
      <c r="J101" s="14"/>
      <c r="K101" s="14"/>
      <c r="L101" s="14"/>
      <c r="M101" s="14"/>
      <c r="N101" s="14"/>
      <c r="O101" s="14"/>
    </row>
    <row r="102" spans="7:15" x14ac:dyDescent="0.25">
      <c r="G102" s="19"/>
      <c r="H102" s="19"/>
      <c r="I102" s="14"/>
      <c r="J102" s="14"/>
      <c r="K102" s="14"/>
      <c r="L102" s="14"/>
      <c r="M102" s="14"/>
      <c r="N102" s="14"/>
      <c r="O102" s="14"/>
    </row>
    <row r="103" spans="7:15" x14ac:dyDescent="0.25">
      <c r="G103" s="19"/>
      <c r="H103" s="19"/>
      <c r="I103" s="14"/>
      <c r="J103" s="14"/>
      <c r="K103" s="14"/>
      <c r="L103" s="14"/>
      <c r="M103" s="14"/>
      <c r="N103" s="14"/>
      <c r="O103" s="14"/>
    </row>
    <row r="104" spans="7:15" x14ac:dyDescent="0.25">
      <c r="G104" s="19"/>
      <c r="H104" s="19"/>
      <c r="I104" s="14"/>
      <c r="J104" s="14"/>
      <c r="K104" s="14"/>
      <c r="L104" s="14"/>
      <c r="M104" s="14"/>
      <c r="N104" s="14"/>
      <c r="O104" s="14"/>
    </row>
    <row r="105" spans="7:15" x14ac:dyDescent="0.25">
      <c r="G105" s="19"/>
      <c r="H105" s="19"/>
      <c r="I105" s="14"/>
      <c r="J105" s="14"/>
      <c r="K105" s="14"/>
      <c r="L105" s="14"/>
      <c r="M105" s="14"/>
      <c r="N105" s="14"/>
      <c r="O105" s="14"/>
    </row>
    <row r="106" spans="7:15" x14ac:dyDescent="0.25">
      <c r="G106" s="19"/>
      <c r="H106" s="19"/>
      <c r="I106" s="14"/>
      <c r="J106" s="14"/>
      <c r="K106" s="14"/>
      <c r="L106" s="14"/>
      <c r="M106" s="14"/>
      <c r="N106" s="14"/>
      <c r="O106" s="14"/>
    </row>
    <row r="107" spans="7:15" x14ac:dyDescent="0.25">
      <c r="G107" s="19"/>
      <c r="H107" s="19"/>
      <c r="I107" s="14"/>
      <c r="J107" s="14"/>
      <c r="K107" s="14"/>
      <c r="L107" s="14"/>
      <c r="M107" s="14"/>
      <c r="N107" s="14"/>
      <c r="O107" s="14"/>
    </row>
    <row r="108" spans="7:15" x14ac:dyDescent="0.25">
      <c r="G108" s="19"/>
      <c r="H108" s="19"/>
      <c r="I108" s="14"/>
      <c r="J108" s="14"/>
      <c r="K108" s="14"/>
      <c r="L108" s="14"/>
      <c r="M108" s="14"/>
      <c r="N108" s="14"/>
      <c r="O108" s="14"/>
    </row>
    <row r="109" spans="7:15" x14ac:dyDescent="0.25">
      <c r="G109" s="19"/>
      <c r="H109" s="19"/>
      <c r="I109" s="14"/>
      <c r="J109" s="14"/>
      <c r="K109" s="14"/>
      <c r="L109" s="14"/>
      <c r="M109" s="14"/>
      <c r="N109" s="14"/>
      <c r="O109" s="14"/>
    </row>
    <row r="110" spans="7:15" x14ac:dyDescent="0.25">
      <c r="G110" s="19"/>
      <c r="H110" s="19"/>
      <c r="I110" s="14"/>
      <c r="J110" s="14"/>
      <c r="K110" s="14"/>
      <c r="L110" s="14"/>
      <c r="M110" s="14"/>
      <c r="N110" s="14"/>
      <c r="O110" s="14"/>
    </row>
    <row r="111" spans="7:15" x14ac:dyDescent="0.25">
      <c r="G111" s="19"/>
      <c r="H111" s="19"/>
      <c r="I111" s="14"/>
      <c r="J111" s="14"/>
      <c r="K111" s="14"/>
      <c r="L111" s="14"/>
      <c r="M111" s="14"/>
      <c r="N111" s="14"/>
      <c r="O111" s="14"/>
    </row>
    <row r="112" spans="7:15" x14ac:dyDescent="0.25">
      <c r="G112" s="19"/>
      <c r="H112" s="19"/>
      <c r="I112" s="14"/>
      <c r="J112" s="14"/>
      <c r="K112" s="14"/>
      <c r="L112" s="14"/>
      <c r="M112" s="14"/>
      <c r="N112" s="14"/>
      <c r="O112" s="14"/>
    </row>
    <row r="113" spans="3:15" x14ac:dyDescent="0.25">
      <c r="G113" s="19"/>
      <c r="H113" s="19"/>
      <c r="I113" s="14"/>
      <c r="J113" s="14"/>
      <c r="K113" s="14"/>
      <c r="L113" s="14"/>
      <c r="M113" s="14"/>
      <c r="N113" s="14"/>
      <c r="O113" s="14"/>
    </row>
    <row r="114" spans="3:15" x14ac:dyDescent="0.25">
      <c r="G114" s="19"/>
      <c r="H114" s="19"/>
    </row>
    <row r="120" spans="3:15" ht="12.75" x14ac:dyDescent="0.25">
      <c r="C120" s="14"/>
      <c r="D120" s="14"/>
      <c r="E120" s="14"/>
      <c r="G120" s="14"/>
      <c r="H120" s="14"/>
      <c r="I120" s="14"/>
      <c r="J120" s="14"/>
      <c r="K120" s="14"/>
      <c r="L120" s="14"/>
      <c r="M120" s="14"/>
      <c r="N120" s="14"/>
    </row>
    <row r="121" spans="3:15" x14ac:dyDescent="0.25">
      <c r="O121" s="14"/>
    </row>
  </sheetData>
  <mergeCells count="6">
    <mergeCell ref="O1:P1"/>
    <mergeCell ref="I1:N1"/>
    <mergeCell ref="B1:B2"/>
    <mergeCell ref="A1:A2"/>
    <mergeCell ref="C1:G1"/>
    <mergeCell ref="H1:H2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61" orientation="portrait" r:id="rId1"/>
  <headerFooter>
    <oddHeader>&amp;C&amp;"Times New Roman,Félkövér"&amp;10Szentendre Város Önkormányzat összevont bevételei és kiadásai mérlegszerűen 
2016. év&amp;R&amp;"Times New Roman,Normál"&amp;10 1e. sz. melléklet
EFt</oddHead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121"/>
  <sheetViews>
    <sheetView view="pageBreakPreview" zoomScale="90" zoomScaleNormal="90" zoomScaleSheetLayoutView="90" workbookViewId="0">
      <pane xSplit="2" ySplit="2" topLeftCell="J69" activePane="bottomRight" state="frozen"/>
      <selection activeCell="B6" sqref="B6"/>
      <selection pane="topRight" activeCell="B6" sqref="B6"/>
      <selection pane="bottomLeft" activeCell="B6" sqref="B6"/>
      <selection pane="bottomRight" activeCell="J84" sqref="J84:N84"/>
    </sheetView>
  </sheetViews>
  <sheetFormatPr defaultColWidth="9.28515625" defaultRowHeight="15" x14ac:dyDescent="0.25"/>
  <cols>
    <col min="1" max="1" width="7.85546875" style="14" customWidth="1"/>
    <col min="2" max="2" width="68.5703125" style="14" customWidth="1"/>
    <col min="3" max="3" width="15.7109375" style="21" hidden="1" customWidth="1"/>
    <col min="4" max="5" width="14.140625" style="21" hidden="1" customWidth="1"/>
    <col min="6" max="6" width="15.7109375" style="21" hidden="1" customWidth="1"/>
    <col min="7" max="7" width="13.85546875" style="21" hidden="1" customWidth="1"/>
    <col min="8" max="8" width="15.5703125" style="21" hidden="1" customWidth="1"/>
    <col min="9" max="9" width="14.140625" style="21" hidden="1" customWidth="1"/>
    <col min="10" max="15" width="14.7109375" style="25" customWidth="1"/>
    <col min="16" max="16" width="12.140625" style="17" hidden="1" customWidth="1"/>
    <col min="17" max="17" width="9.28515625" style="155" hidden="1" customWidth="1"/>
    <col min="18" max="19" width="9.28515625" style="21" customWidth="1"/>
    <col min="20" max="20" width="17.85546875" style="21" customWidth="1"/>
    <col min="21" max="23" width="9.28515625" style="21" customWidth="1"/>
    <col min="24" max="24" width="14.140625" style="21" customWidth="1"/>
    <col min="25" max="25" width="14.85546875" style="21" customWidth="1"/>
    <col min="26" max="26" width="14.5703125" style="21" customWidth="1"/>
    <col min="27" max="16384" width="9.28515625" style="21"/>
  </cols>
  <sheetData>
    <row r="1" spans="1:17" ht="29.25" customHeight="1" x14ac:dyDescent="0.25">
      <c r="A1" s="201"/>
      <c r="B1" s="202" t="s">
        <v>124</v>
      </c>
      <c r="C1" s="200" t="s">
        <v>162</v>
      </c>
      <c r="D1" s="200"/>
      <c r="E1" s="200"/>
      <c r="F1" s="200"/>
      <c r="G1" s="200"/>
      <c r="H1" s="200"/>
      <c r="I1" s="193" t="s">
        <v>176</v>
      </c>
      <c r="J1" s="200" t="s">
        <v>173</v>
      </c>
      <c r="K1" s="200"/>
      <c r="L1" s="200"/>
      <c r="M1" s="200"/>
      <c r="N1" s="200"/>
      <c r="O1" s="200"/>
      <c r="P1" s="195" t="s">
        <v>187</v>
      </c>
      <c r="Q1" s="196"/>
    </row>
    <row r="2" spans="1:17" ht="46.5" customHeight="1" x14ac:dyDescent="0.25">
      <c r="A2" s="201"/>
      <c r="B2" s="202"/>
      <c r="C2" s="39" t="s">
        <v>8</v>
      </c>
      <c r="D2" s="39" t="s">
        <v>166</v>
      </c>
      <c r="E2" s="39" t="s">
        <v>174</v>
      </c>
      <c r="F2" s="39" t="s">
        <v>184</v>
      </c>
      <c r="G2" s="39" t="s">
        <v>166</v>
      </c>
      <c r="H2" s="39" t="s">
        <v>167</v>
      </c>
      <c r="I2" s="193"/>
      <c r="J2" s="39" t="s">
        <v>8</v>
      </c>
      <c r="K2" s="39" t="s">
        <v>9</v>
      </c>
      <c r="L2" s="39" t="s">
        <v>166</v>
      </c>
      <c r="M2" s="181" t="s">
        <v>192</v>
      </c>
      <c r="N2" s="183" t="s">
        <v>193</v>
      </c>
      <c r="O2" s="39" t="s">
        <v>186</v>
      </c>
      <c r="P2" s="159" t="s">
        <v>190</v>
      </c>
      <c r="Q2" s="159" t="s">
        <v>191</v>
      </c>
    </row>
    <row r="3" spans="1:17" ht="16.5" customHeight="1" x14ac:dyDescent="0.25">
      <c r="A3" s="97" t="s">
        <v>0</v>
      </c>
      <c r="B3" s="98" t="s">
        <v>91</v>
      </c>
      <c r="C3" s="99">
        <f t="shared" ref="C3:H3" si="0">C6+C7+C8+C15+C27+C31+C32</f>
        <v>43520</v>
      </c>
      <c r="D3" s="99">
        <f t="shared" si="0"/>
        <v>10000</v>
      </c>
      <c r="E3" s="99">
        <f t="shared" si="0"/>
        <v>0</v>
      </c>
      <c r="F3" s="99">
        <f t="shared" si="0"/>
        <v>2827</v>
      </c>
      <c r="G3" s="99">
        <f t="shared" si="0"/>
        <v>0</v>
      </c>
      <c r="H3" s="99">
        <f t="shared" si="0"/>
        <v>56347</v>
      </c>
      <c r="I3" s="99">
        <f>I6+I7+I8+I15+I27+I31+I32</f>
        <v>57949</v>
      </c>
      <c r="J3" s="99">
        <f>J6+J7+J8+J15+J27+J31+J32</f>
        <v>22078</v>
      </c>
      <c r="K3" s="99">
        <f t="shared" ref="K3:P3" si="1">K6+K7+K8+K15+K27+K31+K32</f>
        <v>0</v>
      </c>
      <c r="L3" s="99">
        <f t="shared" si="1"/>
        <v>0</v>
      </c>
      <c r="M3" s="99">
        <f t="shared" si="1"/>
        <v>0</v>
      </c>
      <c r="N3" s="99">
        <f t="shared" si="1"/>
        <v>1250</v>
      </c>
      <c r="O3" s="99">
        <f t="shared" si="1"/>
        <v>23328</v>
      </c>
      <c r="P3" s="99">
        <f t="shared" si="1"/>
        <v>14996.549000000001</v>
      </c>
      <c r="Q3" s="161">
        <f t="shared" ref="Q3" si="2">P3/O3</f>
        <v>0.64285618141289447</v>
      </c>
    </row>
    <row r="4" spans="1:17" ht="16.5" customHeight="1" x14ac:dyDescent="0.25">
      <c r="A4" s="100" t="s">
        <v>92</v>
      </c>
      <c r="B4" s="100" t="s">
        <v>12</v>
      </c>
      <c r="C4" s="101"/>
      <c r="D4" s="101"/>
      <c r="E4" s="101"/>
      <c r="F4" s="101"/>
      <c r="G4" s="101"/>
      <c r="H4" s="101">
        <f>SUM(C4:G4)</f>
        <v>0</v>
      </c>
      <c r="I4" s="101"/>
      <c r="J4" s="101"/>
      <c r="K4" s="101"/>
      <c r="L4" s="101"/>
      <c r="M4" s="101"/>
      <c r="N4" s="101"/>
      <c r="O4" s="101">
        <f>SUM(J4:N4)</f>
        <v>0</v>
      </c>
      <c r="P4" s="101"/>
      <c r="Q4" s="162"/>
    </row>
    <row r="5" spans="1:17" ht="16.5" customHeight="1" x14ac:dyDescent="0.25">
      <c r="A5" s="100" t="s">
        <v>163</v>
      </c>
      <c r="B5" s="100" t="s">
        <v>164</v>
      </c>
      <c r="C5" s="101"/>
      <c r="D5" s="101"/>
      <c r="E5" s="101"/>
      <c r="F5" s="101"/>
      <c r="G5" s="101"/>
      <c r="H5" s="101">
        <f>SUM(C5:G5)</f>
        <v>0</v>
      </c>
      <c r="I5" s="101">
        <v>2123</v>
      </c>
      <c r="J5" s="101">
        <v>0</v>
      </c>
      <c r="K5" s="101">
        <v>0</v>
      </c>
      <c r="L5" s="101"/>
      <c r="M5" s="101"/>
      <c r="N5" s="101">
        <f>'[1]Intézményi kezd. ei mód'!$C$8/1000</f>
        <v>1250</v>
      </c>
      <c r="O5" s="101">
        <f>SUM(J5:N5)</f>
        <v>1250</v>
      </c>
      <c r="P5" s="101"/>
      <c r="Q5" s="162"/>
    </row>
    <row r="6" spans="1:17" ht="16.5" customHeight="1" x14ac:dyDescent="0.25">
      <c r="A6" s="102" t="s">
        <v>93</v>
      </c>
      <c r="B6" s="102" t="s">
        <v>13</v>
      </c>
      <c r="C6" s="103">
        <f>SUM(C4:C5)</f>
        <v>0</v>
      </c>
      <c r="D6" s="103">
        <f>SUM(D4:D5)</f>
        <v>0</v>
      </c>
      <c r="E6" s="103"/>
      <c r="F6" s="103">
        <f>SUM(F4:F5)</f>
        <v>0</v>
      </c>
      <c r="G6" s="103">
        <f>SUM(G4:G5)</f>
        <v>0</v>
      </c>
      <c r="H6" s="103">
        <f>SUM(H4:H5)</f>
        <v>0</v>
      </c>
      <c r="I6" s="103">
        <f>SUM(I4:I5)</f>
        <v>2123</v>
      </c>
      <c r="J6" s="103">
        <f>J4</f>
        <v>0</v>
      </c>
      <c r="K6" s="103">
        <v>0</v>
      </c>
      <c r="L6" s="103">
        <f>L4</f>
        <v>0</v>
      </c>
      <c r="M6" s="103">
        <f>M4</f>
        <v>0</v>
      </c>
      <c r="N6" s="103">
        <f>N4+N5</f>
        <v>1250</v>
      </c>
      <c r="O6" s="103">
        <f>O4+O5</f>
        <v>1250</v>
      </c>
      <c r="P6" s="103">
        <f t="shared" ref="P6" si="3">SUM(P4:P5)</f>
        <v>0</v>
      </c>
      <c r="Q6" s="163"/>
    </row>
    <row r="7" spans="1:17" ht="16.5" customHeight="1" x14ac:dyDescent="0.25">
      <c r="A7" s="102" t="s">
        <v>94</v>
      </c>
      <c r="B7" s="102" t="s">
        <v>14</v>
      </c>
      <c r="C7" s="103"/>
      <c r="D7" s="103"/>
      <c r="E7" s="103"/>
      <c r="F7" s="103"/>
      <c r="G7" s="103"/>
      <c r="H7" s="103">
        <f>SUM(C7:G7)</f>
        <v>0</v>
      </c>
      <c r="I7" s="103"/>
      <c r="J7" s="103">
        <v>0</v>
      </c>
      <c r="K7" s="103">
        <v>0</v>
      </c>
      <c r="L7" s="103"/>
      <c r="M7" s="103"/>
      <c r="N7" s="103"/>
      <c r="O7" s="103">
        <f>SUM(J7:N7)</f>
        <v>0</v>
      </c>
      <c r="P7" s="103"/>
      <c r="Q7" s="164"/>
    </row>
    <row r="8" spans="1:17" s="22" customFormat="1" ht="16.5" customHeight="1" x14ac:dyDescent="0.25">
      <c r="A8" s="104" t="s">
        <v>95</v>
      </c>
      <c r="B8" s="108" t="s">
        <v>4</v>
      </c>
      <c r="C8" s="103">
        <f t="shared" ref="C8:H8" si="4">C9+C11+C12+C13+C14</f>
        <v>0</v>
      </c>
      <c r="D8" s="103">
        <f t="shared" si="4"/>
        <v>0</v>
      </c>
      <c r="E8" s="103"/>
      <c r="F8" s="103">
        <f t="shared" si="4"/>
        <v>0</v>
      </c>
      <c r="G8" s="103">
        <f t="shared" si="4"/>
        <v>0</v>
      </c>
      <c r="H8" s="103">
        <f t="shared" si="4"/>
        <v>0</v>
      </c>
      <c r="I8" s="103">
        <f>I9+I11+I12+I13+I14</f>
        <v>0</v>
      </c>
      <c r="J8" s="103">
        <v>0</v>
      </c>
      <c r="K8" s="103">
        <v>0</v>
      </c>
      <c r="L8" s="103">
        <f>L9+L11+L12+L13+L14</f>
        <v>0</v>
      </c>
      <c r="M8" s="103">
        <f t="shared" ref="M8:N8" si="5">M9+M11+M12+M13+M14</f>
        <v>0</v>
      </c>
      <c r="N8" s="103">
        <f t="shared" si="5"/>
        <v>0</v>
      </c>
      <c r="O8" s="103">
        <f>O9+O11+O12+O13+O14</f>
        <v>0</v>
      </c>
      <c r="P8" s="103">
        <f>P9+P11+P12+P13+P14</f>
        <v>0</v>
      </c>
      <c r="Q8" s="163"/>
    </row>
    <row r="9" spans="1:17" ht="16.5" customHeight="1" x14ac:dyDescent="0.25">
      <c r="A9" s="100" t="s">
        <v>96</v>
      </c>
      <c r="B9" s="105" t="s">
        <v>15</v>
      </c>
      <c r="C9" s="101"/>
      <c r="D9" s="101"/>
      <c r="E9" s="101"/>
      <c r="F9" s="101"/>
      <c r="G9" s="101"/>
      <c r="H9" s="101">
        <f>SUM(C9:G9)</f>
        <v>0</v>
      </c>
      <c r="I9" s="101"/>
      <c r="J9" s="101">
        <v>0</v>
      </c>
      <c r="K9" s="101"/>
      <c r="L9" s="101"/>
      <c r="M9" s="101"/>
      <c r="N9" s="101"/>
      <c r="O9" s="101">
        <f>SUM(J9:N9)</f>
        <v>0</v>
      </c>
      <c r="P9" s="101"/>
      <c r="Q9" s="162"/>
    </row>
    <row r="10" spans="1:17" ht="16.5" customHeight="1" x14ac:dyDescent="0.25">
      <c r="A10" s="100" t="s">
        <v>125</v>
      </c>
      <c r="B10" s="105" t="s">
        <v>126</v>
      </c>
      <c r="C10" s="101">
        <f t="shared" ref="C10:H10" si="6">SUM(C11:C13)</f>
        <v>0</v>
      </c>
      <c r="D10" s="101">
        <f t="shared" si="6"/>
        <v>0</v>
      </c>
      <c r="E10" s="101"/>
      <c r="F10" s="101">
        <f t="shared" si="6"/>
        <v>0</v>
      </c>
      <c r="G10" s="101">
        <f t="shared" si="6"/>
        <v>0</v>
      </c>
      <c r="H10" s="101">
        <f t="shared" si="6"/>
        <v>0</v>
      </c>
      <c r="I10" s="101"/>
      <c r="J10" s="101">
        <f t="shared" ref="J10:P10" si="7">SUM(J11:J13)</f>
        <v>0</v>
      </c>
      <c r="K10" s="101">
        <f t="shared" si="7"/>
        <v>0</v>
      </c>
      <c r="L10" s="101">
        <f t="shared" si="7"/>
        <v>0</v>
      </c>
      <c r="M10" s="101">
        <f t="shared" si="7"/>
        <v>0</v>
      </c>
      <c r="N10" s="101"/>
      <c r="O10" s="101">
        <f t="shared" si="7"/>
        <v>0</v>
      </c>
      <c r="P10" s="101">
        <f t="shared" si="7"/>
        <v>0</v>
      </c>
      <c r="Q10" s="162"/>
    </row>
    <row r="11" spans="1:17" ht="16.5" customHeight="1" x14ac:dyDescent="0.25">
      <c r="A11" s="100" t="s">
        <v>97</v>
      </c>
      <c r="B11" s="105" t="s">
        <v>16</v>
      </c>
      <c r="C11" s="101"/>
      <c r="D11" s="101"/>
      <c r="E11" s="101"/>
      <c r="F11" s="101"/>
      <c r="G11" s="101"/>
      <c r="H11" s="101">
        <f>SUM(C11:G11)</f>
        <v>0</v>
      </c>
      <c r="I11" s="101"/>
      <c r="J11" s="101">
        <v>0</v>
      </c>
      <c r="K11" s="101"/>
      <c r="L11" s="101"/>
      <c r="M11" s="101"/>
      <c r="N11" s="101"/>
      <c r="O11" s="101">
        <f>SUM(J11:N11)</f>
        <v>0</v>
      </c>
      <c r="P11" s="101"/>
      <c r="Q11" s="162"/>
    </row>
    <row r="12" spans="1:17" ht="16.5" customHeight="1" x14ac:dyDescent="0.25">
      <c r="A12" s="100" t="s">
        <v>98</v>
      </c>
      <c r="B12" s="105" t="s">
        <v>17</v>
      </c>
      <c r="C12" s="101"/>
      <c r="D12" s="101"/>
      <c r="E12" s="101"/>
      <c r="F12" s="101"/>
      <c r="G12" s="101"/>
      <c r="H12" s="101">
        <f>SUM(C12:G12)</f>
        <v>0</v>
      </c>
      <c r="I12" s="101"/>
      <c r="J12" s="101">
        <v>0</v>
      </c>
      <c r="K12" s="101"/>
      <c r="L12" s="101"/>
      <c r="M12" s="101"/>
      <c r="N12" s="101"/>
      <c r="O12" s="101">
        <f>SUM(J12:N12)</f>
        <v>0</v>
      </c>
      <c r="P12" s="101"/>
      <c r="Q12" s="162"/>
    </row>
    <row r="13" spans="1:17" ht="16.5" customHeight="1" x14ac:dyDescent="0.25">
      <c r="A13" s="100" t="s">
        <v>99</v>
      </c>
      <c r="B13" s="100" t="s">
        <v>18</v>
      </c>
      <c r="C13" s="101"/>
      <c r="D13" s="101"/>
      <c r="E13" s="101"/>
      <c r="F13" s="101"/>
      <c r="G13" s="101"/>
      <c r="H13" s="101">
        <f>SUM(C13:G13)</f>
        <v>0</v>
      </c>
      <c r="I13" s="101"/>
      <c r="J13" s="101">
        <v>0</v>
      </c>
      <c r="K13" s="101"/>
      <c r="L13" s="101"/>
      <c r="M13" s="101"/>
      <c r="N13" s="101"/>
      <c r="O13" s="101">
        <f>SUM(J13:N13)</f>
        <v>0</v>
      </c>
      <c r="P13" s="101"/>
      <c r="Q13" s="162"/>
    </row>
    <row r="14" spans="1:17" ht="16.5" customHeight="1" x14ac:dyDescent="0.25">
      <c r="A14" s="100" t="s">
        <v>100</v>
      </c>
      <c r="B14" s="100" t="s">
        <v>19</v>
      </c>
      <c r="C14" s="101"/>
      <c r="D14" s="101"/>
      <c r="E14" s="101"/>
      <c r="F14" s="101"/>
      <c r="G14" s="101"/>
      <c r="H14" s="101">
        <f>SUM(C14:G14)</f>
        <v>0</v>
      </c>
      <c r="I14" s="101"/>
      <c r="J14" s="101">
        <v>0</v>
      </c>
      <c r="K14" s="101"/>
      <c r="L14" s="101"/>
      <c r="M14" s="101"/>
      <c r="N14" s="101"/>
      <c r="O14" s="101">
        <f>SUM(J14:N14)</f>
        <v>0</v>
      </c>
      <c r="P14" s="101"/>
      <c r="Q14" s="162"/>
    </row>
    <row r="15" spans="1:17" s="22" customFormat="1" ht="16.5" customHeight="1" x14ac:dyDescent="0.25">
      <c r="A15" s="104" t="s">
        <v>101</v>
      </c>
      <c r="B15" s="108" t="s">
        <v>20</v>
      </c>
      <c r="C15" s="103">
        <f t="shared" ref="C15:H15" si="8">SUM(C16:C26)</f>
        <v>43520</v>
      </c>
      <c r="D15" s="103">
        <f t="shared" si="8"/>
        <v>10000</v>
      </c>
      <c r="E15" s="103"/>
      <c r="F15" s="103">
        <f t="shared" si="8"/>
        <v>2827</v>
      </c>
      <c r="G15" s="103">
        <f t="shared" si="8"/>
        <v>0</v>
      </c>
      <c r="H15" s="103">
        <f t="shared" si="8"/>
        <v>56347</v>
      </c>
      <c r="I15" s="103">
        <f>SUM(I16:I26)</f>
        <v>55826</v>
      </c>
      <c r="J15" s="103">
        <f>SUM(J16:J26)</f>
        <v>22078</v>
      </c>
      <c r="K15" s="103">
        <f t="shared" ref="K15:P15" si="9">SUM(K16:K26)</f>
        <v>0</v>
      </c>
      <c r="L15" s="103">
        <f t="shared" si="9"/>
        <v>0</v>
      </c>
      <c r="M15" s="103">
        <f t="shared" si="9"/>
        <v>0</v>
      </c>
      <c r="N15" s="103">
        <f t="shared" si="9"/>
        <v>0</v>
      </c>
      <c r="O15" s="103">
        <f t="shared" si="9"/>
        <v>22078</v>
      </c>
      <c r="P15" s="103">
        <f t="shared" si="9"/>
        <v>14996.549000000001</v>
      </c>
      <c r="Q15" s="165">
        <f>P15/O15</f>
        <v>0.67925305734215058</v>
      </c>
    </row>
    <row r="16" spans="1:17" ht="16.5" hidden="1" customHeight="1" x14ac:dyDescent="0.25">
      <c r="A16" s="105" t="s">
        <v>102</v>
      </c>
      <c r="B16" s="106" t="s">
        <v>21</v>
      </c>
      <c r="C16" s="107"/>
      <c r="D16" s="107"/>
      <c r="E16" s="107"/>
      <c r="F16" s="107"/>
      <c r="G16" s="107"/>
      <c r="H16" s="107">
        <f t="shared" ref="H16:H26" si="10">SUM(C16:G16)</f>
        <v>0</v>
      </c>
      <c r="I16" s="107"/>
      <c r="J16" s="107">
        <v>0</v>
      </c>
      <c r="K16" s="107">
        <v>0</v>
      </c>
      <c r="L16" s="107">
        <v>0</v>
      </c>
      <c r="M16" s="107">
        <v>0</v>
      </c>
      <c r="N16" s="107"/>
      <c r="O16" s="101">
        <f t="shared" ref="O16:O21" si="11">SUM(J16:N16)</f>
        <v>0</v>
      </c>
      <c r="P16" s="107"/>
      <c r="Q16" s="162"/>
    </row>
    <row r="17" spans="1:17" ht="16.5" hidden="1" customHeight="1" x14ac:dyDescent="0.25">
      <c r="A17" s="105" t="s">
        <v>103</v>
      </c>
      <c r="B17" s="106" t="s">
        <v>22</v>
      </c>
      <c r="C17" s="107">
        <v>152</v>
      </c>
      <c r="D17" s="101"/>
      <c r="E17" s="107"/>
      <c r="F17" s="101"/>
      <c r="G17" s="107"/>
      <c r="H17" s="101">
        <f t="shared" si="10"/>
        <v>152</v>
      </c>
      <c r="I17" s="101">
        <v>187</v>
      </c>
      <c r="J17" s="107">
        <v>152</v>
      </c>
      <c r="K17" s="101">
        <v>0</v>
      </c>
      <c r="L17" s="101">
        <v>0</v>
      </c>
      <c r="M17" s="101">
        <v>0</v>
      </c>
      <c r="N17" s="101"/>
      <c r="O17" s="101">
        <f t="shared" si="11"/>
        <v>152</v>
      </c>
      <c r="P17" s="101">
        <v>190.5</v>
      </c>
      <c r="Q17" s="162">
        <f t="shared" ref="Q17:Q26" si="12">P17/O17</f>
        <v>1.2532894736842106</v>
      </c>
    </row>
    <row r="18" spans="1:17" ht="16.5" hidden="1" customHeight="1" x14ac:dyDescent="0.25">
      <c r="A18" s="105" t="s">
        <v>104</v>
      </c>
      <c r="B18" s="106" t="s">
        <v>23</v>
      </c>
      <c r="C18" s="107">
        <v>2000</v>
      </c>
      <c r="D18" s="101"/>
      <c r="E18" s="107"/>
      <c r="F18" s="101"/>
      <c r="G18" s="107"/>
      <c r="H18" s="101">
        <f t="shared" si="10"/>
        <v>2000</v>
      </c>
      <c r="I18" s="101">
        <v>879</v>
      </c>
      <c r="J18" s="107">
        <v>1150</v>
      </c>
      <c r="K18" s="101">
        <v>0</v>
      </c>
      <c r="L18" s="101">
        <v>0</v>
      </c>
      <c r="M18" s="101">
        <v>0</v>
      </c>
      <c r="N18" s="101"/>
      <c r="O18" s="101">
        <f t="shared" si="11"/>
        <v>1150</v>
      </c>
      <c r="P18" s="101">
        <v>447.18900000000002</v>
      </c>
      <c r="Q18" s="162">
        <f t="shared" si="12"/>
        <v>0.38886000000000004</v>
      </c>
    </row>
    <row r="19" spans="1:17" ht="16.5" hidden="1" customHeight="1" x14ac:dyDescent="0.25">
      <c r="A19" s="105" t="s">
        <v>105</v>
      </c>
      <c r="B19" s="106" t="s">
        <v>24</v>
      </c>
      <c r="C19" s="107"/>
      <c r="D19" s="101"/>
      <c r="E19" s="107"/>
      <c r="F19" s="101"/>
      <c r="G19" s="107"/>
      <c r="H19" s="101">
        <f t="shared" si="10"/>
        <v>0</v>
      </c>
      <c r="I19" s="101"/>
      <c r="J19" s="107">
        <v>0</v>
      </c>
      <c r="K19" s="101">
        <v>0</v>
      </c>
      <c r="L19" s="101">
        <v>0</v>
      </c>
      <c r="M19" s="101">
        <v>0</v>
      </c>
      <c r="N19" s="101"/>
      <c r="O19" s="101">
        <f t="shared" si="11"/>
        <v>0</v>
      </c>
      <c r="P19" s="101"/>
      <c r="Q19" s="162"/>
    </row>
    <row r="20" spans="1:17" ht="16.5" hidden="1" customHeight="1" x14ac:dyDescent="0.25">
      <c r="A20" s="105" t="s">
        <v>106</v>
      </c>
      <c r="B20" s="106" t="s">
        <v>25</v>
      </c>
      <c r="C20" s="107">
        <v>31932</v>
      </c>
      <c r="D20" s="101">
        <f>[3]összefogl!$H$43</f>
        <v>10000</v>
      </c>
      <c r="E20" s="107"/>
      <c r="F20" s="101">
        <v>2226</v>
      </c>
      <c r="G20" s="107"/>
      <c r="H20" s="101">
        <f t="shared" si="10"/>
        <v>44158</v>
      </c>
      <c r="I20" s="101">
        <v>39446</v>
      </c>
      <c r="J20" s="107">
        <v>16143</v>
      </c>
      <c r="K20" s="101">
        <v>0</v>
      </c>
      <c r="L20" s="101">
        <v>0</v>
      </c>
      <c r="M20" s="101">
        <v>0</v>
      </c>
      <c r="N20" s="101"/>
      <c r="O20" s="101">
        <f t="shared" si="11"/>
        <v>16143</v>
      </c>
      <c r="P20" s="101">
        <v>8660.4879999999994</v>
      </c>
      <c r="Q20" s="162">
        <f t="shared" si="12"/>
        <v>0.53648565941894311</v>
      </c>
    </row>
    <row r="21" spans="1:17" ht="16.5" hidden="1" customHeight="1" x14ac:dyDescent="0.25">
      <c r="A21" s="105" t="s">
        <v>107</v>
      </c>
      <c r="B21" s="106" t="s">
        <v>26</v>
      </c>
      <c r="C21" s="107">
        <v>9161</v>
      </c>
      <c r="D21" s="101"/>
      <c r="E21" s="107"/>
      <c r="F21" s="101">
        <v>601</v>
      </c>
      <c r="G21" s="107"/>
      <c r="H21" s="101">
        <f t="shared" si="10"/>
        <v>9762</v>
      </c>
      <c r="I21" s="101">
        <v>9494</v>
      </c>
      <c r="J21" s="107">
        <v>4358</v>
      </c>
      <c r="K21" s="101">
        <v>0</v>
      </c>
      <c r="L21" s="101">
        <v>0</v>
      </c>
      <c r="M21" s="101">
        <v>0</v>
      </c>
      <c r="N21" s="101"/>
      <c r="O21" s="101">
        <f t="shared" si="11"/>
        <v>4358</v>
      </c>
      <c r="P21" s="101">
        <v>2437.0219999999999</v>
      </c>
      <c r="Q21" s="162">
        <f t="shared" si="12"/>
        <v>0.55920651675080313</v>
      </c>
    </row>
    <row r="22" spans="1:17" ht="16.5" hidden="1" customHeight="1" x14ac:dyDescent="0.25">
      <c r="A22" s="105" t="s">
        <v>108</v>
      </c>
      <c r="B22" s="106" t="s">
        <v>27</v>
      </c>
      <c r="C22" s="107"/>
      <c r="D22" s="101"/>
      <c r="E22" s="107"/>
      <c r="F22" s="101"/>
      <c r="G22" s="107"/>
      <c r="H22" s="101">
        <f t="shared" si="10"/>
        <v>0</v>
      </c>
      <c r="I22" s="101">
        <v>5698</v>
      </c>
      <c r="J22" s="107">
        <v>0</v>
      </c>
      <c r="K22" s="101">
        <v>0</v>
      </c>
      <c r="L22" s="101">
        <v>0</v>
      </c>
      <c r="M22" s="101">
        <v>0</v>
      </c>
      <c r="N22" s="101"/>
      <c r="O22" s="101">
        <f t="shared" ref="O22" si="13">SUM(J22:M22)</f>
        <v>0</v>
      </c>
      <c r="P22" s="101">
        <v>3117</v>
      </c>
      <c r="Q22" s="162"/>
    </row>
    <row r="23" spans="1:17" ht="16.5" hidden="1" customHeight="1" x14ac:dyDescent="0.25">
      <c r="A23" s="105" t="s">
        <v>109</v>
      </c>
      <c r="B23" s="106" t="s">
        <v>28</v>
      </c>
      <c r="C23" s="107">
        <v>70</v>
      </c>
      <c r="D23" s="101"/>
      <c r="E23" s="107"/>
      <c r="F23" s="101"/>
      <c r="G23" s="107"/>
      <c r="H23" s="101">
        <f t="shared" si="10"/>
        <v>70</v>
      </c>
      <c r="I23" s="101">
        <v>51</v>
      </c>
      <c r="J23" s="107">
        <v>70</v>
      </c>
      <c r="K23" s="101">
        <v>0</v>
      </c>
      <c r="L23" s="101">
        <v>0</v>
      </c>
      <c r="M23" s="101">
        <v>0</v>
      </c>
      <c r="N23" s="101"/>
      <c r="O23" s="101">
        <f>SUM(J23:N23)</f>
        <v>70</v>
      </c>
      <c r="P23" s="101">
        <v>21.681999999999999</v>
      </c>
      <c r="Q23" s="162">
        <f t="shared" si="12"/>
        <v>0.3097428571428571</v>
      </c>
    </row>
    <row r="24" spans="1:17" ht="16.5" hidden="1" customHeight="1" x14ac:dyDescent="0.25">
      <c r="A24" s="105" t="s">
        <v>110</v>
      </c>
      <c r="B24" s="106" t="s">
        <v>29</v>
      </c>
      <c r="C24" s="107"/>
      <c r="D24" s="101"/>
      <c r="E24" s="107"/>
      <c r="F24" s="101"/>
      <c r="G24" s="107"/>
      <c r="H24" s="101">
        <f t="shared" si="10"/>
        <v>0</v>
      </c>
      <c r="I24" s="101"/>
      <c r="J24" s="107">
        <v>0</v>
      </c>
      <c r="K24" s="101">
        <v>0</v>
      </c>
      <c r="L24" s="101">
        <v>0</v>
      </c>
      <c r="M24" s="101">
        <v>0</v>
      </c>
      <c r="N24" s="101"/>
      <c r="O24" s="101">
        <f>SUM(J24:N24)</f>
        <v>0</v>
      </c>
      <c r="P24" s="101"/>
      <c r="Q24" s="162"/>
    </row>
    <row r="25" spans="1:17" ht="16.5" hidden="1" customHeight="1" x14ac:dyDescent="0.25">
      <c r="A25" s="105" t="s">
        <v>111</v>
      </c>
      <c r="B25" s="54" t="s">
        <v>177</v>
      </c>
      <c r="C25" s="107"/>
      <c r="D25" s="101"/>
      <c r="E25" s="107"/>
      <c r="F25" s="101"/>
      <c r="G25" s="107"/>
      <c r="H25" s="101"/>
      <c r="I25" s="101"/>
      <c r="J25" s="107">
        <v>0</v>
      </c>
      <c r="K25" s="101">
        <v>0</v>
      </c>
      <c r="L25" s="101">
        <v>0</v>
      </c>
      <c r="M25" s="101">
        <v>0</v>
      </c>
      <c r="N25" s="101"/>
      <c r="O25" s="101">
        <f>SUM(J25:N25)</f>
        <v>0</v>
      </c>
      <c r="P25" s="101"/>
      <c r="Q25" s="162"/>
    </row>
    <row r="26" spans="1:17" ht="16.5" hidden="1" customHeight="1" x14ac:dyDescent="0.25">
      <c r="A26" s="105" t="s">
        <v>165</v>
      </c>
      <c r="B26" s="106" t="s">
        <v>30</v>
      </c>
      <c r="C26" s="107">
        <v>205</v>
      </c>
      <c r="D26" s="101"/>
      <c r="E26" s="107"/>
      <c r="F26" s="101"/>
      <c r="G26" s="107"/>
      <c r="H26" s="101">
        <f t="shared" si="10"/>
        <v>205</v>
      </c>
      <c r="I26" s="101">
        <v>71</v>
      </c>
      <c r="J26" s="107">
        <v>205</v>
      </c>
      <c r="K26" s="101">
        <v>0</v>
      </c>
      <c r="L26" s="101">
        <v>0</v>
      </c>
      <c r="M26" s="101">
        <v>0</v>
      </c>
      <c r="N26" s="101"/>
      <c r="O26" s="101">
        <f>SUM(J26:N26)</f>
        <v>205</v>
      </c>
      <c r="P26" s="101">
        <v>122.66800000000001</v>
      </c>
      <c r="Q26" s="162">
        <f t="shared" si="12"/>
        <v>0.59838048780487807</v>
      </c>
    </row>
    <row r="27" spans="1:17" s="22" customFormat="1" ht="16.5" customHeight="1" x14ac:dyDescent="0.25">
      <c r="A27" s="104" t="s">
        <v>112</v>
      </c>
      <c r="B27" s="108" t="s">
        <v>31</v>
      </c>
      <c r="C27" s="103">
        <f t="shared" ref="C27:H27" si="14">C28+C29+C30</f>
        <v>0</v>
      </c>
      <c r="D27" s="103">
        <f t="shared" si="14"/>
        <v>0</v>
      </c>
      <c r="E27" s="103"/>
      <c r="F27" s="103">
        <f t="shared" si="14"/>
        <v>0</v>
      </c>
      <c r="G27" s="103">
        <f t="shared" si="14"/>
        <v>0</v>
      </c>
      <c r="H27" s="103">
        <f t="shared" si="14"/>
        <v>0</v>
      </c>
      <c r="I27" s="103">
        <f t="shared" ref="I27:P27" si="15">I28+I29+I30</f>
        <v>0</v>
      </c>
      <c r="J27" s="103">
        <f t="shared" si="15"/>
        <v>0</v>
      </c>
      <c r="K27" s="103">
        <f t="shared" si="15"/>
        <v>0</v>
      </c>
      <c r="L27" s="103">
        <f t="shared" si="15"/>
        <v>0</v>
      </c>
      <c r="M27" s="103">
        <f t="shared" si="15"/>
        <v>0</v>
      </c>
      <c r="N27" s="103">
        <f t="shared" si="15"/>
        <v>0</v>
      </c>
      <c r="O27" s="103">
        <f t="shared" si="15"/>
        <v>0</v>
      </c>
      <c r="P27" s="103">
        <f t="shared" si="15"/>
        <v>0</v>
      </c>
      <c r="Q27" s="165"/>
    </row>
    <row r="28" spans="1:17" ht="16.5" hidden="1" customHeight="1" x14ac:dyDescent="0.25">
      <c r="A28" s="105" t="s">
        <v>113</v>
      </c>
      <c r="B28" s="106" t="s">
        <v>32</v>
      </c>
      <c r="C28" s="101"/>
      <c r="D28" s="101"/>
      <c r="E28" s="101"/>
      <c r="F28" s="101"/>
      <c r="G28" s="101"/>
      <c r="H28" s="101">
        <f>SUM(C28:G28)</f>
        <v>0</v>
      </c>
      <c r="I28" s="101"/>
      <c r="J28" s="101">
        <v>0</v>
      </c>
      <c r="K28" s="101">
        <v>0</v>
      </c>
      <c r="L28" s="101"/>
      <c r="M28" s="101"/>
      <c r="N28" s="101"/>
      <c r="O28" s="101">
        <v>0</v>
      </c>
      <c r="P28" s="101"/>
      <c r="Q28" s="162"/>
    </row>
    <row r="29" spans="1:17" ht="16.5" hidden="1" customHeight="1" x14ac:dyDescent="0.25">
      <c r="A29" s="105" t="s">
        <v>114</v>
      </c>
      <c r="B29" s="106" t="s">
        <v>33</v>
      </c>
      <c r="C29" s="101"/>
      <c r="D29" s="101"/>
      <c r="E29" s="101"/>
      <c r="F29" s="101"/>
      <c r="G29" s="101"/>
      <c r="H29" s="101">
        <f>SUM(C29:G29)</f>
        <v>0</v>
      </c>
      <c r="I29" s="101"/>
      <c r="J29" s="101">
        <v>0</v>
      </c>
      <c r="K29" s="101"/>
      <c r="L29" s="101"/>
      <c r="M29" s="101"/>
      <c r="N29" s="101"/>
      <c r="O29" s="101">
        <v>0</v>
      </c>
      <c r="P29" s="101"/>
      <c r="Q29" s="162"/>
    </row>
    <row r="30" spans="1:17" ht="16.5" hidden="1" customHeight="1" x14ac:dyDescent="0.25">
      <c r="A30" s="105" t="s">
        <v>115</v>
      </c>
      <c r="B30" s="106" t="s">
        <v>34</v>
      </c>
      <c r="C30" s="101"/>
      <c r="D30" s="101"/>
      <c r="E30" s="101"/>
      <c r="F30" s="101"/>
      <c r="G30" s="101"/>
      <c r="H30" s="101">
        <f>SUM(C30:G30)</f>
        <v>0</v>
      </c>
      <c r="I30" s="101"/>
      <c r="J30" s="101">
        <v>0</v>
      </c>
      <c r="K30" s="101"/>
      <c r="L30" s="101"/>
      <c r="M30" s="101"/>
      <c r="N30" s="101"/>
      <c r="O30" s="101">
        <v>0</v>
      </c>
      <c r="P30" s="101"/>
      <c r="Q30" s="162"/>
    </row>
    <row r="31" spans="1:17" s="22" customFormat="1" ht="16.5" customHeight="1" x14ac:dyDescent="0.25">
      <c r="A31" s="104" t="s">
        <v>116</v>
      </c>
      <c r="B31" s="108" t="s">
        <v>5</v>
      </c>
      <c r="C31" s="103"/>
      <c r="D31" s="103"/>
      <c r="E31" s="103"/>
      <c r="F31" s="103"/>
      <c r="G31" s="103"/>
      <c r="H31" s="103">
        <f>SUM(C31:G31)</f>
        <v>0</v>
      </c>
      <c r="I31" s="103"/>
      <c r="J31" s="103">
        <v>0</v>
      </c>
      <c r="K31" s="103"/>
      <c r="L31" s="103"/>
      <c r="M31" s="103"/>
      <c r="N31" s="103"/>
      <c r="O31" s="103">
        <f>SUM(J31:N31)</f>
        <v>0</v>
      </c>
      <c r="P31" s="103"/>
      <c r="Q31" s="164"/>
    </row>
    <row r="32" spans="1:17" s="22" customFormat="1" ht="16.5" customHeight="1" x14ac:dyDescent="0.25">
      <c r="A32" s="104" t="s">
        <v>117</v>
      </c>
      <c r="B32" s="109" t="s">
        <v>7</v>
      </c>
      <c r="C32" s="103"/>
      <c r="D32" s="103"/>
      <c r="E32" s="103"/>
      <c r="F32" s="103"/>
      <c r="G32" s="103"/>
      <c r="H32" s="103">
        <f>SUM(C32:G32)</f>
        <v>0</v>
      </c>
      <c r="I32" s="103"/>
      <c r="J32" s="103">
        <v>0</v>
      </c>
      <c r="K32" s="103"/>
      <c r="L32" s="103"/>
      <c r="M32" s="103"/>
      <c r="N32" s="103"/>
      <c r="O32" s="103">
        <f>SUM(J32:N32)</f>
        <v>0</v>
      </c>
      <c r="P32" s="103"/>
      <c r="Q32" s="164"/>
    </row>
    <row r="33" spans="1:20" ht="15.75" customHeight="1" x14ac:dyDescent="0.25">
      <c r="A33" s="110" t="s">
        <v>6</v>
      </c>
      <c r="B33" s="111" t="s">
        <v>76</v>
      </c>
      <c r="C33" s="112">
        <f t="shared" ref="C33:H33" si="16">C34+C37+C38+C44+C45+C50+C51+C52</f>
        <v>563215</v>
      </c>
      <c r="D33" s="112">
        <f t="shared" si="16"/>
        <v>12616</v>
      </c>
      <c r="E33" s="112">
        <f t="shared" si="16"/>
        <v>0</v>
      </c>
      <c r="F33" s="112">
        <f t="shared" si="16"/>
        <v>23110</v>
      </c>
      <c r="G33" s="112">
        <f t="shared" si="16"/>
        <v>0</v>
      </c>
      <c r="H33" s="112">
        <f t="shared" si="16"/>
        <v>588941</v>
      </c>
      <c r="I33" s="112">
        <f>I34+I37+I38+I44+I45+I50+I51+I52</f>
        <v>496245</v>
      </c>
      <c r="J33" s="112">
        <f>J34+J37+J38+J44+J45+J50+J51+J52</f>
        <v>588067</v>
      </c>
      <c r="K33" s="112">
        <f>K34+K37+K38+K44+K45+K50+K51+K52</f>
        <v>0</v>
      </c>
      <c r="L33" s="112">
        <f>L34+L37+L38+L44+L45+L50+L51+L52</f>
        <v>8050</v>
      </c>
      <c r="M33" s="112">
        <f t="shared" ref="M33:O33" si="17">M34+M37+M38+M44+M45+M50+M51+M52</f>
        <v>221</v>
      </c>
      <c r="N33" s="112">
        <f t="shared" si="17"/>
        <v>1250</v>
      </c>
      <c r="O33" s="112">
        <f t="shared" si="17"/>
        <v>597588</v>
      </c>
      <c r="P33" s="112">
        <f t="shared" ref="P33" si="18">P34+P37+P38+P44+P45+P50+P51+P52</f>
        <v>272348.90499999997</v>
      </c>
      <c r="Q33" s="166">
        <f t="shared" ref="Q33:Q43" si="19">P33/O33</f>
        <v>0.45574694438308661</v>
      </c>
    </row>
    <row r="34" spans="1:20" s="22" customFormat="1" ht="16.5" customHeight="1" x14ac:dyDescent="0.25">
      <c r="A34" s="102" t="s">
        <v>60</v>
      </c>
      <c r="B34" s="102" t="s">
        <v>1</v>
      </c>
      <c r="C34" s="103">
        <v>327976</v>
      </c>
      <c r="D34" s="113">
        <f>[3]összefogl!$X$43</f>
        <v>512</v>
      </c>
      <c r="E34" s="103"/>
      <c r="F34" s="113">
        <v>11098</v>
      </c>
      <c r="G34" s="103">
        <v>0</v>
      </c>
      <c r="H34" s="113">
        <f>SUM(C34:G34)</f>
        <v>339586</v>
      </c>
      <c r="I34" s="113">
        <v>292083</v>
      </c>
      <c r="J34" s="103">
        <f>SUM(J35:J36)</f>
        <v>347283</v>
      </c>
      <c r="K34" s="103">
        <f t="shared" ref="K34:P34" si="20">SUM(K35:K36)</f>
        <v>0</v>
      </c>
      <c r="L34" s="103">
        <f t="shared" si="20"/>
        <v>657</v>
      </c>
      <c r="M34" s="103">
        <f t="shared" si="20"/>
        <v>174</v>
      </c>
      <c r="N34" s="103">
        <f t="shared" si="20"/>
        <v>0</v>
      </c>
      <c r="O34" s="103">
        <f t="shared" si="20"/>
        <v>348114</v>
      </c>
      <c r="P34" s="103">
        <f t="shared" si="20"/>
        <v>156725.12999999998</v>
      </c>
      <c r="Q34" s="163">
        <f t="shared" si="19"/>
        <v>0.45021208569606502</v>
      </c>
    </row>
    <row r="35" spans="1:20" s="22" customFormat="1" ht="16.5" hidden="1" customHeight="1" x14ac:dyDescent="0.25">
      <c r="A35" s="50" t="s">
        <v>61</v>
      </c>
      <c r="B35" s="50" t="s">
        <v>35</v>
      </c>
      <c r="C35" s="103"/>
      <c r="D35" s="113"/>
      <c r="E35" s="103"/>
      <c r="F35" s="113"/>
      <c r="G35" s="103"/>
      <c r="H35" s="113"/>
      <c r="I35" s="113"/>
      <c r="J35" s="31">
        <v>346503</v>
      </c>
      <c r="K35" s="55"/>
      <c r="L35" s="55">
        <v>657</v>
      </c>
      <c r="M35" s="55">
        <f>174</f>
        <v>174</v>
      </c>
      <c r="N35" s="55"/>
      <c r="O35" s="101">
        <f>SUM(J35:N35)</f>
        <v>347334</v>
      </c>
      <c r="P35" s="55">
        <v>156641.95499999999</v>
      </c>
      <c r="Q35" s="162">
        <f t="shared" si="19"/>
        <v>0.45098364974347455</v>
      </c>
    </row>
    <row r="36" spans="1:20" s="22" customFormat="1" ht="16.5" hidden="1" customHeight="1" x14ac:dyDescent="0.25">
      <c r="A36" s="50" t="s">
        <v>62</v>
      </c>
      <c r="B36" s="50" t="s">
        <v>36</v>
      </c>
      <c r="C36" s="103"/>
      <c r="D36" s="113"/>
      <c r="E36" s="103"/>
      <c r="F36" s="113"/>
      <c r="G36" s="103"/>
      <c r="H36" s="113"/>
      <c r="I36" s="113"/>
      <c r="J36" s="31">
        <v>780</v>
      </c>
      <c r="K36" s="55"/>
      <c r="L36" s="55"/>
      <c r="M36" s="55"/>
      <c r="N36" s="55"/>
      <c r="O36" s="101">
        <f>SUM(J36:N36)</f>
        <v>780</v>
      </c>
      <c r="P36" s="55">
        <v>83.174999999999997</v>
      </c>
      <c r="Q36" s="162">
        <f t="shared" si="19"/>
        <v>0.10663461538461538</v>
      </c>
    </row>
    <row r="37" spans="1:20" s="22" customFormat="1" ht="16.5" customHeight="1" x14ac:dyDescent="0.25">
      <c r="A37" s="102" t="s">
        <v>63</v>
      </c>
      <c r="B37" s="102" t="s">
        <v>2</v>
      </c>
      <c r="C37" s="103">
        <v>93954</v>
      </c>
      <c r="D37" s="113">
        <f>[3]összefogl!$Y$43</f>
        <v>138</v>
      </c>
      <c r="E37" s="103"/>
      <c r="F37" s="113">
        <v>3237</v>
      </c>
      <c r="G37" s="103"/>
      <c r="H37" s="113">
        <f>SUM(C37:G37)</f>
        <v>97329</v>
      </c>
      <c r="I37" s="113">
        <v>81318</v>
      </c>
      <c r="J37" s="103">
        <v>98957</v>
      </c>
      <c r="K37" s="113"/>
      <c r="L37" s="113">
        <f>177</f>
        <v>177</v>
      </c>
      <c r="M37" s="113">
        <f>47</f>
        <v>47</v>
      </c>
      <c r="N37" s="113"/>
      <c r="O37" s="113">
        <f>SUM(J37:N37)</f>
        <v>99181</v>
      </c>
      <c r="P37" s="113">
        <v>46554.088000000003</v>
      </c>
      <c r="Q37" s="167">
        <f t="shared" si="19"/>
        <v>0.46938514433207978</v>
      </c>
    </row>
    <row r="38" spans="1:20" s="22" customFormat="1" ht="16.5" customHeight="1" x14ac:dyDescent="0.25">
      <c r="A38" s="102" t="s">
        <v>64</v>
      </c>
      <c r="B38" s="102" t="s">
        <v>3</v>
      </c>
      <c r="C38" s="103">
        <v>141285</v>
      </c>
      <c r="D38" s="113">
        <f>[3]összefogl!$Z$43</f>
        <v>11966</v>
      </c>
      <c r="E38" s="103">
        <v>-10000</v>
      </c>
      <c r="F38" s="113">
        <v>8775</v>
      </c>
      <c r="G38" s="103">
        <v>0</v>
      </c>
      <c r="H38" s="113">
        <f>SUM(C38:G38)</f>
        <v>152026</v>
      </c>
      <c r="I38" s="113">
        <v>121784</v>
      </c>
      <c r="J38" s="103">
        <f>SUM(J39:J43)</f>
        <v>141827</v>
      </c>
      <c r="K38" s="103">
        <f t="shared" ref="K38:P38" si="21">SUM(K39:K43)</f>
        <v>0</v>
      </c>
      <c r="L38" s="103">
        <f t="shared" si="21"/>
        <v>6716</v>
      </c>
      <c r="M38" s="103">
        <f t="shared" si="21"/>
        <v>0</v>
      </c>
      <c r="N38" s="103">
        <f t="shared" si="21"/>
        <v>-50</v>
      </c>
      <c r="O38" s="103">
        <f t="shared" si="21"/>
        <v>148493</v>
      </c>
      <c r="P38" s="103">
        <f t="shared" si="21"/>
        <v>68778.941999999995</v>
      </c>
      <c r="Q38" s="163">
        <f t="shared" si="19"/>
        <v>0.46317969197201214</v>
      </c>
    </row>
    <row r="39" spans="1:20" s="22" customFormat="1" ht="16.5" hidden="1" customHeight="1" x14ac:dyDescent="0.25">
      <c r="A39" s="50" t="s">
        <v>65</v>
      </c>
      <c r="B39" s="50" t="s">
        <v>37</v>
      </c>
      <c r="C39" s="103"/>
      <c r="D39" s="113"/>
      <c r="E39" s="103"/>
      <c r="F39" s="113"/>
      <c r="G39" s="103"/>
      <c r="H39" s="113"/>
      <c r="I39" s="113"/>
      <c r="J39" s="31">
        <v>11625</v>
      </c>
      <c r="K39" s="55"/>
      <c r="L39" s="55"/>
      <c r="M39" s="55"/>
      <c r="N39" s="55"/>
      <c r="O39" s="101">
        <f t="shared" ref="O39:O44" si="22">SUM(J39:N39)</f>
        <v>11625</v>
      </c>
      <c r="P39" s="55">
        <v>1770.7090000000001</v>
      </c>
      <c r="Q39" s="162">
        <f t="shared" si="19"/>
        <v>0.15231905376344088</v>
      </c>
    </row>
    <row r="40" spans="1:20" s="22" customFormat="1" ht="16.5" hidden="1" customHeight="1" x14ac:dyDescent="0.25">
      <c r="A40" s="50" t="s">
        <v>66</v>
      </c>
      <c r="B40" s="50" t="s">
        <v>38</v>
      </c>
      <c r="C40" s="103"/>
      <c r="D40" s="113"/>
      <c r="E40" s="103"/>
      <c r="F40" s="113"/>
      <c r="G40" s="103"/>
      <c r="H40" s="113"/>
      <c r="I40" s="113"/>
      <c r="J40" s="31">
        <v>1250</v>
      </c>
      <c r="K40" s="55"/>
      <c r="L40" s="55"/>
      <c r="M40" s="55"/>
      <c r="N40" s="55"/>
      <c r="O40" s="101">
        <f t="shared" si="22"/>
        <v>1250</v>
      </c>
      <c r="P40" s="55">
        <v>164.82599999999999</v>
      </c>
      <c r="Q40" s="162">
        <f t="shared" si="19"/>
        <v>0.1318608</v>
      </c>
    </row>
    <row r="41" spans="1:20" s="22" customFormat="1" ht="16.5" hidden="1" customHeight="1" x14ac:dyDescent="0.25">
      <c r="A41" s="50" t="s">
        <v>67</v>
      </c>
      <c r="B41" s="50" t="s">
        <v>39</v>
      </c>
      <c r="C41" s="103"/>
      <c r="D41" s="113"/>
      <c r="E41" s="103"/>
      <c r="F41" s="113"/>
      <c r="G41" s="103"/>
      <c r="H41" s="113"/>
      <c r="I41" s="113"/>
      <c r="J41" s="31">
        <v>94741</v>
      </c>
      <c r="K41" s="55"/>
      <c r="L41" s="55">
        <v>6716</v>
      </c>
      <c r="M41" s="55"/>
      <c r="N41" s="55">
        <f>('[1]Intézményi kezd. ei mód'!$D$9+'[1]Intézményi kezd. ei mód'!$D$12)/1000</f>
        <v>-50</v>
      </c>
      <c r="O41" s="101">
        <f t="shared" si="22"/>
        <v>101407</v>
      </c>
      <c r="P41" s="55">
        <v>53107.811999999998</v>
      </c>
      <c r="Q41" s="162">
        <f t="shared" si="19"/>
        <v>0.52370952695573281</v>
      </c>
    </row>
    <row r="42" spans="1:20" s="22" customFormat="1" ht="16.5" hidden="1" customHeight="1" x14ac:dyDescent="0.25">
      <c r="A42" s="50" t="s">
        <v>68</v>
      </c>
      <c r="B42" s="50" t="s">
        <v>40</v>
      </c>
      <c r="C42" s="103"/>
      <c r="D42" s="113"/>
      <c r="E42" s="103"/>
      <c r="F42" s="113"/>
      <c r="G42" s="103"/>
      <c r="H42" s="113"/>
      <c r="I42" s="113"/>
      <c r="J42" s="31">
        <v>50</v>
      </c>
      <c r="K42" s="55"/>
      <c r="L42" s="55"/>
      <c r="M42" s="55"/>
      <c r="N42" s="55"/>
      <c r="O42" s="101">
        <f t="shared" si="22"/>
        <v>50</v>
      </c>
      <c r="P42" s="55">
        <v>0</v>
      </c>
      <c r="Q42" s="162">
        <f t="shared" si="19"/>
        <v>0</v>
      </c>
    </row>
    <row r="43" spans="1:20" s="22" customFormat="1" ht="16.5" hidden="1" customHeight="1" x14ac:dyDescent="0.25">
      <c r="A43" s="50" t="s">
        <v>69</v>
      </c>
      <c r="B43" s="50" t="s">
        <v>41</v>
      </c>
      <c r="C43" s="103"/>
      <c r="D43" s="113"/>
      <c r="E43" s="103"/>
      <c r="F43" s="113"/>
      <c r="G43" s="103"/>
      <c r="H43" s="113"/>
      <c r="I43" s="113"/>
      <c r="J43" s="31">
        <v>34161</v>
      </c>
      <c r="K43" s="55"/>
      <c r="L43" s="55"/>
      <c r="M43" s="55"/>
      <c r="N43" s="55"/>
      <c r="O43" s="101">
        <f t="shared" si="22"/>
        <v>34161</v>
      </c>
      <c r="P43" s="55">
        <v>13735.594999999999</v>
      </c>
      <c r="Q43" s="162">
        <f t="shared" si="19"/>
        <v>0.40208410175346154</v>
      </c>
    </row>
    <row r="44" spans="1:20" ht="16.5" customHeight="1" x14ac:dyDescent="0.25">
      <c r="A44" s="102" t="s">
        <v>70</v>
      </c>
      <c r="B44" s="102" t="s">
        <v>152</v>
      </c>
      <c r="C44" s="103"/>
      <c r="D44" s="113"/>
      <c r="E44" s="103">
        <v>10000</v>
      </c>
      <c r="F44" s="113"/>
      <c r="G44" s="113"/>
      <c r="H44" s="113"/>
      <c r="I44" s="113"/>
      <c r="J44" s="113"/>
      <c r="K44" s="113"/>
      <c r="L44" s="113"/>
      <c r="M44" s="113"/>
      <c r="N44" s="113"/>
      <c r="O44" s="113">
        <f t="shared" si="22"/>
        <v>0</v>
      </c>
      <c r="P44" s="113"/>
      <c r="Q44" s="167"/>
      <c r="T44" s="27"/>
    </row>
    <row r="45" spans="1:20" s="22" customFormat="1" ht="16.5" customHeight="1" x14ac:dyDescent="0.25">
      <c r="A45" s="104" t="s">
        <v>71</v>
      </c>
      <c r="B45" s="108" t="s">
        <v>153</v>
      </c>
      <c r="C45" s="103">
        <f t="shared" ref="C45:H45" si="23">SUM(C47,C46)</f>
        <v>0</v>
      </c>
      <c r="D45" s="103">
        <f t="shared" si="23"/>
        <v>0</v>
      </c>
      <c r="E45" s="103"/>
      <c r="F45" s="103">
        <f t="shared" si="23"/>
        <v>0</v>
      </c>
      <c r="G45" s="103">
        <f t="shared" si="23"/>
        <v>0</v>
      </c>
      <c r="H45" s="103">
        <f t="shared" si="23"/>
        <v>0</v>
      </c>
      <c r="I45" s="103">
        <f>SUM(I47,I46)</f>
        <v>0</v>
      </c>
      <c r="J45" s="103">
        <f>SUM(J47,J46)</f>
        <v>0</v>
      </c>
      <c r="K45" s="103">
        <f>SUM(K47,K46)</f>
        <v>0</v>
      </c>
      <c r="L45" s="103">
        <f t="shared" ref="L45:P45" si="24">SUM(L47,L46)</f>
        <v>0</v>
      </c>
      <c r="M45" s="103">
        <f t="shared" si="24"/>
        <v>0</v>
      </c>
      <c r="N45" s="103">
        <f t="shared" si="24"/>
        <v>0</v>
      </c>
      <c r="O45" s="103">
        <f t="shared" si="24"/>
        <v>0</v>
      </c>
      <c r="P45" s="103">
        <f t="shared" si="24"/>
        <v>0</v>
      </c>
      <c r="Q45" s="163"/>
    </row>
    <row r="46" spans="1:20" ht="16.5" customHeight="1" x14ac:dyDescent="0.25">
      <c r="A46" s="156" t="s">
        <v>188</v>
      </c>
      <c r="B46" s="114" t="s">
        <v>154</v>
      </c>
      <c r="C46" s="101"/>
      <c r="D46" s="107"/>
      <c r="E46" s="101"/>
      <c r="F46" s="107"/>
      <c r="G46" s="101"/>
      <c r="H46" s="107">
        <f>SUM(C46:G46)</f>
        <v>0</v>
      </c>
      <c r="I46" s="107"/>
      <c r="J46" s="101"/>
      <c r="K46" s="107"/>
      <c r="L46" s="107"/>
      <c r="M46" s="107"/>
      <c r="N46" s="107"/>
      <c r="O46" s="107"/>
      <c r="P46" s="55">
        <v>0</v>
      </c>
      <c r="Q46" s="162"/>
    </row>
    <row r="47" spans="1:20" ht="16.5" customHeight="1" x14ac:dyDescent="0.25">
      <c r="A47" s="114" t="s">
        <v>168</v>
      </c>
      <c r="B47" s="114" t="s">
        <v>155</v>
      </c>
      <c r="C47" s="107">
        <f t="shared" ref="C47:H47" si="25">SUM(C48:C49)</f>
        <v>0</v>
      </c>
      <c r="D47" s="107">
        <f t="shared" si="25"/>
        <v>0</v>
      </c>
      <c r="E47" s="107"/>
      <c r="F47" s="107">
        <f t="shared" si="25"/>
        <v>0</v>
      </c>
      <c r="G47" s="107">
        <f t="shared" si="25"/>
        <v>0</v>
      </c>
      <c r="H47" s="107">
        <f t="shared" si="25"/>
        <v>0</v>
      </c>
      <c r="I47" s="107">
        <f>SUM(I48:I49)</f>
        <v>0</v>
      </c>
      <c r="J47" s="107">
        <f>SUM(J48:J49)</f>
        <v>0</v>
      </c>
      <c r="K47" s="107">
        <f t="shared" ref="K47:P47" si="26">SUM(K48:K49)</f>
        <v>0</v>
      </c>
      <c r="L47" s="107">
        <f t="shared" si="26"/>
        <v>0</v>
      </c>
      <c r="M47" s="107">
        <f t="shared" si="26"/>
        <v>0</v>
      </c>
      <c r="N47" s="107">
        <f t="shared" si="26"/>
        <v>0</v>
      </c>
      <c r="O47" s="107">
        <f t="shared" si="26"/>
        <v>0</v>
      </c>
      <c r="P47" s="107">
        <f t="shared" si="26"/>
        <v>0</v>
      </c>
      <c r="Q47" s="162"/>
    </row>
    <row r="48" spans="1:20" ht="16.5" customHeight="1" x14ac:dyDescent="0.25">
      <c r="A48" s="100"/>
      <c r="B48" s="114" t="s">
        <v>77</v>
      </c>
      <c r="C48" s="101"/>
      <c r="D48" s="107"/>
      <c r="E48" s="101"/>
      <c r="F48" s="107"/>
      <c r="G48" s="101"/>
      <c r="H48" s="107">
        <f>SUM(C48:G48)</f>
        <v>0</v>
      </c>
      <c r="I48" s="107"/>
      <c r="J48" s="101"/>
      <c r="K48" s="107"/>
      <c r="L48" s="107"/>
      <c r="M48" s="107"/>
      <c r="N48" s="107"/>
      <c r="O48" s="107"/>
      <c r="P48" s="55">
        <v>0</v>
      </c>
      <c r="Q48" s="162"/>
    </row>
    <row r="49" spans="1:17" ht="16.5" customHeight="1" x14ac:dyDescent="0.25">
      <c r="A49" s="100"/>
      <c r="B49" s="114" t="s">
        <v>78</v>
      </c>
      <c r="C49" s="101"/>
      <c r="D49" s="107"/>
      <c r="E49" s="101"/>
      <c r="F49" s="107"/>
      <c r="G49" s="101"/>
      <c r="H49" s="107">
        <f>SUM(C49:G49)</f>
        <v>0</v>
      </c>
      <c r="I49" s="107"/>
      <c r="J49" s="101"/>
      <c r="K49" s="107"/>
      <c r="L49" s="107"/>
      <c r="M49" s="107"/>
      <c r="N49" s="107"/>
      <c r="O49" s="107"/>
      <c r="P49" s="55">
        <v>0</v>
      </c>
      <c r="Q49" s="162"/>
    </row>
    <row r="50" spans="1:17" ht="16.5" customHeight="1" x14ac:dyDescent="0.25">
      <c r="A50" s="102" t="s">
        <v>73</v>
      </c>
      <c r="B50" s="102" t="s">
        <v>169</v>
      </c>
      <c r="C50" s="103"/>
      <c r="D50" s="113"/>
      <c r="E50" s="103"/>
      <c r="F50" s="113"/>
      <c r="G50" s="103"/>
      <c r="H50" s="113">
        <f>SUM(C50:G50)</f>
        <v>0</v>
      </c>
      <c r="I50" s="113">
        <v>1060</v>
      </c>
      <c r="J50" s="103">
        <v>0</v>
      </c>
      <c r="K50" s="113"/>
      <c r="L50" s="113">
        <f>500</f>
        <v>500</v>
      </c>
      <c r="M50" s="113"/>
      <c r="N50" s="113">
        <f>'[1]Intézményi kezd. ei mód'!$D$11/1000</f>
        <v>1300</v>
      </c>
      <c r="O50" s="113">
        <f>SUM(J50:N50)</f>
        <v>1800</v>
      </c>
      <c r="P50" s="113">
        <v>290.745</v>
      </c>
      <c r="Q50" s="163">
        <f t="shared" ref="Q50:Q57" si="27">P50/O50</f>
        <v>0.161525</v>
      </c>
    </row>
    <row r="51" spans="1:17" ht="16.5" customHeight="1" x14ac:dyDescent="0.25">
      <c r="A51" s="102" t="s">
        <v>74</v>
      </c>
      <c r="B51" s="102" t="s">
        <v>151</v>
      </c>
      <c r="C51" s="103"/>
      <c r="D51" s="113"/>
      <c r="E51" s="103"/>
      <c r="F51" s="113"/>
      <c r="G51" s="103"/>
      <c r="H51" s="113">
        <f>SUM(C51:G51)</f>
        <v>0</v>
      </c>
      <c r="I51" s="113"/>
      <c r="J51" s="103">
        <f>SUM(J50)</f>
        <v>0</v>
      </c>
      <c r="K51" s="113">
        <f>SUM(K50)</f>
        <v>0</v>
      </c>
      <c r="L51" s="113"/>
      <c r="M51" s="113">
        <f>SUM(M50)</f>
        <v>0</v>
      </c>
      <c r="N51" s="113"/>
      <c r="O51" s="113">
        <f>SUM(J51:N51)</f>
        <v>0</v>
      </c>
      <c r="P51" s="113">
        <v>0</v>
      </c>
      <c r="Q51" s="163"/>
    </row>
    <row r="52" spans="1:17" ht="16.5" customHeight="1" x14ac:dyDescent="0.25">
      <c r="A52" s="102" t="s">
        <v>75</v>
      </c>
      <c r="B52" s="102" t="s">
        <v>170</v>
      </c>
      <c r="C52" s="103"/>
      <c r="D52" s="113"/>
      <c r="E52" s="103"/>
      <c r="F52" s="113"/>
      <c r="G52" s="103"/>
      <c r="H52" s="113">
        <f>SUM(C52:G52)</f>
        <v>0</v>
      </c>
      <c r="I52" s="113"/>
      <c r="J52" s="103">
        <f>SUM(J51)</f>
        <v>0</v>
      </c>
      <c r="K52" s="113">
        <f>SUM(K51)</f>
        <v>0</v>
      </c>
      <c r="L52" s="113"/>
      <c r="M52" s="113">
        <f>SUM(M51)</f>
        <v>0</v>
      </c>
      <c r="N52" s="113"/>
      <c r="O52" s="113">
        <f>SUM(J52:N52)</f>
        <v>0</v>
      </c>
      <c r="P52" s="113">
        <v>0</v>
      </c>
      <c r="Q52" s="163"/>
    </row>
    <row r="53" spans="1:17" s="23" customFormat="1" ht="16.5" customHeight="1" x14ac:dyDescent="0.25">
      <c r="A53" s="115"/>
      <c r="B53" s="116" t="s">
        <v>42</v>
      </c>
      <c r="C53" s="117">
        <f t="shared" ref="C53:I53" si="28">C3-C33</f>
        <v>-519695</v>
      </c>
      <c r="D53" s="117">
        <f t="shared" si="28"/>
        <v>-2616</v>
      </c>
      <c r="E53" s="117">
        <f>E3-E33</f>
        <v>0</v>
      </c>
      <c r="F53" s="117">
        <f t="shared" si="28"/>
        <v>-20283</v>
      </c>
      <c r="G53" s="117">
        <f t="shared" si="28"/>
        <v>0</v>
      </c>
      <c r="H53" s="117">
        <f t="shared" si="28"/>
        <v>-532594</v>
      </c>
      <c r="I53" s="117">
        <f t="shared" si="28"/>
        <v>-438296</v>
      </c>
      <c r="J53" s="117">
        <f t="shared" ref="J53:P53" si="29">J3-J33</f>
        <v>-565989</v>
      </c>
      <c r="K53" s="117">
        <f t="shared" si="29"/>
        <v>0</v>
      </c>
      <c r="L53" s="117">
        <f t="shared" si="29"/>
        <v>-8050</v>
      </c>
      <c r="M53" s="117">
        <f t="shared" si="29"/>
        <v>-221</v>
      </c>
      <c r="N53" s="117">
        <f t="shared" ref="N53" si="30">N3-N33</f>
        <v>0</v>
      </c>
      <c r="O53" s="117">
        <f t="shared" si="29"/>
        <v>-574260</v>
      </c>
      <c r="P53" s="117">
        <f t="shared" si="29"/>
        <v>-257352.35599999997</v>
      </c>
      <c r="Q53" s="169">
        <f t="shared" si="27"/>
        <v>0.44814605927628592</v>
      </c>
    </row>
    <row r="54" spans="1:17" s="23" customFormat="1" ht="16.5" customHeight="1" x14ac:dyDescent="0.25">
      <c r="A54" s="118"/>
      <c r="B54" s="111" t="s">
        <v>43</v>
      </c>
      <c r="C54" s="112">
        <f t="shared" ref="C54:I54" si="31">C6+C8+C15+C31-C34-C37-C38-C44-C45-C50-C51</f>
        <v>-519695</v>
      </c>
      <c r="D54" s="112">
        <f t="shared" si="31"/>
        <v>-2616</v>
      </c>
      <c r="E54" s="112">
        <f>E6+E8+E15+E31-E34-E37-E38-E44-E45-E50-E51</f>
        <v>0</v>
      </c>
      <c r="F54" s="112">
        <f t="shared" si="31"/>
        <v>-20283</v>
      </c>
      <c r="G54" s="112">
        <f t="shared" si="31"/>
        <v>0</v>
      </c>
      <c r="H54" s="112">
        <f t="shared" si="31"/>
        <v>-532594</v>
      </c>
      <c r="I54" s="112">
        <f t="shared" si="31"/>
        <v>-438296</v>
      </c>
      <c r="J54" s="112">
        <f t="shared" ref="J54:P54" si="32">J6+J8+J15+J31-J34-J37-J38-J44-J45-J50-J51</f>
        <v>-565989</v>
      </c>
      <c r="K54" s="112">
        <f t="shared" si="32"/>
        <v>0</v>
      </c>
      <c r="L54" s="112">
        <f t="shared" si="32"/>
        <v>-8050</v>
      </c>
      <c r="M54" s="112">
        <f t="shared" si="32"/>
        <v>-221</v>
      </c>
      <c r="N54" s="112">
        <f t="shared" ref="N54" si="33">N6+N8+N15+N31-N34-N37-N38-N44-N45-N50-N51</f>
        <v>0</v>
      </c>
      <c r="O54" s="112">
        <f t="shared" si="32"/>
        <v>-574260</v>
      </c>
      <c r="P54" s="112">
        <f t="shared" si="32"/>
        <v>-257352.35599999997</v>
      </c>
      <c r="Q54" s="170">
        <f t="shared" si="27"/>
        <v>0.44814605927628592</v>
      </c>
    </row>
    <row r="55" spans="1:17" s="23" customFormat="1" ht="16.5" customHeight="1" x14ac:dyDescent="0.25">
      <c r="A55" s="118"/>
      <c r="B55" s="111" t="s">
        <v>44</v>
      </c>
      <c r="C55" s="112">
        <f t="shared" ref="C55:I55" si="34">C7+C27+C32-C52</f>
        <v>0</v>
      </c>
      <c r="D55" s="112">
        <f t="shared" si="34"/>
        <v>0</v>
      </c>
      <c r="E55" s="112">
        <f>E7+E27+E32-E52</f>
        <v>0</v>
      </c>
      <c r="F55" s="112">
        <f t="shared" si="34"/>
        <v>0</v>
      </c>
      <c r="G55" s="112">
        <f t="shared" si="34"/>
        <v>0</v>
      </c>
      <c r="H55" s="112">
        <f t="shared" si="34"/>
        <v>0</v>
      </c>
      <c r="I55" s="112">
        <f t="shared" si="34"/>
        <v>0</v>
      </c>
      <c r="J55" s="112">
        <f t="shared" ref="J55:P55" si="35">J7+J27+J32-J52</f>
        <v>0</v>
      </c>
      <c r="K55" s="112">
        <f t="shared" si="35"/>
        <v>0</v>
      </c>
      <c r="L55" s="112">
        <f t="shared" si="35"/>
        <v>0</v>
      </c>
      <c r="M55" s="112">
        <f t="shared" si="35"/>
        <v>0</v>
      </c>
      <c r="N55" s="112">
        <f t="shared" ref="N55" si="36">N7+N27+N32-N52</f>
        <v>0</v>
      </c>
      <c r="O55" s="112">
        <f t="shared" si="35"/>
        <v>0</v>
      </c>
      <c r="P55" s="112">
        <f t="shared" si="35"/>
        <v>0</v>
      </c>
      <c r="Q55" s="170"/>
    </row>
    <row r="56" spans="1:17" s="24" customFormat="1" ht="16.5" customHeight="1" x14ac:dyDescent="0.25">
      <c r="A56" s="119" t="s">
        <v>132</v>
      </c>
      <c r="B56" s="98" t="s">
        <v>45</v>
      </c>
      <c r="C56" s="99">
        <f t="shared" ref="C56:I56" si="37">C57+C65</f>
        <v>519695</v>
      </c>
      <c r="D56" s="99">
        <f t="shared" si="37"/>
        <v>2616</v>
      </c>
      <c r="E56" s="99">
        <f t="shared" si="37"/>
        <v>0</v>
      </c>
      <c r="F56" s="99">
        <f t="shared" si="37"/>
        <v>20283</v>
      </c>
      <c r="G56" s="99">
        <f t="shared" si="37"/>
        <v>0</v>
      </c>
      <c r="H56" s="99">
        <f t="shared" si="37"/>
        <v>542594</v>
      </c>
      <c r="I56" s="99">
        <f t="shared" si="37"/>
        <v>465434</v>
      </c>
      <c r="J56" s="99">
        <f t="shared" ref="J56:P56" si="38">J57+J65</f>
        <v>565989</v>
      </c>
      <c r="K56" s="99">
        <f t="shared" si="38"/>
        <v>0</v>
      </c>
      <c r="L56" s="99">
        <f t="shared" si="38"/>
        <v>8050</v>
      </c>
      <c r="M56" s="99">
        <f t="shared" si="38"/>
        <v>221</v>
      </c>
      <c r="N56" s="99">
        <f t="shared" ref="N56" si="39">N57+N65</f>
        <v>0</v>
      </c>
      <c r="O56" s="99">
        <f t="shared" si="38"/>
        <v>574260</v>
      </c>
      <c r="P56" s="99">
        <f t="shared" si="38"/>
        <v>264371.70400000003</v>
      </c>
      <c r="Q56" s="171">
        <f t="shared" si="27"/>
        <v>0.46036935186152617</v>
      </c>
    </row>
    <row r="57" spans="1:17" ht="16.5" customHeight="1" x14ac:dyDescent="0.25">
      <c r="A57" s="100" t="s">
        <v>120</v>
      </c>
      <c r="B57" s="100" t="s">
        <v>50</v>
      </c>
      <c r="C57" s="107">
        <f t="shared" ref="C57:I57" si="40">SUM(C58,C59,C60,C63,C64)</f>
        <v>519695</v>
      </c>
      <c r="D57" s="107">
        <f t="shared" si="40"/>
        <v>2616</v>
      </c>
      <c r="E57" s="107">
        <f t="shared" si="40"/>
        <v>0</v>
      </c>
      <c r="F57" s="107">
        <f t="shared" si="40"/>
        <v>20283</v>
      </c>
      <c r="G57" s="107">
        <f t="shared" si="40"/>
        <v>0</v>
      </c>
      <c r="H57" s="107">
        <f t="shared" si="40"/>
        <v>542594</v>
      </c>
      <c r="I57" s="107">
        <f t="shared" si="40"/>
        <v>465434</v>
      </c>
      <c r="J57" s="107">
        <f>SUM(J58,J59,J60,J63,J64)</f>
        <v>565989</v>
      </c>
      <c r="K57" s="107">
        <f>SUM(K58,K59,K60,K63,K64)</f>
        <v>0</v>
      </c>
      <c r="L57" s="107">
        <f t="shared" ref="L57:P57" si="41">SUM(L58,L59,L60,L63,L64)</f>
        <v>8050</v>
      </c>
      <c r="M57" s="107">
        <f t="shared" si="41"/>
        <v>221</v>
      </c>
      <c r="N57" s="107">
        <f t="shared" ref="N57" si="42">SUM(N58,N59,N60,N63,N64)</f>
        <v>0</v>
      </c>
      <c r="O57" s="107">
        <f t="shared" si="41"/>
        <v>574260</v>
      </c>
      <c r="P57" s="107">
        <f t="shared" si="41"/>
        <v>264371.70400000003</v>
      </c>
      <c r="Q57" s="168">
        <f t="shared" si="27"/>
        <v>0.46036935186152617</v>
      </c>
    </row>
    <row r="58" spans="1:17" ht="16.5" customHeight="1" x14ac:dyDescent="0.25">
      <c r="A58" s="100" t="s">
        <v>79</v>
      </c>
      <c r="B58" s="100" t="s">
        <v>47</v>
      </c>
      <c r="C58" s="101"/>
      <c r="D58" s="120"/>
      <c r="E58" s="101"/>
      <c r="F58" s="120"/>
      <c r="G58" s="101"/>
      <c r="H58" s="120">
        <f>SUM(C58:G58)</f>
        <v>0</v>
      </c>
      <c r="I58" s="120"/>
      <c r="J58" s="101"/>
      <c r="K58" s="120"/>
      <c r="L58" s="120"/>
      <c r="M58" s="120"/>
      <c r="N58" s="120"/>
      <c r="O58" s="120">
        <v>0</v>
      </c>
      <c r="P58" s="101"/>
      <c r="Q58" s="162"/>
    </row>
    <row r="59" spans="1:17" ht="16.5" customHeight="1" x14ac:dyDescent="0.25">
      <c r="A59" s="100" t="s">
        <v>80</v>
      </c>
      <c r="B59" s="100" t="s">
        <v>48</v>
      </c>
      <c r="C59" s="101"/>
      <c r="D59" s="107"/>
      <c r="E59" s="101"/>
      <c r="F59" s="107"/>
      <c r="G59" s="101"/>
      <c r="H59" s="107">
        <f>SUM(C59:G59)</f>
        <v>0</v>
      </c>
      <c r="I59" s="107"/>
      <c r="J59" s="101"/>
      <c r="K59" s="107"/>
      <c r="L59" s="107"/>
      <c r="M59" s="107"/>
      <c r="N59" s="107"/>
      <c r="O59" s="107">
        <v>0</v>
      </c>
      <c r="P59" s="107"/>
      <c r="Q59" s="162"/>
    </row>
    <row r="60" spans="1:17" ht="16.5" customHeight="1" x14ac:dyDescent="0.25">
      <c r="A60" s="100" t="s">
        <v>81</v>
      </c>
      <c r="B60" s="100" t="s">
        <v>49</v>
      </c>
      <c r="C60" s="107">
        <f t="shared" ref="C60:H60" si="43">SUM(C61:C62)</f>
        <v>0</v>
      </c>
      <c r="D60" s="107">
        <f t="shared" si="43"/>
        <v>1966</v>
      </c>
      <c r="E60" s="107"/>
      <c r="F60" s="107">
        <f t="shared" si="43"/>
        <v>0</v>
      </c>
      <c r="G60" s="107">
        <f t="shared" si="43"/>
        <v>0</v>
      </c>
      <c r="H60" s="107">
        <f t="shared" si="43"/>
        <v>1966</v>
      </c>
      <c r="I60" s="107">
        <f>SUM(I61:I62)</f>
        <v>1966</v>
      </c>
      <c r="J60" s="107">
        <f>SUM(J61:J62)</f>
        <v>0</v>
      </c>
      <c r="K60" s="107">
        <f>SUM(K61:K62)</f>
        <v>0</v>
      </c>
      <c r="L60" s="107">
        <f>L61+L62</f>
        <v>8882</v>
      </c>
      <c r="M60" s="107">
        <f t="shared" ref="M60:N60" si="44">M61+M62</f>
        <v>0</v>
      </c>
      <c r="N60" s="107">
        <f t="shared" si="44"/>
        <v>0</v>
      </c>
      <c r="O60" s="107">
        <f>SUM(O61:O62)</f>
        <v>8882</v>
      </c>
      <c r="P60" s="107">
        <f>SUM(P61:P62)</f>
        <v>8882</v>
      </c>
      <c r="Q60" s="172">
        <f>P60/O60</f>
        <v>1</v>
      </c>
    </row>
    <row r="61" spans="1:17" ht="16.5" customHeight="1" x14ac:dyDescent="0.25">
      <c r="A61" s="100"/>
      <c r="B61" s="114" t="s">
        <v>82</v>
      </c>
      <c r="C61" s="101"/>
      <c r="D61" s="121">
        <v>1966</v>
      </c>
      <c r="E61" s="101"/>
      <c r="F61" s="121"/>
      <c r="G61" s="101"/>
      <c r="H61" s="121">
        <f>SUM(C61:G61)</f>
        <v>1966</v>
      </c>
      <c r="I61" s="121">
        <v>1966</v>
      </c>
      <c r="J61" s="101">
        <v>0</v>
      </c>
      <c r="K61" s="121"/>
      <c r="L61" s="121">
        <v>8882</v>
      </c>
      <c r="M61" s="121"/>
      <c r="N61" s="121"/>
      <c r="O61" s="121">
        <f>SUM(J61:N61)</f>
        <v>8882</v>
      </c>
      <c r="P61" s="121">
        <v>8882</v>
      </c>
      <c r="Q61" s="162">
        <f>P61/O61</f>
        <v>1</v>
      </c>
    </row>
    <row r="62" spans="1:17" ht="16.5" customHeight="1" x14ac:dyDescent="0.25">
      <c r="A62" s="100"/>
      <c r="B62" s="114" t="s">
        <v>83</v>
      </c>
      <c r="C62" s="101"/>
      <c r="D62" s="107"/>
      <c r="E62" s="101"/>
      <c r="F62" s="107"/>
      <c r="G62" s="101"/>
      <c r="H62" s="107">
        <f>SUM(C62:G62)</f>
        <v>0</v>
      </c>
      <c r="I62" s="107"/>
      <c r="J62" s="107">
        <v>0</v>
      </c>
      <c r="K62" s="107">
        <v>0</v>
      </c>
      <c r="L62" s="107">
        <v>0</v>
      </c>
      <c r="M62" s="107">
        <v>0</v>
      </c>
      <c r="N62" s="107"/>
      <c r="O62" s="121">
        <f>SUM(J62:N62)</f>
        <v>0</v>
      </c>
      <c r="P62" s="107"/>
      <c r="Q62" s="162"/>
    </row>
    <row r="63" spans="1:17" ht="16.5" customHeight="1" x14ac:dyDescent="0.25">
      <c r="A63" s="100" t="s">
        <v>84</v>
      </c>
      <c r="B63" s="100" t="s">
        <v>131</v>
      </c>
      <c r="C63" s="101"/>
      <c r="D63" s="107"/>
      <c r="E63" s="101"/>
      <c r="F63" s="107"/>
      <c r="G63" s="101"/>
      <c r="H63" s="107">
        <f>SUM(C63:G63)</f>
        <v>0</v>
      </c>
      <c r="I63" s="107"/>
      <c r="J63" s="101"/>
      <c r="K63" s="107"/>
      <c r="L63" s="107"/>
      <c r="M63" s="107"/>
      <c r="N63" s="107"/>
      <c r="O63" s="121">
        <f>SUM(J63:N63)</f>
        <v>0</v>
      </c>
      <c r="P63" s="107"/>
      <c r="Q63" s="162"/>
    </row>
    <row r="64" spans="1:17" ht="16.5" customHeight="1" x14ac:dyDescent="0.25">
      <c r="A64" s="100" t="s">
        <v>121</v>
      </c>
      <c r="B64" s="100" t="s">
        <v>122</v>
      </c>
      <c r="C64" s="101">
        <v>519695</v>
      </c>
      <c r="D64" s="107">
        <f>[3]összefogl!$S$43</f>
        <v>650</v>
      </c>
      <c r="E64" s="101"/>
      <c r="F64" s="107">
        <v>20283</v>
      </c>
      <c r="G64" s="101"/>
      <c r="H64" s="107">
        <f>SUM(C64:G64)</f>
        <v>540628</v>
      </c>
      <c r="I64" s="107">
        <v>463468</v>
      </c>
      <c r="J64" s="101">
        <f>600255-34266</f>
        <v>565989</v>
      </c>
      <c r="K64" s="107"/>
      <c r="L64" s="107">
        <f>835-1667</f>
        <v>-832</v>
      </c>
      <c r="M64" s="107">
        <f>221</f>
        <v>221</v>
      </c>
      <c r="N64" s="107"/>
      <c r="O64" s="107">
        <f>SUM(J64:N64)</f>
        <v>565378</v>
      </c>
      <c r="P64" s="107">
        <v>255489.704</v>
      </c>
      <c r="Q64" s="172">
        <f>P64/O64</f>
        <v>0.45189183873443961</v>
      </c>
    </row>
    <row r="65" spans="1:17" ht="16.5" hidden="1" customHeight="1" thickBot="1" x14ac:dyDescent="0.3">
      <c r="A65" s="100" t="s">
        <v>85</v>
      </c>
      <c r="B65" s="122" t="s">
        <v>51</v>
      </c>
      <c r="C65" s="101"/>
      <c r="D65" s="107"/>
      <c r="E65" s="101"/>
      <c r="F65" s="107"/>
      <c r="G65" s="101"/>
      <c r="H65" s="107">
        <f>SUM(C65:G65)</f>
        <v>0</v>
      </c>
      <c r="I65" s="107"/>
      <c r="J65" s="101"/>
      <c r="K65" s="107"/>
      <c r="L65" s="107"/>
      <c r="M65" s="107"/>
      <c r="N65" s="107"/>
      <c r="O65" s="107"/>
      <c r="P65" s="107"/>
      <c r="Q65" s="162"/>
    </row>
    <row r="66" spans="1:17" s="23" customFormat="1" ht="16.5" customHeight="1" x14ac:dyDescent="0.25">
      <c r="A66" s="123" t="s">
        <v>133</v>
      </c>
      <c r="B66" s="124" t="s">
        <v>52</v>
      </c>
      <c r="C66" s="125">
        <f t="shared" ref="C66:I66" si="45">C67+C71</f>
        <v>0</v>
      </c>
      <c r="D66" s="125">
        <f t="shared" si="45"/>
        <v>0</v>
      </c>
      <c r="E66" s="125"/>
      <c r="F66" s="125">
        <f t="shared" si="45"/>
        <v>0</v>
      </c>
      <c r="G66" s="125">
        <f t="shared" si="45"/>
        <v>0</v>
      </c>
      <c r="H66" s="125">
        <f t="shared" si="45"/>
        <v>0</v>
      </c>
      <c r="I66" s="125">
        <f t="shared" si="45"/>
        <v>0</v>
      </c>
      <c r="J66" s="125">
        <f t="shared" ref="J66:O66" si="46">J67+J71</f>
        <v>0</v>
      </c>
      <c r="K66" s="125">
        <f t="shared" si="46"/>
        <v>0</v>
      </c>
      <c r="L66" s="125">
        <f t="shared" si="46"/>
        <v>0</v>
      </c>
      <c r="M66" s="125">
        <f t="shared" si="46"/>
        <v>0</v>
      </c>
      <c r="N66" s="125">
        <f t="shared" si="46"/>
        <v>0</v>
      </c>
      <c r="O66" s="125">
        <f t="shared" si="46"/>
        <v>0</v>
      </c>
      <c r="P66" s="125">
        <f t="shared" ref="P66" si="47">P67+P71</f>
        <v>0</v>
      </c>
      <c r="Q66" s="173"/>
    </row>
    <row r="67" spans="1:17" ht="16.5" customHeight="1" x14ac:dyDescent="0.25">
      <c r="A67" s="100" t="s">
        <v>138</v>
      </c>
      <c r="B67" s="100" t="s">
        <v>139</v>
      </c>
      <c r="C67" s="107">
        <f t="shared" ref="C67:I67" si="48">SUM(C68:C70)</f>
        <v>0</v>
      </c>
      <c r="D67" s="107">
        <f t="shared" si="48"/>
        <v>0</v>
      </c>
      <c r="E67" s="107"/>
      <c r="F67" s="107">
        <f t="shared" si="48"/>
        <v>0</v>
      </c>
      <c r="G67" s="107">
        <f t="shared" si="48"/>
        <v>0</v>
      </c>
      <c r="H67" s="107">
        <f t="shared" si="48"/>
        <v>0</v>
      </c>
      <c r="I67" s="107">
        <f t="shared" si="48"/>
        <v>0</v>
      </c>
      <c r="J67" s="107">
        <f t="shared" ref="J67:P67" si="49">SUM(J68:J70)</f>
        <v>0</v>
      </c>
      <c r="K67" s="107">
        <f t="shared" si="49"/>
        <v>0</v>
      </c>
      <c r="L67" s="107">
        <f t="shared" si="49"/>
        <v>0</v>
      </c>
      <c r="M67" s="107">
        <f t="shared" si="49"/>
        <v>0</v>
      </c>
      <c r="N67" s="107">
        <f t="shared" ref="N67" si="50">SUM(N68:N70)</f>
        <v>0</v>
      </c>
      <c r="O67" s="107">
        <f t="shared" si="49"/>
        <v>0</v>
      </c>
      <c r="P67" s="107">
        <f t="shared" si="49"/>
        <v>0</v>
      </c>
      <c r="Q67" s="168"/>
    </row>
    <row r="68" spans="1:17" ht="16.5" customHeight="1" x14ac:dyDescent="0.25">
      <c r="A68" s="100" t="s">
        <v>86</v>
      </c>
      <c r="B68" s="100" t="s">
        <v>46</v>
      </c>
      <c r="C68" s="101"/>
      <c r="D68" s="107"/>
      <c r="E68" s="101"/>
      <c r="F68" s="107"/>
      <c r="G68" s="101"/>
      <c r="H68" s="107">
        <f>SUM(C68:G68)</f>
        <v>0</v>
      </c>
      <c r="I68" s="101"/>
      <c r="J68" s="101"/>
      <c r="K68" s="107"/>
      <c r="L68" s="107"/>
      <c r="M68" s="107"/>
      <c r="N68" s="107"/>
      <c r="O68" s="107"/>
      <c r="P68" s="107"/>
      <c r="Q68" s="168"/>
    </row>
    <row r="69" spans="1:17" ht="16.5" customHeight="1" x14ac:dyDescent="0.25">
      <c r="A69" s="100" t="s">
        <v>171</v>
      </c>
      <c r="B69" s="100" t="s">
        <v>172</v>
      </c>
      <c r="C69" s="101"/>
      <c r="D69" s="107"/>
      <c r="E69" s="101"/>
      <c r="F69" s="107"/>
      <c r="G69" s="101"/>
      <c r="H69" s="107">
        <f>SUM(C69:G69)</f>
        <v>0</v>
      </c>
      <c r="I69" s="101"/>
      <c r="J69" s="101"/>
      <c r="K69" s="107"/>
      <c r="L69" s="107"/>
      <c r="M69" s="107"/>
      <c r="N69" s="107"/>
      <c r="O69" s="107"/>
      <c r="P69" s="107"/>
      <c r="Q69" s="168"/>
    </row>
    <row r="70" spans="1:17" ht="16.5" customHeight="1" x14ac:dyDescent="0.25">
      <c r="A70" s="100" t="s">
        <v>88</v>
      </c>
      <c r="B70" s="100" t="s">
        <v>54</v>
      </c>
      <c r="C70" s="101"/>
      <c r="D70" s="107"/>
      <c r="E70" s="101"/>
      <c r="F70" s="107"/>
      <c r="G70" s="101"/>
      <c r="H70" s="107">
        <f>SUM(C70:G70)</f>
        <v>0</v>
      </c>
      <c r="I70" s="101"/>
      <c r="J70" s="101"/>
      <c r="K70" s="107"/>
      <c r="L70" s="107"/>
      <c r="M70" s="107"/>
      <c r="N70" s="107"/>
      <c r="O70" s="107">
        <f>SUM(F70:N70)</f>
        <v>0</v>
      </c>
      <c r="P70" s="107"/>
      <c r="Q70" s="168"/>
    </row>
    <row r="71" spans="1:17" ht="16.5" customHeight="1" x14ac:dyDescent="0.25">
      <c r="A71" s="100" t="s">
        <v>90</v>
      </c>
      <c r="B71" s="122" t="s">
        <v>89</v>
      </c>
      <c r="C71" s="101"/>
      <c r="D71" s="107"/>
      <c r="E71" s="101"/>
      <c r="F71" s="107"/>
      <c r="G71" s="101"/>
      <c r="H71" s="107">
        <f>SUM(C71:G71)</f>
        <v>0</v>
      </c>
      <c r="I71" s="101"/>
      <c r="J71" s="101"/>
      <c r="K71" s="107"/>
      <c r="L71" s="107"/>
      <c r="M71" s="107"/>
      <c r="N71" s="107"/>
      <c r="O71" s="107"/>
      <c r="P71" s="107"/>
      <c r="Q71" s="162"/>
    </row>
    <row r="72" spans="1:17" s="23" customFormat="1" ht="16.5" customHeight="1" x14ac:dyDescent="0.25">
      <c r="A72" s="115"/>
      <c r="B72" s="126" t="s">
        <v>57</v>
      </c>
      <c r="C72" s="117">
        <f t="shared" ref="C72:I72" si="51">C56-C66</f>
        <v>519695</v>
      </c>
      <c r="D72" s="117">
        <f t="shared" si="51"/>
        <v>2616</v>
      </c>
      <c r="E72" s="117">
        <f>E56-E66</f>
        <v>0</v>
      </c>
      <c r="F72" s="117">
        <f t="shared" si="51"/>
        <v>20283</v>
      </c>
      <c r="G72" s="117">
        <f t="shared" si="51"/>
        <v>0</v>
      </c>
      <c r="H72" s="117">
        <f t="shared" si="51"/>
        <v>542594</v>
      </c>
      <c r="I72" s="117">
        <f t="shared" si="51"/>
        <v>465434</v>
      </c>
      <c r="J72" s="117">
        <f t="shared" ref="J72:P72" si="52">J56-J66</f>
        <v>565989</v>
      </c>
      <c r="K72" s="117">
        <f t="shared" si="52"/>
        <v>0</v>
      </c>
      <c r="L72" s="117">
        <f t="shared" si="52"/>
        <v>8050</v>
      </c>
      <c r="M72" s="117">
        <f t="shared" si="52"/>
        <v>221</v>
      </c>
      <c r="N72" s="117">
        <f t="shared" ref="N72" si="53">N56-N66</f>
        <v>0</v>
      </c>
      <c r="O72" s="117">
        <f t="shared" si="52"/>
        <v>574260</v>
      </c>
      <c r="P72" s="117">
        <f t="shared" si="52"/>
        <v>264371.70400000003</v>
      </c>
      <c r="Q72" s="169">
        <f t="shared" ref="Q72:Q79" si="54">P72/O72</f>
        <v>0.46036935186152617</v>
      </c>
    </row>
    <row r="73" spans="1:17" s="23" customFormat="1" ht="16.5" customHeight="1" x14ac:dyDescent="0.25">
      <c r="A73" s="127"/>
      <c r="B73" s="128" t="s">
        <v>58</v>
      </c>
      <c r="C73" s="129">
        <f t="shared" ref="C73:I73" si="55">C3+C56</f>
        <v>563215</v>
      </c>
      <c r="D73" s="129">
        <f t="shared" si="55"/>
        <v>12616</v>
      </c>
      <c r="E73" s="129">
        <f>E3+E56</f>
        <v>0</v>
      </c>
      <c r="F73" s="129">
        <f t="shared" si="55"/>
        <v>23110</v>
      </c>
      <c r="G73" s="129">
        <f t="shared" si="55"/>
        <v>0</v>
      </c>
      <c r="H73" s="129">
        <f t="shared" si="55"/>
        <v>598941</v>
      </c>
      <c r="I73" s="129">
        <f t="shared" si="55"/>
        <v>523383</v>
      </c>
      <c r="J73" s="129">
        <f>J3+J56</f>
        <v>588067</v>
      </c>
      <c r="K73" s="129">
        <f>K3+K56</f>
        <v>0</v>
      </c>
      <c r="L73" s="129">
        <f>L3+L56</f>
        <v>8050</v>
      </c>
      <c r="M73" s="129">
        <f t="shared" ref="M73:O73" si="56">M3+M56</f>
        <v>221</v>
      </c>
      <c r="N73" s="129">
        <f t="shared" ref="N73" si="57">N3+N56</f>
        <v>1250</v>
      </c>
      <c r="O73" s="129">
        <f t="shared" si="56"/>
        <v>597588</v>
      </c>
      <c r="P73" s="129">
        <f>P3+P56</f>
        <v>279368.25300000003</v>
      </c>
      <c r="Q73" s="161">
        <f t="shared" si="54"/>
        <v>0.46749307717022437</v>
      </c>
    </row>
    <row r="74" spans="1:17" s="23" customFormat="1" ht="16.5" customHeight="1" x14ac:dyDescent="0.25">
      <c r="A74" s="119"/>
      <c r="B74" s="72" t="s">
        <v>140</v>
      </c>
      <c r="C74" s="99">
        <f t="shared" ref="C74:I74" si="58">C6+C8+C15+C31</f>
        <v>43520</v>
      </c>
      <c r="D74" s="99">
        <f t="shared" si="58"/>
        <v>10000</v>
      </c>
      <c r="E74" s="99">
        <f>E6+E8+E15+E31</f>
        <v>0</v>
      </c>
      <c r="F74" s="99">
        <f t="shared" si="58"/>
        <v>2827</v>
      </c>
      <c r="G74" s="99">
        <f t="shared" si="58"/>
        <v>0</v>
      </c>
      <c r="H74" s="99">
        <f t="shared" si="58"/>
        <v>56347</v>
      </c>
      <c r="I74" s="99">
        <f t="shared" si="58"/>
        <v>57949</v>
      </c>
      <c r="J74" s="99">
        <f>J6+J8+J15+J31</f>
        <v>22078</v>
      </c>
      <c r="K74" s="99">
        <f>K6+K8+K15+K31</f>
        <v>0</v>
      </c>
      <c r="L74" s="99">
        <f>L6+L8+L15+L31</f>
        <v>0</v>
      </c>
      <c r="M74" s="99">
        <f>M6+M8+M15+M31</f>
        <v>0</v>
      </c>
      <c r="N74" s="99">
        <f>N6+N8+N15+N31</f>
        <v>1250</v>
      </c>
      <c r="O74" s="99">
        <f>O6+O7+O8+O15+O31</f>
        <v>23328</v>
      </c>
      <c r="P74" s="99">
        <f>P6+P8+P15+P31</f>
        <v>14996.549000000001</v>
      </c>
      <c r="Q74" s="174">
        <f t="shared" si="54"/>
        <v>0.64285618141289447</v>
      </c>
    </row>
    <row r="75" spans="1:17" s="23" customFormat="1" ht="16.5" customHeight="1" x14ac:dyDescent="0.25">
      <c r="A75" s="119"/>
      <c r="B75" s="72" t="s">
        <v>141</v>
      </c>
      <c r="C75" s="99">
        <f t="shared" ref="C75:I75" si="59">C7+C27+C32</f>
        <v>0</v>
      </c>
      <c r="D75" s="99">
        <f t="shared" si="59"/>
        <v>0</v>
      </c>
      <c r="E75" s="99">
        <f>E7+E27+E32</f>
        <v>0</v>
      </c>
      <c r="F75" s="99">
        <f t="shared" si="59"/>
        <v>0</v>
      </c>
      <c r="G75" s="99">
        <f t="shared" si="59"/>
        <v>0</v>
      </c>
      <c r="H75" s="99">
        <f t="shared" si="59"/>
        <v>0</v>
      </c>
      <c r="I75" s="99">
        <f t="shared" si="59"/>
        <v>0</v>
      </c>
      <c r="J75" s="99">
        <f t="shared" ref="J75:P75" si="60">J7+J27+J32</f>
        <v>0</v>
      </c>
      <c r="K75" s="99">
        <f t="shared" si="60"/>
        <v>0</v>
      </c>
      <c r="L75" s="99">
        <f t="shared" si="60"/>
        <v>0</v>
      </c>
      <c r="M75" s="99">
        <f t="shared" si="60"/>
        <v>0</v>
      </c>
      <c r="N75" s="99">
        <f t="shared" ref="N75" si="61">N7+N27+N32</f>
        <v>0</v>
      </c>
      <c r="O75" s="99">
        <f t="shared" si="60"/>
        <v>0</v>
      </c>
      <c r="P75" s="99">
        <f t="shared" si="60"/>
        <v>0</v>
      </c>
      <c r="Q75" s="174"/>
    </row>
    <row r="76" spans="1:17" s="23" customFormat="1" ht="16.5" customHeight="1" x14ac:dyDescent="0.25">
      <c r="A76" s="119"/>
      <c r="B76" s="72" t="s">
        <v>144</v>
      </c>
      <c r="C76" s="99">
        <f t="shared" ref="C76:I76" si="62">C56</f>
        <v>519695</v>
      </c>
      <c r="D76" s="99">
        <f t="shared" si="62"/>
        <v>2616</v>
      </c>
      <c r="E76" s="99">
        <f>E56</f>
        <v>0</v>
      </c>
      <c r="F76" s="99">
        <f t="shared" si="62"/>
        <v>20283</v>
      </c>
      <c r="G76" s="99">
        <f t="shared" si="62"/>
        <v>0</v>
      </c>
      <c r="H76" s="99">
        <f t="shared" si="62"/>
        <v>542594</v>
      </c>
      <c r="I76" s="99">
        <f t="shared" si="62"/>
        <v>465434</v>
      </c>
      <c r="J76" s="99">
        <f t="shared" ref="J76:P76" si="63">J56</f>
        <v>565989</v>
      </c>
      <c r="K76" s="99">
        <f t="shared" si="63"/>
        <v>0</v>
      </c>
      <c r="L76" s="99">
        <f t="shared" si="63"/>
        <v>8050</v>
      </c>
      <c r="M76" s="99">
        <f t="shared" si="63"/>
        <v>221</v>
      </c>
      <c r="N76" s="99">
        <f t="shared" ref="N76" si="64">N56</f>
        <v>0</v>
      </c>
      <c r="O76" s="99">
        <f t="shared" si="63"/>
        <v>574260</v>
      </c>
      <c r="P76" s="99">
        <f t="shared" si="63"/>
        <v>264371.70400000003</v>
      </c>
      <c r="Q76" s="174">
        <f t="shared" si="54"/>
        <v>0.46036935186152617</v>
      </c>
    </row>
    <row r="77" spans="1:17" s="23" customFormat="1" ht="16.5" customHeight="1" x14ac:dyDescent="0.25">
      <c r="A77" s="130"/>
      <c r="B77" s="84" t="s">
        <v>59</v>
      </c>
      <c r="C77" s="131">
        <f t="shared" ref="C77:I77" si="65">C33+C66</f>
        <v>563215</v>
      </c>
      <c r="D77" s="131">
        <f t="shared" si="65"/>
        <v>12616</v>
      </c>
      <c r="E77" s="131">
        <f>E33+E66</f>
        <v>0</v>
      </c>
      <c r="F77" s="131">
        <f t="shared" si="65"/>
        <v>23110</v>
      </c>
      <c r="G77" s="131">
        <f t="shared" si="65"/>
        <v>0</v>
      </c>
      <c r="H77" s="131">
        <f t="shared" si="65"/>
        <v>588941</v>
      </c>
      <c r="I77" s="131">
        <f t="shared" si="65"/>
        <v>496245</v>
      </c>
      <c r="J77" s="131">
        <f t="shared" ref="J77:P77" si="66">J33+J66</f>
        <v>588067</v>
      </c>
      <c r="K77" s="131">
        <f t="shared" si="66"/>
        <v>0</v>
      </c>
      <c r="L77" s="131">
        <f t="shared" si="66"/>
        <v>8050</v>
      </c>
      <c r="M77" s="131">
        <f t="shared" si="66"/>
        <v>221</v>
      </c>
      <c r="N77" s="131">
        <f t="shared" ref="N77" si="67">N33+N66</f>
        <v>1250</v>
      </c>
      <c r="O77" s="131">
        <f t="shared" si="66"/>
        <v>597588</v>
      </c>
      <c r="P77" s="131">
        <f t="shared" si="66"/>
        <v>272348.90499999997</v>
      </c>
      <c r="Q77" s="175">
        <f t="shared" si="54"/>
        <v>0.45574694438308661</v>
      </c>
    </row>
    <row r="78" spans="1:17" s="23" customFormat="1" ht="16.5" customHeight="1" x14ac:dyDescent="0.25">
      <c r="A78" s="123"/>
      <c r="B78" s="77" t="s">
        <v>142</v>
      </c>
      <c r="C78" s="125">
        <f t="shared" ref="C78:I78" si="68">C34+C37+C38+C44+C45-C49</f>
        <v>563215</v>
      </c>
      <c r="D78" s="125">
        <f t="shared" si="68"/>
        <v>12616</v>
      </c>
      <c r="E78" s="125">
        <f>E34+E37+E38+E44+E45-E49</f>
        <v>0</v>
      </c>
      <c r="F78" s="125">
        <f t="shared" si="68"/>
        <v>23110</v>
      </c>
      <c r="G78" s="125">
        <f t="shared" si="68"/>
        <v>0</v>
      </c>
      <c r="H78" s="125">
        <f t="shared" si="68"/>
        <v>588941</v>
      </c>
      <c r="I78" s="125">
        <f t="shared" si="68"/>
        <v>495185</v>
      </c>
      <c r="J78" s="125">
        <f t="shared" ref="J78:P78" si="69">J34+J37+J38+J44+J45-J49</f>
        <v>588067</v>
      </c>
      <c r="K78" s="125">
        <f t="shared" si="69"/>
        <v>0</v>
      </c>
      <c r="L78" s="125">
        <f t="shared" si="69"/>
        <v>7550</v>
      </c>
      <c r="M78" s="125">
        <f t="shared" si="69"/>
        <v>221</v>
      </c>
      <c r="N78" s="125">
        <f t="shared" ref="N78" si="70">N34+N37+N38+N44+N45-N49</f>
        <v>-50</v>
      </c>
      <c r="O78" s="125">
        <f t="shared" si="69"/>
        <v>595788</v>
      </c>
      <c r="P78" s="125">
        <f t="shared" si="69"/>
        <v>272058.15999999997</v>
      </c>
      <c r="Q78" s="176">
        <f t="shared" si="54"/>
        <v>0.45663585033602555</v>
      </c>
    </row>
    <row r="79" spans="1:17" s="23" customFormat="1" ht="16.5" customHeight="1" x14ac:dyDescent="0.25">
      <c r="A79" s="123"/>
      <c r="B79" s="77" t="s">
        <v>141</v>
      </c>
      <c r="C79" s="125">
        <f t="shared" ref="C79:I79" si="71">C49+C50+C51+C52</f>
        <v>0</v>
      </c>
      <c r="D79" s="125">
        <f t="shared" si="71"/>
        <v>0</v>
      </c>
      <c r="E79" s="125">
        <f>E49+E50+E51+E52</f>
        <v>0</v>
      </c>
      <c r="F79" s="125">
        <f t="shared" si="71"/>
        <v>0</v>
      </c>
      <c r="G79" s="125">
        <f t="shared" si="71"/>
        <v>0</v>
      </c>
      <c r="H79" s="125">
        <f t="shared" si="71"/>
        <v>0</v>
      </c>
      <c r="I79" s="125">
        <f t="shared" si="71"/>
        <v>1060</v>
      </c>
      <c r="J79" s="125">
        <f t="shared" ref="J79:P79" si="72">J49+J50+J51+J52</f>
        <v>0</v>
      </c>
      <c r="K79" s="125">
        <f t="shared" si="72"/>
        <v>0</v>
      </c>
      <c r="L79" s="125">
        <f t="shared" si="72"/>
        <v>500</v>
      </c>
      <c r="M79" s="125">
        <f t="shared" si="72"/>
        <v>0</v>
      </c>
      <c r="N79" s="125">
        <f t="shared" ref="N79" si="73">N49+N50+N51+N52</f>
        <v>1300</v>
      </c>
      <c r="O79" s="125">
        <f t="shared" si="72"/>
        <v>1800</v>
      </c>
      <c r="P79" s="125">
        <f t="shared" si="72"/>
        <v>290.745</v>
      </c>
      <c r="Q79" s="176">
        <f t="shared" si="54"/>
        <v>0.161525</v>
      </c>
    </row>
    <row r="80" spans="1:17" s="23" customFormat="1" ht="16.5" customHeight="1" x14ac:dyDescent="0.25">
      <c r="A80" s="123"/>
      <c r="B80" s="77" t="s">
        <v>144</v>
      </c>
      <c r="C80" s="125">
        <f t="shared" ref="C80:I80" si="74">C66</f>
        <v>0</v>
      </c>
      <c r="D80" s="125">
        <f t="shared" si="74"/>
        <v>0</v>
      </c>
      <c r="E80" s="125">
        <f>E66</f>
        <v>0</v>
      </c>
      <c r="F80" s="125">
        <f t="shared" si="74"/>
        <v>0</v>
      </c>
      <c r="G80" s="125">
        <f t="shared" si="74"/>
        <v>0</v>
      </c>
      <c r="H80" s="125">
        <f t="shared" si="74"/>
        <v>0</v>
      </c>
      <c r="I80" s="125">
        <f t="shared" si="74"/>
        <v>0</v>
      </c>
      <c r="J80" s="125">
        <f t="shared" ref="J80:P80" si="75">J66</f>
        <v>0</v>
      </c>
      <c r="K80" s="125">
        <f t="shared" si="75"/>
        <v>0</v>
      </c>
      <c r="L80" s="125">
        <f t="shared" si="75"/>
        <v>0</v>
      </c>
      <c r="M80" s="125">
        <f t="shared" si="75"/>
        <v>0</v>
      </c>
      <c r="N80" s="125">
        <f t="shared" ref="N80" si="76">N66</f>
        <v>0</v>
      </c>
      <c r="O80" s="125">
        <f t="shared" si="75"/>
        <v>0</v>
      </c>
      <c r="P80" s="125">
        <f t="shared" si="75"/>
        <v>0</v>
      </c>
      <c r="Q80" s="176"/>
    </row>
    <row r="81" spans="1:17" s="23" customFormat="1" ht="16.5" customHeight="1" x14ac:dyDescent="0.25">
      <c r="A81" s="132"/>
      <c r="B81" s="86" t="s">
        <v>55</v>
      </c>
      <c r="C81" s="133">
        <f t="shared" ref="C81:I84" si="77">C73-C77</f>
        <v>0</v>
      </c>
      <c r="D81" s="133">
        <f t="shared" si="77"/>
        <v>0</v>
      </c>
      <c r="E81" s="133">
        <f>E73-E77</f>
        <v>0</v>
      </c>
      <c r="F81" s="133">
        <f t="shared" si="77"/>
        <v>0</v>
      </c>
      <c r="G81" s="133">
        <f t="shared" si="77"/>
        <v>0</v>
      </c>
      <c r="H81" s="133">
        <f t="shared" si="77"/>
        <v>10000</v>
      </c>
      <c r="I81" s="133">
        <f t="shared" si="77"/>
        <v>27138</v>
      </c>
      <c r="J81" s="133">
        <f t="shared" ref="J81:P83" si="78">J73-J77</f>
        <v>0</v>
      </c>
      <c r="K81" s="133">
        <f t="shared" si="78"/>
        <v>0</v>
      </c>
      <c r="L81" s="133">
        <f t="shared" ref="L81:M83" si="79">L73-L77</f>
        <v>0</v>
      </c>
      <c r="M81" s="133">
        <f t="shared" si="79"/>
        <v>0</v>
      </c>
      <c r="N81" s="133">
        <f t="shared" ref="N81" si="80">N73-N77</f>
        <v>0</v>
      </c>
      <c r="O81" s="133">
        <f t="shared" si="78"/>
        <v>0</v>
      </c>
      <c r="P81" s="133">
        <f t="shared" si="78"/>
        <v>7019.3480000000563</v>
      </c>
      <c r="Q81" s="177"/>
    </row>
    <row r="82" spans="1:17" s="23" customFormat="1" ht="16.5" customHeight="1" x14ac:dyDescent="0.25">
      <c r="A82" s="134"/>
      <c r="B82" s="89" t="s">
        <v>140</v>
      </c>
      <c r="C82" s="135">
        <f t="shared" si="77"/>
        <v>-519695</v>
      </c>
      <c r="D82" s="135">
        <f t="shared" si="77"/>
        <v>-2616</v>
      </c>
      <c r="E82" s="135">
        <f>E74-E78</f>
        <v>0</v>
      </c>
      <c r="F82" s="135">
        <f t="shared" si="77"/>
        <v>-20283</v>
      </c>
      <c r="G82" s="135">
        <f t="shared" si="77"/>
        <v>0</v>
      </c>
      <c r="H82" s="135">
        <f t="shared" si="77"/>
        <v>-532594</v>
      </c>
      <c r="I82" s="135">
        <f t="shared" si="77"/>
        <v>-437236</v>
      </c>
      <c r="J82" s="135">
        <f t="shared" si="78"/>
        <v>-565989</v>
      </c>
      <c r="K82" s="135">
        <f t="shared" si="78"/>
        <v>0</v>
      </c>
      <c r="L82" s="135">
        <f t="shared" si="79"/>
        <v>-7550</v>
      </c>
      <c r="M82" s="135">
        <f t="shared" si="79"/>
        <v>-221</v>
      </c>
      <c r="N82" s="135">
        <f t="shared" ref="N82" si="81">N74-N78</f>
        <v>1300</v>
      </c>
      <c r="O82" s="135">
        <f t="shared" si="78"/>
        <v>-572460</v>
      </c>
      <c r="P82" s="135">
        <f t="shared" si="78"/>
        <v>-257061.61099999998</v>
      </c>
      <c r="Q82" s="178">
        <f>P82/O82</f>
        <v>0.44904728889354711</v>
      </c>
    </row>
    <row r="83" spans="1:17" s="23" customFormat="1" ht="16.5" customHeight="1" x14ac:dyDescent="0.25">
      <c r="A83" s="134"/>
      <c r="B83" s="89" t="s">
        <v>143</v>
      </c>
      <c r="C83" s="135">
        <f t="shared" si="77"/>
        <v>0</v>
      </c>
      <c r="D83" s="135">
        <f t="shared" si="77"/>
        <v>0</v>
      </c>
      <c r="E83" s="135">
        <f>E75-E79</f>
        <v>0</v>
      </c>
      <c r="F83" s="135">
        <f t="shared" si="77"/>
        <v>0</v>
      </c>
      <c r="G83" s="135">
        <f t="shared" si="77"/>
        <v>0</v>
      </c>
      <c r="H83" s="135">
        <f t="shared" si="77"/>
        <v>0</v>
      </c>
      <c r="I83" s="135">
        <f t="shared" si="77"/>
        <v>-1060</v>
      </c>
      <c r="J83" s="135">
        <f t="shared" si="78"/>
        <v>0</v>
      </c>
      <c r="K83" s="135">
        <f t="shared" si="78"/>
        <v>0</v>
      </c>
      <c r="L83" s="135">
        <f t="shared" si="79"/>
        <v>-500</v>
      </c>
      <c r="M83" s="135">
        <f t="shared" si="79"/>
        <v>0</v>
      </c>
      <c r="N83" s="135">
        <f t="shared" ref="N83" si="82">N75-N79</f>
        <v>-1300</v>
      </c>
      <c r="O83" s="135">
        <f t="shared" si="78"/>
        <v>-1800</v>
      </c>
      <c r="P83" s="135">
        <f t="shared" si="78"/>
        <v>-290.745</v>
      </c>
      <c r="Q83" s="178">
        <f>P83/O83</f>
        <v>0.161525</v>
      </c>
    </row>
    <row r="84" spans="1:17" s="23" customFormat="1" ht="16.5" customHeight="1" x14ac:dyDescent="0.25">
      <c r="A84" s="134"/>
      <c r="B84" s="89" t="s">
        <v>144</v>
      </c>
      <c r="C84" s="135">
        <f t="shared" si="77"/>
        <v>519695</v>
      </c>
      <c r="D84" s="135">
        <f t="shared" si="77"/>
        <v>2616</v>
      </c>
      <c r="E84" s="135">
        <f>E76-E80</f>
        <v>0</v>
      </c>
      <c r="F84" s="135">
        <f t="shared" si="77"/>
        <v>20283</v>
      </c>
      <c r="G84" s="135">
        <f t="shared" si="77"/>
        <v>0</v>
      </c>
      <c r="H84" s="135">
        <f t="shared" si="77"/>
        <v>542594</v>
      </c>
      <c r="I84" s="135">
        <f t="shared" ref="I84:P84" si="83">I72</f>
        <v>465434</v>
      </c>
      <c r="J84" s="135">
        <f t="shared" si="83"/>
        <v>565989</v>
      </c>
      <c r="K84" s="135">
        <f t="shared" si="83"/>
        <v>0</v>
      </c>
      <c r="L84" s="135">
        <f t="shared" si="83"/>
        <v>8050</v>
      </c>
      <c r="M84" s="135">
        <f t="shared" si="83"/>
        <v>221</v>
      </c>
      <c r="N84" s="135">
        <f t="shared" ref="N84" si="84">N72</f>
        <v>0</v>
      </c>
      <c r="O84" s="135">
        <f t="shared" si="83"/>
        <v>574260</v>
      </c>
      <c r="P84" s="135">
        <f t="shared" si="83"/>
        <v>264371.70400000003</v>
      </c>
      <c r="Q84" s="178">
        <f>P84/O84</f>
        <v>0.46036935186152617</v>
      </c>
    </row>
    <row r="88" spans="1:17" x14ac:dyDescent="0.25">
      <c r="A88" s="21"/>
      <c r="B88" s="21"/>
      <c r="J88" s="21"/>
      <c r="K88" s="21"/>
      <c r="L88" s="21"/>
      <c r="M88" s="21"/>
      <c r="N88" s="21"/>
      <c r="O88" s="21"/>
      <c r="P88" s="14"/>
    </row>
    <row r="89" spans="1:17" x14ac:dyDescent="0.25">
      <c r="A89" s="21"/>
      <c r="B89" s="21"/>
      <c r="J89" s="21"/>
      <c r="K89" s="21"/>
      <c r="L89" s="21"/>
      <c r="M89" s="21"/>
      <c r="N89" s="21"/>
      <c r="O89" s="21"/>
      <c r="P89" s="14"/>
    </row>
    <row r="90" spans="1:17" x14ac:dyDescent="0.25">
      <c r="A90" s="21"/>
      <c r="B90" s="21"/>
      <c r="J90" s="21"/>
      <c r="K90" s="21"/>
      <c r="L90" s="21"/>
      <c r="M90" s="21"/>
      <c r="N90" s="21"/>
      <c r="O90" s="21"/>
      <c r="P90" s="14"/>
    </row>
    <row r="91" spans="1:17" x14ac:dyDescent="0.25">
      <c r="A91" s="21"/>
      <c r="B91" s="21"/>
      <c r="J91" s="21"/>
      <c r="K91" s="21"/>
      <c r="L91" s="21"/>
      <c r="M91" s="21"/>
      <c r="N91" s="21"/>
      <c r="O91" s="21"/>
      <c r="P91" s="14"/>
    </row>
    <row r="92" spans="1:17" x14ac:dyDescent="0.25">
      <c r="A92" s="21"/>
      <c r="B92" s="21"/>
      <c r="J92" s="21"/>
      <c r="K92" s="21"/>
      <c r="L92" s="21"/>
      <c r="M92" s="21"/>
      <c r="N92" s="21"/>
      <c r="O92" s="21"/>
      <c r="P92" s="14"/>
    </row>
    <row r="93" spans="1:17" x14ac:dyDescent="0.25">
      <c r="A93" s="21"/>
      <c r="B93" s="21"/>
      <c r="J93" s="21"/>
      <c r="K93" s="21"/>
      <c r="L93" s="21"/>
      <c r="M93" s="21"/>
      <c r="N93" s="21"/>
      <c r="O93" s="21"/>
      <c r="P93" s="14"/>
    </row>
    <row r="94" spans="1:17" x14ac:dyDescent="0.25">
      <c r="A94" s="21"/>
      <c r="B94" s="21"/>
      <c r="J94" s="21"/>
      <c r="K94" s="21"/>
      <c r="L94" s="21"/>
      <c r="M94" s="21"/>
      <c r="N94" s="21"/>
      <c r="O94" s="21"/>
      <c r="P94" s="14"/>
    </row>
    <row r="95" spans="1:17" x14ac:dyDescent="0.25">
      <c r="A95" s="21"/>
      <c r="B95" s="21"/>
      <c r="J95" s="21"/>
      <c r="K95" s="21"/>
      <c r="L95" s="21"/>
      <c r="M95" s="21"/>
      <c r="N95" s="21"/>
      <c r="O95" s="21"/>
      <c r="P95" s="14"/>
    </row>
    <row r="96" spans="1:17" ht="14.45" customHeight="1" x14ac:dyDescent="0.25">
      <c r="A96" s="21"/>
      <c r="B96" s="21"/>
      <c r="J96" s="21"/>
      <c r="K96" s="21"/>
      <c r="L96" s="21"/>
      <c r="M96" s="21"/>
      <c r="N96" s="21"/>
      <c r="O96" s="21"/>
      <c r="P96" s="14"/>
    </row>
    <row r="97" spans="1:16" ht="14.45" customHeight="1" x14ac:dyDescent="0.25">
      <c r="A97" s="21"/>
      <c r="B97" s="21"/>
      <c r="J97" s="21"/>
      <c r="K97" s="21"/>
      <c r="L97" s="21"/>
      <c r="M97" s="21"/>
      <c r="N97" s="21"/>
      <c r="O97" s="21"/>
      <c r="P97" s="14"/>
    </row>
    <row r="98" spans="1:16" x14ac:dyDescent="0.25">
      <c r="A98" s="21"/>
      <c r="B98" s="21"/>
      <c r="J98" s="21"/>
      <c r="K98" s="21"/>
      <c r="L98" s="21"/>
      <c r="M98" s="21"/>
      <c r="N98" s="21"/>
      <c r="O98" s="21"/>
      <c r="P98" s="14"/>
    </row>
    <row r="99" spans="1:16" x14ac:dyDescent="0.25">
      <c r="A99" s="21"/>
      <c r="B99" s="21"/>
      <c r="J99" s="21"/>
      <c r="K99" s="21"/>
      <c r="L99" s="21"/>
      <c r="M99" s="21"/>
      <c r="N99" s="21"/>
      <c r="O99" s="21"/>
      <c r="P99" s="14"/>
    </row>
    <row r="100" spans="1:16" x14ac:dyDescent="0.25">
      <c r="A100" s="21"/>
      <c r="B100" s="21"/>
      <c r="J100" s="21"/>
      <c r="K100" s="21"/>
      <c r="L100" s="21"/>
      <c r="M100" s="21"/>
      <c r="N100" s="21"/>
      <c r="O100" s="21"/>
      <c r="P100" s="14"/>
    </row>
    <row r="101" spans="1:16" x14ac:dyDescent="0.25">
      <c r="A101" s="21"/>
      <c r="B101" s="21"/>
      <c r="J101" s="21"/>
      <c r="K101" s="21"/>
      <c r="L101" s="21"/>
      <c r="M101" s="21"/>
      <c r="N101" s="21"/>
      <c r="O101" s="21"/>
      <c r="P101" s="14"/>
    </row>
    <row r="102" spans="1:16" x14ac:dyDescent="0.25">
      <c r="A102" s="21"/>
      <c r="B102" s="21"/>
      <c r="J102" s="21"/>
      <c r="K102" s="21"/>
      <c r="L102" s="21"/>
      <c r="M102" s="21"/>
      <c r="N102" s="21"/>
      <c r="O102" s="21"/>
      <c r="P102" s="14"/>
    </row>
    <row r="103" spans="1:16" x14ac:dyDescent="0.25">
      <c r="A103" s="21"/>
      <c r="B103" s="21"/>
      <c r="J103" s="21"/>
      <c r="K103" s="21"/>
      <c r="L103" s="21"/>
      <c r="M103" s="21"/>
      <c r="N103" s="21"/>
      <c r="O103" s="21"/>
      <c r="P103" s="14"/>
    </row>
    <row r="104" spans="1:16" x14ac:dyDescent="0.25">
      <c r="A104" s="21"/>
      <c r="B104" s="21"/>
      <c r="J104" s="21"/>
      <c r="K104" s="21"/>
      <c r="L104" s="21"/>
      <c r="M104" s="21"/>
      <c r="N104" s="21"/>
      <c r="O104" s="21"/>
      <c r="P104" s="14"/>
    </row>
    <row r="105" spans="1:16" x14ac:dyDescent="0.25">
      <c r="A105" s="21"/>
      <c r="B105" s="21"/>
      <c r="J105" s="21"/>
      <c r="K105" s="21"/>
      <c r="L105" s="21"/>
      <c r="M105" s="21"/>
      <c r="N105" s="21"/>
      <c r="O105" s="21"/>
      <c r="P105" s="14"/>
    </row>
    <row r="106" spans="1:16" x14ac:dyDescent="0.25">
      <c r="A106" s="21"/>
      <c r="B106" s="21"/>
      <c r="J106" s="21"/>
      <c r="K106" s="21"/>
      <c r="L106" s="21"/>
      <c r="M106" s="21"/>
      <c r="N106" s="21"/>
      <c r="O106" s="21"/>
      <c r="P106" s="14"/>
    </row>
    <row r="107" spans="1:16" x14ac:dyDescent="0.25">
      <c r="A107" s="21"/>
      <c r="B107" s="21"/>
      <c r="J107" s="21"/>
      <c r="K107" s="21"/>
      <c r="L107" s="21"/>
      <c r="M107" s="21"/>
      <c r="N107" s="21"/>
      <c r="O107" s="21"/>
      <c r="P107" s="14"/>
    </row>
    <row r="108" spans="1:16" x14ac:dyDescent="0.25">
      <c r="A108" s="21"/>
      <c r="B108" s="21"/>
      <c r="J108" s="21"/>
      <c r="K108" s="21"/>
      <c r="L108" s="21"/>
      <c r="M108" s="21"/>
      <c r="N108" s="21"/>
      <c r="O108" s="21"/>
      <c r="P108" s="14"/>
    </row>
    <row r="109" spans="1:16" x14ac:dyDescent="0.25">
      <c r="A109" s="21"/>
      <c r="B109" s="21"/>
      <c r="J109" s="21"/>
      <c r="K109" s="21"/>
      <c r="L109" s="21"/>
      <c r="M109" s="21"/>
      <c r="N109" s="21"/>
      <c r="O109" s="21"/>
      <c r="P109" s="14"/>
    </row>
    <row r="110" spans="1:16" x14ac:dyDescent="0.25">
      <c r="A110" s="21"/>
      <c r="B110" s="21"/>
      <c r="J110" s="21"/>
      <c r="K110" s="21"/>
      <c r="L110" s="21"/>
      <c r="M110" s="21"/>
      <c r="N110" s="21"/>
      <c r="O110" s="21"/>
      <c r="P110" s="14"/>
    </row>
    <row r="111" spans="1:16" x14ac:dyDescent="0.25">
      <c r="A111" s="21"/>
      <c r="B111" s="21"/>
      <c r="J111" s="21"/>
      <c r="K111" s="21"/>
      <c r="L111" s="21"/>
      <c r="M111" s="21"/>
      <c r="N111" s="21"/>
      <c r="O111" s="21"/>
      <c r="P111" s="14"/>
    </row>
    <row r="112" spans="1:16" x14ac:dyDescent="0.25">
      <c r="A112" s="21"/>
      <c r="B112" s="21"/>
      <c r="J112" s="21"/>
      <c r="K112" s="21"/>
      <c r="L112" s="21"/>
      <c r="M112" s="21"/>
      <c r="N112" s="21"/>
      <c r="O112" s="21"/>
      <c r="P112" s="14"/>
    </row>
    <row r="113" spans="1:16" x14ac:dyDescent="0.25">
      <c r="A113" s="21"/>
      <c r="B113" s="21"/>
      <c r="J113" s="21"/>
      <c r="K113" s="21"/>
      <c r="L113" s="21"/>
      <c r="M113" s="21"/>
      <c r="N113" s="21"/>
      <c r="O113" s="21"/>
      <c r="P113" s="14"/>
    </row>
    <row r="121" spans="1:16" x14ac:dyDescent="0.25">
      <c r="A121" s="21"/>
      <c r="B121" s="21"/>
      <c r="J121" s="21"/>
      <c r="K121" s="21"/>
      <c r="L121" s="21"/>
      <c r="M121" s="21"/>
      <c r="N121" s="21"/>
      <c r="O121" s="21"/>
      <c r="P121" s="14"/>
    </row>
  </sheetData>
  <mergeCells count="6">
    <mergeCell ref="P1:Q1"/>
    <mergeCell ref="J1:O1"/>
    <mergeCell ref="A1:A2"/>
    <mergeCell ref="B1:B2"/>
    <mergeCell ref="C1:H1"/>
    <mergeCell ref="I1:I2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61" orientation="portrait" r:id="rId1"/>
  <headerFooter>
    <oddHeader>&amp;C&amp;"Times New Roman,Félkövér"&amp;10Szentendre Város Önkormányzat összevont bevételei és kiadásai mérlegszerűen 
2016. év&amp;R&amp;"Times New Roman,Normál"&amp;10 1f. sz. melléklet
EFt</oddHeader>
    <oddFooter>&amp;R&amp;D</oddFooter>
  </headerFooter>
  <rowBreaks count="1" manualBreakCount="1">
    <brk id="11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21"/>
  <sheetViews>
    <sheetView view="pageBreakPreview" zoomScale="90" zoomScaleNormal="90" zoomScaleSheetLayoutView="90" workbookViewId="0">
      <pane xSplit="2" ySplit="2" topLeftCell="I54" activePane="bottomRight" state="frozen"/>
      <selection activeCell="B6" sqref="B6"/>
      <selection pane="topRight" activeCell="B6" sqref="B6"/>
      <selection pane="bottomLeft" activeCell="B6" sqref="B6"/>
      <selection pane="bottomRight" activeCell="I84" sqref="I84:M84"/>
    </sheetView>
  </sheetViews>
  <sheetFormatPr defaultColWidth="9.28515625" defaultRowHeight="15" x14ac:dyDescent="0.25"/>
  <cols>
    <col min="1" max="1" width="7.85546875" style="14" customWidth="1"/>
    <col min="2" max="2" width="68.5703125" style="14" customWidth="1"/>
    <col min="3" max="3" width="15.7109375" style="9" hidden="1" customWidth="1"/>
    <col min="4" max="5" width="13" style="9" hidden="1" customWidth="1"/>
    <col min="6" max="6" width="15.7109375" style="14" hidden="1" customWidth="1"/>
    <col min="7" max="8" width="16" style="18" hidden="1" customWidth="1"/>
    <col min="9" max="14" width="14.7109375" style="17" customWidth="1"/>
    <col min="15" max="15" width="13.140625" style="17" hidden="1" customWidth="1"/>
    <col min="16" max="16" width="9.28515625" style="155" hidden="1" customWidth="1"/>
    <col min="17" max="18" width="9.28515625" style="14" customWidth="1"/>
    <col min="19" max="19" width="17.85546875" style="14" customWidth="1"/>
    <col min="20" max="26" width="9.28515625" style="14" customWidth="1"/>
    <col min="27" max="16384" width="9.28515625" style="14"/>
  </cols>
  <sheetData>
    <row r="1" spans="1:16" ht="29.25" customHeight="1" x14ac:dyDescent="0.25">
      <c r="A1" s="201"/>
      <c r="B1" s="202" t="s">
        <v>119</v>
      </c>
      <c r="C1" s="200" t="s">
        <v>162</v>
      </c>
      <c r="D1" s="200"/>
      <c r="E1" s="200"/>
      <c r="F1" s="200"/>
      <c r="G1" s="200"/>
      <c r="H1" s="193" t="s">
        <v>176</v>
      </c>
      <c r="I1" s="200" t="s">
        <v>173</v>
      </c>
      <c r="J1" s="200"/>
      <c r="K1" s="200"/>
      <c r="L1" s="200"/>
      <c r="M1" s="200"/>
      <c r="N1" s="200"/>
      <c r="O1" s="195" t="s">
        <v>187</v>
      </c>
      <c r="P1" s="196"/>
    </row>
    <row r="2" spans="1:16" s="15" customFormat="1" ht="46.5" customHeight="1" x14ac:dyDescent="0.25">
      <c r="A2" s="201"/>
      <c r="B2" s="202"/>
      <c r="C2" s="39" t="s">
        <v>8</v>
      </c>
      <c r="D2" s="39" t="s">
        <v>166</v>
      </c>
      <c r="E2" s="39" t="s">
        <v>174</v>
      </c>
      <c r="F2" s="39" t="s">
        <v>9</v>
      </c>
      <c r="G2" s="39" t="s">
        <v>167</v>
      </c>
      <c r="H2" s="193"/>
      <c r="I2" s="39" t="s">
        <v>8</v>
      </c>
      <c r="J2" s="39" t="s">
        <v>9</v>
      </c>
      <c r="K2" s="39" t="s">
        <v>166</v>
      </c>
      <c r="L2" s="181" t="s">
        <v>192</v>
      </c>
      <c r="M2" s="183" t="s">
        <v>194</v>
      </c>
      <c r="N2" s="39" t="s">
        <v>186</v>
      </c>
      <c r="O2" s="159" t="s">
        <v>190</v>
      </c>
      <c r="P2" s="159" t="s">
        <v>191</v>
      </c>
    </row>
    <row r="3" spans="1:16" ht="16.5" customHeight="1" x14ac:dyDescent="0.25">
      <c r="A3" s="97" t="s">
        <v>0</v>
      </c>
      <c r="B3" s="98" t="s">
        <v>91</v>
      </c>
      <c r="C3" s="99">
        <f t="shared" ref="C3:G3" si="0">C6+C7+C8+C15+C27+C31+C32</f>
        <v>18452</v>
      </c>
      <c r="D3" s="99">
        <f t="shared" si="0"/>
        <v>2600</v>
      </c>
      <c r="E3" s="99">
        <f t="shared" si="0"/>
        <v>811</v>
      </c>
      <c r="F3" s="99">
        <f t="shared" si="0"/>
        <v>0</v>
      </c>
      <c r="G3" s="99">
        <f t="shared" si="0"/>
        <v>21863</v>
      </c>
      <c r="H3" s="99">
        <f t="shared" ref="H3:N3" si="1">H6+H7+H8+H15+H27+H31+H32</f>
        <v>23045</v>
      </c>
      <c r="I3" s="99">
        <f t="shared" si="1"/>
        <v>14955</v>
      </c>
      <c r="J3" s="99">
        <f t="shared" si="1"/>
        <v>0</v>
      </c>
      <c r="K3" s="99">
        <f t="shared" si="1"/>
        <v>0</v>
      </c>
      <c r="L3" s="99">
        <f t="shared" si="1"/>
        <v>0</v>
      </c>
      <c r="M3" s="99">
        <f t="shared" si="1"/>
        <v>0</v>
      </c>
      <c r="N3" s="99">
        <f t="shared" si="1"/>
        <v>14955</v>
      </c>
      <c r="O3" s="99">
        <f>O6+O7+O8+O15+O27+O31+O32</f>
        <v>8230.7960000000003</v>
      </c>
      <c r="P3" s="161">
        <f t="shared" ref="P3" si="2">O3/N3</f>
        <v>0.5503708458709462</v>
      </c>
    </row>
    <row r="4" spans="1:16" ht="16.5" customHeight="1" x14ac:dyDescent="0.25">
      <c r="A4" s="100" t="s">
        <v>92</v>
      </c>
      <c r="B4" s="100" t="s">
        <v>12</v>
      </c>
      <c r="C4" s="101"/>
      <c r="D4" s="101"/>
      <c r="E4" s="101"/>
      <c r="F4" s="101"/>
      <c r="G4" s="101">
        <f>SUM(C4:F4)</f>
        <v>0</v>
      </c>
      <c r="H4" s="101"/>
      <c r="I4" s="101"/>
      <c r="J4" s="101"/>
      <c r="K4" s="101"/>
      <c r="L4" s="101"/>
      <c r="M4" s="101"/>
      <c r="N4" s="101">
        <f>I4+J4+K4+L4+M4</f>
        <v>0</v>
      </c>
      <c r="O4" s="101"/>
      <c r="P4" s="162"/>
    </row>
    <row r="5" spans="1:16" ht="16.5" customHeight="1" x14ac:dyDescent="0.25">
      <c r="A5" s="100" t="s">
        <v>163</v>
      </c>
      <c r="B5" s="100" t="s">
        <v>164</v>
      </c>
      <c r="C5" s="101"/>
      <c r="D5" s="101"/>
      <c r="E5" s="101"/>
      <c r="F5" s="101"/>
      <c r="G5" s="101">
        <f>SUM(C5:F5)</f>
        <v>0</v>
      </c>
      <c r="H5" s="101"/>
      <c r="I5" s="101"/>
      <c r="J5" s="101"/>
      <c r="K5" s="101"/>
      <c r="L5" s="101"/>
      <c r="M5" s="101"/>
      <c r="N5" s="101">
        <f>I5+J5+K5+L5+M5</f>
        <v>0</v>
      </c>
      <c r="O5" s="101"/>
      <c r="P5" s="162"/>
    </row>
    <row r="6" spans="1:16" ht="16.5" customHeight="1" x14ac:dyDescent="0.25">
      <c r="A6" s="102" t="s">
        <v>93</v>
      </c>
      <c r="B6" s="102" t="s">
        <v>13</v>
      </c>
      <c r="C6" s="103">
        <f t="shared" ref="C6:G6" si="3">SUM(C4:C5)</f>
        <v>0</v>
      </c>
      <c r="D6" s="103">
        <f t="shared" si="3"/>
        <v>0</v>
      </c>
      <c r="E6" s="103"/>
      <c r="F6" s="103">
        <f t="shared" si="3"/>
        <v>0</v>
      </c>
      <c r="G6" s="103">
        <f t="shared" si="3"/>
        <v>0</v>
      </c>
      <c r="H6" s="103">
        <f t="shared" ref="H6:N6" si="4">SUM(H4:H5)</f>
        <v>0</v>
      </c>
      <c r="I6" s="103">
        <f t="shared" si="4"/>
        <v>0</v>
      </c>
      <c r="J6" s="103">
        <f t="shared" si="4"/>
        <v>0</v>
      </c>
      <c r="K6" s="103">
        <f t="shared" si="4"/>
        <v>0</v>
      </c>
      <c r="L6" s="103">
        <f t="shared" si="4"/>
        <v>0</v>
      </c>
      <c r="M6" s="103">
        <f t="shared" si="4"/>
        <v>0</v>
      </c>
      <c r="N6" s="103">
        <f t="shared" si="4"/>
        <v>0</v>
      </c>
      <c r="O6" s="103">
        <f>SUM(O4:O5)</f>
        <v>0</v>
      </c>
      <c r="P6" s="163"/>
    </row>
    <row r="7" spans="1:16" ht="16.5" customHeight="1" x14ac:dyDescent="0.25">
      <c r="A7" s="102" t="s">
        <v>94</v>
      </c>
      <c r="B7" s="102" t="s">
        <v>14</v>
      </c>
      <c r="C7" s="103"/>
      <c r="D7" s="103"/>
      <c r="E7" s="103"/>
      <c r="F7" s="103"/>
      <c r="G7" s="103">
        <f>SUM(C7:F7)</f>
        <v>0</v>
      </c>
      <c r="H7" s="103"/>
      <c r="I7" s="103">
        <v>0</v>
      </c>
      <c r="J7" s="103">
        <v>0</v>
      </c>
      <c r="K7" s="103">
        <v>0</v>
      </c>
      <c r="L7" s="103">
        <v>0</v>
      </c>
      <c r="M7" s="103"/>
      <c r="N7" s="103">
        <f>I7+J7+K7+L7+M7</f>
        <v>0</v>
      </c>
      <c r="O7" s="103"/>
      <c r="P7" s="164"/>
    </row>
    <row r="8" spans="1:16" ht="16.5" customHeight="1" x14ac:dyDescent="0.25">
      <c r="A8" s="102" t="s">
        <v>95</v>
      </c>
      <c r="B8" s="104" t="s">
        <v>4</v>
      </c>
      <c r="C8" s="103">
        <f>SUM(C9,C10,C14)</f>
        <v>0</v>
      </c>
      <c r="D8" s="103">
        <f>SUM(D9,D10,D14)</f>
        <v>0</v>
      </c>
      <c r="E8" s="103"/>
      <c r="F8" s="103">
        <f>SUM(F9,F10,F14)</f>
        <v>0</v>
      </c>
      <c r="G8" s="103">
        <f>SUM(G9,G10,G14)</f>
        <v>0</v>
      </c>
      <c r="H8" s="103">
        <f>SUM(H9,H10,H14)</f>
        <v>0</v>
      </c>
      <c r="I8" s="103">
        <f>SUM(I9,I10,I14)</f>
        <v>0</v>
      </c>
      <c r="J8" s="103">
        <f t="shared" ref="J8:O8" si="5">J9+J11+J12+J13+J14</f>
        <v>0</v>
      </c>
      <c r="K8" s="103">
        <f t="shared" si="5"/>
        <v>0</v>
      </c>
      <c r="L8" s="103">
        <f t="shared" si="5"/>
        <v>0</v>
      </c>
      <c r="M8" s="103">
        <f t="shared" si="5"/>
        <v>0</v>
      </c>
      <c r="N8" s="103">
        <f t="shared" si="5"/>
        <v>0</v>
      </c>
      <c r="O8" s="103">
        <f t="shared" si="5"/>
        <v>0</v>
      </c>
      <c r="P8" s="163"/>
    </row>
    <row r="9" spans="1:16" ht="16.5" customHeight="1" x14ac:dyDescent="0.25">
      <c r="A9" s="100" t="s">
        <v>96</v>
      </c>
      <c r="B9" s="105" t="s">
        <v>15</v>
      </c>
      <c r="C9" s="101"/>
      <c r="D9" s="101"/>
      <c r="E9" s="101"/>
      <c r="F9" s="101"/>
      <c r="G9" s="101">
        <f>SUM(C9:F9)</f>
        <v>0</v>
      </c>
      <c r="H9" s="101"/>
      <c r="I9" s="101"/>
      <c r="J9" s="101"/>
      <c r="K9" s="101"/>
      <c r="L9" s="101"/>
      <c r="M9" s="101"/>
      <c r="N9" s="101"/>
      <c r="O9" s="101"/>
      <c r="P9" s="162"/>
    </row>
    <row r="10" spans="1:16" ht="16.5" customHeight="1" x14ac:dyDescent="0.25">
      <c r="A10" s="100" t="s">
        <v>125</v>
      </c>
      <c r="B10" s="105" t="s">
        <v>126</v>
      </c>
      <c r="C10" s="101">
        <f>SUM(C11:C13)</f>
        <v>0</v>
      </c>
      <c r="D10" s="101"/>
      <c r="E10" s="101"/>
      <c r="F10" s="101">
        <f>SUM(F11:F13)</f>
        <v>0</v>
      </c>
      <c r="G10" s="101">
        <f>SUM(G11:G13)</f>
        <v>0</v>
      </c>
      <c r="H10" s="101"/>
      <c r="I10" s="101">
        <f t="shared" ref="I10:O10" si="6">SUM(I11:I13)</f>
        <v>0</v>
      </c>
      <c r="J10" s="101">
        <f t="shared" si="6"/>
        <v>0</v>
      </c>
      <c r="K10" s="101">
        <f t="shared" si="6"/>
        <v>0</v>
      </c>
      <c r="L10" s="101">
        <f t="shared" si="6"/>
        <v>0</v>
      </c>
      <c r="M10" s="101">
        <f t="shared" si="6"/>
        <v>0</v>
      </c>
      <c r="N10" s="101">
        <f t="shared" si="6"/>
        <v>0</v>
      </c>
      <c r="O10" s="101">
        <f t="shared" si="6"/>
        <v>0</v>
      </c>
      <c r="P10" s="162"/>
    </row>
    <row r="11" spans="1:16" ht="16.5" customHeight="1" x14ac:dyDescent="0.25">
      <c r="A11" s="100" t="s">
        <v>97</v>
      </c>
      <c r="B11" s="105" t="s">
        <v>16</v>
      </c>
      <c r="C11" s="101"/>
      <c r="D11" s="101"/>
      <c r="E11" s="101"/>
      <c r="F11" s="101"/>
      <c r="G11" s="101">
        <f>SUM(C11:F11)</f>
        <v>0</v>
      </c>
      <c r="H11" s="101"/>
      <c r="I11" s="101"/>
      <c r="J11" s="101"/>
      <c r="K11" s="101"/>
      <c r="L11" s="101"/>
      <c r="M11" s="101"/>
      <c r="N11" s="101"/>
      <c r="O11" s="101"/>
      <c r="P11" s="162"/>
    </row>
    <row r="12" spans="1:16" ht="16.5" customHeight="1" x14ac:dyDescent="0.25">
      <c r="A12" s="100" t="s">
        <v>98</v>
      </c>
      <c r="B12" s="105" t="s">
        <v>17</v>
      </c>
      <c r="C12" s="101"/>
      <c r="D12" s="101"/>
      <c r="E12" s="101"/>
      <c r="F12" s="101"/>
      <c r="G12" s="101">
        <f>SUM(C12:F12)</f>
        <v>0</v>
      </c>
      <c r="H12" s="101"/>
      <c r="I12" s="101"/>
      <c r="J12" s="101"/>
      <c r="K12" s="101"/>
      <c r="L12" s="101"/>
      <c r="M12" s="101"/>
      <c r="N12" s="101"/>
      <c r="O12" s="101"/>
      <c r="P12" s="162"/>
    </row>
    <row r="13" spans="1:16" ht="16.5" customHeight="1" x14ac:dyDescent="0.25">
      <c r="A13" s="100" t="s">
        <v>99</v>
      </c>
      <c r="B13" s="100" t="s">
        <v>18</v>
      </c>
      <c r="C13" s="101"/>
      <c r="D13" s="101"/>
      <c r="E13" s="101"/>
      <c r="F13" s="101"/>
      <c r="G13" s="101">
        <f>SUM(C13:F13)</f>
        <v>0</v>
      </c>
      <c r="H13" s="101"/>
      <c r="I13" s="101"/>
      <c r="J13" s="101"/>
      <c r="K13" s="101"/>
      <c r="L13" s="101"/>
      <c r="M13" s="101"/>
      <c r="N13" s="101"/>
      <c r="O13" s="101"/>
      <c r="P13" s="162"/>
    </row>
    <row r="14" spans="1:16" ht="16.5" customHeight="1" x14ac:dyDescent="0.25">
      <c r="A14" s="100" t="s">
        <v>100</v>
      </c>
      <c r="B14" s="100" t="s">
        <v>19</v>
      </c>
      <c r="C14" s="101"/>
      <c r="D14" s="101"/>
      <c r="E14" s="101"/>
      <c r="F14" s="101"/>
      <c r="G14" s="101">
        <f>SUM(C14:F14)</f>
        <v>0</v>
      </c>
      <c r="H14" s="101"/>
      <c r="I14" s="101"/>
      <c r="J14" s="101"/>
      <c r="K14" s="101"/>
      <c r="L14" s="101"/>
      <c r="M14" s="101"/>
      <c r="N14" s="101"/>
      <c r="O14" s="101"/>
      <c r="P14" s="162"/>
    </row>
    <row r="15" spans="1:16" ht="16.5" customHeight="1" x14ac:dyDescent="0.25">
      <c r="A15" s="102" t="s">
        <v>101</v>
      </c>
      <c r="B15" s="102" t="s">
        <v>20</v>
      </c>
      <c r="C15" s="103">
        <f t="shared" ref="C15:G15" si="7">SUM(C16:C26)</f>
        <v>18452</v>
      </c>
      <c r="D15" s="103">
        <f t="shared" si="7"/>
        <v>2600</v>
      </c>
      <c r="E15" s="103">
        <f t="shared" si="7"/>
        <v>811</v>
      </c>
      <c r="F15" s="103">
        <f t="shared" si="7"/>
        <v>0</v>
      </c>
      <c r="G15" s="103">
        <f t="shared" si="7"/>
        <v>21863</v>
      </c>
      <c r="H15" s="103">
        <f t="shared" ref="H15:N15" si="8">SUM(H16:H26)</f>
        <v>23045</v>
      </c>
      <c r="I15" s="103">
        <f t="shared" si="8"/>
        <v>14955</v>
      </c>
      <c r="J15" s="103">
        <f t="shared" si="8"/>
        <v>0</v>
      </c>
      <c r="K15" s="103">
        <f t="shared" si="8"/>
        <v>0</v>
      </c>
      <c r="L15" s="103">
        <f t="shared" si="8"/>
        <v>0</v>
      </c>
      <c r="M15" s="103">
        <f t="shared" si="8"/>
        <v>0</v>
      </c>
      <c r="N15" s="103">
        <f t="shared" si="8"/>
        <v>14955</v>
      </c>
      <c r="O15" s="103">
        <f>SUM(O16:O26)</f>
        <v>8230.7960000000003</v>
      </c>
      <c r="P15" s="165">
        <f>O15/N15</f>
        <v>0.5503708458709462</v>
      </c>
    </row>
    <row r="16" spans="1:16" ht="16.5" hidden="1" customHeight="1" x14ac:dyDescent="0.25">
      <c r="A16" s="105" t="s">
        <v>102</v>
      </c>
      <c r="B16" s="106" t="s">
        <v>21</v>
      </c>
      <c r="C16" s="107"/>
      <c r="D16" s="107"/>
      <c r="E16" s="107"/>
      <c r="F16" s="107"/>
      <c r="G16" s="107">
        <f>SUM(C16:F16)</f>
        <v>0</v>
      </c>
      <c r="H16" s="107"/>
      <c r="I16" s="107"/>
      <c r="J16" s="107"/>
      <c r="K16" s="107"/>
      <c r="L16" s="107"/>
      <c r="M16" s="107"/>
      <c r="N16" s="107">
        <f>I16+J16+K16+L16+M16</f>
        <v>0</v>
      </c>
      <c r="O16" s="107"/>
      <c r="P16" s="162"/>
    </row>
    <row r="17" spans="1:16" ht="16.5" hidden="1" customHeight="1" x14ac:dyDescent="0.25">
      <c r="A17" s="105" t="s">
        <v>103</v>
      </c>
      <c r="B17" s="106" t="s">
        <v>22</v>
      </c>
      <c r="C17" s="107"/>
      <c r="D17" s="101"/>
      <c r="E17" s="107"/>
      <c r="F17" s="101"/>
      <c r="G17" s="107">
        <f t="shared" ref="G17:G46" si="9">SUM(C17:F17)</f>
        <v>0</v>
      </c>
      <c r="H17" s="107"/>
      <c r="I17" s="107"/>
      <c r="J17" s="101"/>
      <c r="K17" s="101"/>
      <c r="L17" s="101"/>
      <c r="M17" s="101"/>
      <c r="N17" s="101">
        <f>I17+J17+K17+L17+M17</f>
        <v>0</v>
      </c>
      <c r="O17" s="101"/>
      <c r="P17" s="162"/>
    </row>
    <row r="18" spans="1:16" ht="16.5" hidden="1" customHeight="1" x14ac:dyDescent="0.25">
      <c r="A18" s="105" t="s">
        <v>104</v>
      </c>
      <c r="B18" s="106" t="s">
        <v>23</v>
      </c>
      <c r="C18" s="107">
        <v>2200</v>
      </c>
      <c r="D18" s="101">
        <f>[3]összefogl!$F$76</f>
        <v>800</v>
      </c>
      <c r="E18" s="107"/>
      <c r="F18" s="101"/>
      <c r="G18" s="107">
        <f t="shared" si="9"/>
        <v>3000</v>
      </c>
      <c r="H18" s="107">
        <v>3680</v>
      </c>
      <c r="I18" s="107">
        <v>2200</v>
      </c>
      <c r="J18" s="101"/>
      <c r="K18" s="101"/>
      <c r="L18" s="101"/>
      <c r="M18" s="101"/>
      <c r="N18" s="101">
        <f>SUM(I18:M18)</f>
        <v>2200</v>
      </c>
      <c r="O18" s="101">
        <v>996.51900000000001</v>
      </c>
      <c r="P18" s="162">
        <f t="shared" ref="P18:P23" si="10">O18/N18</f>
        <v>0.45296318181818185</v>
      </c>
    </row>
    <row r="19" spans="1:16" ht="16.5" hidden="1" customHeight="1" x14ac:dyDescent="0.25">
      <c r="A19" s="105" t="s">
        <v>105</v>
      </c>
      <c r="B19" s="106" t="s">
        <v>24</v>
      </c>
      <c r="C19" s="107"/>
      <c r="D19" s="101"/>
      <c r="E19" s="107"/>
      <c r="F19" s="101"/>
      <c r="G19" s="107">
        <f t="shared" si="9"/>
        <v>0</v>
      </c>
      <c r="H19" s="107"/>
      <c r="I19" s="107"/>
      <c r="J19" s="101"/>
      <c r="K19" s="101"/>
      <c r="L19" s="101"/>
      <c r="M19" s="101"/>
      <c r="N19" s="101"/>
      <c r="O19" s="101"/>
      <c r="P19" s="162"/>
    </row>
    <row r="20" spans="1:16" ht="16.5" hidden="1" customHeight="1" x14ac:dyDescent="0.25">
      <c r="A20" s="105" t="s">
        <v>106</v>
      </c>
      <c r="B20" s="106" t="s">
        <v>25</v>
      </c>
      <c r="C20" s="107">
        <v>11998</v>
      </c>
      <c r="D20" s="101">
        <f>[3]összefogl!$H$76</f>
        <v>1800</v>
      </c>
      <c r="E20" s="107"/>
      <c r="F20" s="101"/>
      <c r="G20" s="107">
        <f t="shared" si="9"/>
        <v>13798</v>
      </c>
      <c r="H20" s="107">
        <v>14634</v>
      </c>
      <c r="I20" s="107">
        <f>13200-3622</f>
        <v>9578</v>
      </c>
      <c r="J20" s="101"/>
      <c r="K20" s="101"/>
      <c r="L20" s="101"/>
      <c r="M20" s="101"/>
      <c r="N20" s="101">
        <f>SUM(I20:M20)</f>
        <v>9578</v>
      </c>
      <c r="O20" s="101">
        <v>6017.8850000000002</v>
      </c>
      <c r="P20" s="162">
        <f t="shared" si="10"/>
        <v>0.62830288160367509</v>
      </c>
    </row>
    <row r="21" spans="1:16" ht="16.5" hidden="1" customHeight="1" x14ac:dyDescent="0.25">
      <c r="A21" s="105" t="s">
        <v>107</v>
      </c>
      <c r="B21" s="106" t="s">
        <v>26</v>
      </c>
      <c r="C21" s="107">
        <v>3239</v>
      </c>
      <c r="D21" s="101"/>
      <c r="E21" s="107">
        <v>811</v>
      </c>
      <c r="F21" s="101"/>
      <c r="G21" s="107">
        <f t="shared" si="9"/>
        <v>4050</v>
      </c>
      <c r="H21" s="107">
        <v>2927</v>
      </c>
      <c r="I21" s="107">
        <f>2940-978</f>
        <v>1962</v>
      </c>
      <c r="J21" s="101"/>
      <c r="K21" s="101"/>
      <c r="L21" s="101"/>
      <c r="M21" s="101"/>
      <c r="N21" s="101">
        <f>SUM(I21:M21)</f>
        <v>1962</v>
      </c>
      <c r="O21" s="101">
        <v>703.53899999999999</v>
      </c>
      <c r="P21" s="162">
        <f t="shared" si="10"/>
        <v>0.35858256880733946</v>
      </c>
    </row>
    <row r="22" spans="1:16" ht="16.5" hidden="1" customHeight="1" x14ac:dyDescent="0.25">
      <c r="A22" s="105" t="s">
        <v>108</v>
      </c>
      <c r="B22" s="106" t="s">
        <v>27</v>
      </c>
      <c r="C22" s="107">
        <v>1000</v>
      </c>
      <c r="D22" s="101"/>
      <c r="E22" s="107"/>
      <c r="F22" s="101"/>
      <c r="G22" s="107">
        <f t="shared" si="9"/>
        <v>1000</v>
      </c>
      <c r="H22" s="107">
        <v>1788</v>
      </c>
      <c r="I22" s="107">
        <v>1200</v>
      </c>
      <c r="J22" s="101"/>
      <c r="K22" s="101"/>
      <c r="L22" s="101"/>
      <c r="M22" s="101"/>
      <c r="N22" s="101">
        <f>SUM(I22:M22)</f>
        <v>1200</v>
      </c>
      <c r="O22" s="101">
        <v>487.82799999999997</v>
      </c>
      <c r="P22" s="162">
        <f t="shared" si="10"/>
        <v>0.40652333333333329</v>
      </c>
    </row>
    <row r="23" spans="1:16" ht="16.5" hidden="1" customHeight="1" x14ac:dyDescent="0.25">
      <c r="A23" s="105" t="s">
        <v>109</v>
      </c>
      <c r="B23" s="106" t="s">
        <v>28</v>
      </c>
      <c r="C23" s="107">
        <v>15</v>
      </c>
      <c r="D23" s="101"/>
      <c r="E23" s="107"/>
      <c r="F23" s="101"/>
      <c r="G23" s="107">
        <f t="shared" si="9"/>
        <v>15</v>
      </c>
      <c r="H23" s="107">
        <v>16</v>
      </c>
      <c r="I23" s="107">
        <v>15</v>
      </c>
      <c r="J23" s="101"/>
      <c r="K23" s="101"/>
      <c r="L23" s="101"/>
      <c r="M23" s="101"/>
      <c r="N23" s="101">
        <f>SUM(I23:M23)</f>
        <v>15</v>
      </c>
      <c r="O23" s="101">
        <v>4.4009999999999998</v>
      </c>
      <c r="P23" s="162">
        <f t="shared" si="10"/>
        <v>0.29339999999999999</v>
      </c>
    </row>
    <row r="24" spans="1:16" ht="16.5" hidden="1" customHeight="1" x14ac:dyDescent="0.25">
      <c r="A24" s="105" t="s">
        <v>110</v>
      </c>
      <c r="B24" s="106" t="s">
        <v>29</v>
      </c>
      <c r="C24" s="107"/>
      <c r="D24" s="101"/>
      <c r="E24" s="107"/>
      <c r="F24" s="101"/>
      <c r="G24" s="107">
        <f t="shared" si="9"/>
        <v>0</v>
      </c>
      <c r="H24" s="107"/>
      <c r="I24" s="107"/>
      <c r="J24" s="101"/>
      <c r="K24" s="101"/>
      <c r="L24" s="101"/>
      <c r="M24" s="101"/>
      <c r="N24" s="101"/>
      <c r="O24" s="101"/>
      <c r="P24" s="162"/>
    </row>
    <row r="25" spans="1:16" ht="16.5" hidden="1" customHeight="1" x14ac:dyDescent="0.25">
      <c r="A25" s="105" t="s">
        <v>111</v>
      </c>
      <c r="B25" s="54" t="s">
        <v>177</v>
      </c>
      <c r="C25" s="107"/>
      <c r="D25" s="101"/>
      <c r="E25" s="107"/>
      <c r="F25" s="101"/>
      <c r="G25" s="107"/>
      <c r="H25" s="107"/>
      <c r="I25" s="107"/>
      <c r="J25" s="101"/>
      <c r="K25" s="101"/>
      <c r="L25" s="101"/>
      <c r="M25" s="101"/>
      <c r="N25" s="101"/>
      <c r="O25" s="101"/>
      <c r="P25" s="162"/>
    </row>
    <row r="26" spans="1:16" ht="16.5" hidden="1" customHeight="1" x14ac:dyDescent="0.25">
      <c r="A26" s="105" t="s">
        <v>165</v>
      </c>
      <c r="B26" s="106" t="s">
        <v>30</v>
      </c>
      <c r="C26" s="107"/>
      <c r="D26" s="101"/>
      <c r="E26" s="107"/>
      <c r="F26" s="101"/>
      <c r="G26" s="107">
        <f t="shared" si="9"/>
        <v>0</v>
      </c>
      <c r="H26" s="107"/>
      <c r="I26" s="107"/>
      <c r="J26" s="101"/>
      <c r="K26" s="101"/>
      <c r="L26" s="101"/>
      <c r="M26" s="101"/>
      <c r="N26" s="101">
        <f>SUM(I26:M26)</f>
        <v>0</v>
      </c>
      <c r="O26" s="101">
        <v>20.623999999999999</v>
      </c>
      <c r="P26" s="162"/>
    </row>
    <row r="27" spans="1:16" ht="16.5" customHeight="1" x14ac:dyDescent="0.25">
      <c r="A27" s="102" t="s">
        <v>112</v>
      </c>
      <c r="B27" s="102" t="s">
        <v>31</v>
      </c>
      <c r="C27" s="103">
        <f t="shared" ref="C27:H27" si="11">C28+C29+C30</f>
        <v>0</v>
      </c>
      <c r="D27" s="103">
        <f t="shared" si="11"/>
        <v>0</v>
      </c>
      <c r="E27" s="103"/>
      <c r="F27" s="103">
        <f t="shared" si="11"/>
        <v>0</v>
      </c>
      <c r="G27" s="103">
        <f t="shared" si="11"/>
        <v>0</v>
      </c>
      <c r="H27" s="103">
        <f t="shared" si="11"/>
        <v>0</v>
      </c>
      <c r="I27" s="103">
        <f t="shared" ref="I27:N27" si="12">I28+I29+I30</f>
        <v>0</v>
      </c>
      <c r="J27" s="103">
        <f t="shared" si="12"/>
        <v>0</v>
      </c>
      <c r="K27" s="103">
        <f t="shared" si="12"/>
        <v>0</v>
      </c>
      <c r="L27" s="103">
        <f t="shared" si="12"/>
        <v>0</v>
      </c>
      <c r="M27" s="103">
        <f t="shared" si="12"/>
        <v>0</v>
      </c>
      <c r="N27" s="103">
        <f t="shared" si="12"/>
        <v>0</v>
      </c>
      <c r="O27" s="103">
        <f t="shared" ref="O27" si="13">O28+O29+O30</f>
        <v>0</v>
      </c>
      <c r="P27" s="165"/>
    </row>
    <row r="28" spans="1:16" ht="16.5" hidden="1" customHeight="1" x14ac:dyDescent="0.25">
      <c r="A28" s="105" t="s">
        <v>113</v>
      </c>
      <c r="B28" s="106" t="s">
        <v>32</v>
      </c>
      <c r="C28" s="101"/>
      <c r="D28" s="101"/>
      <c r="E28" s="101"/>
      <c r="F28" s="101"/>
      <c r="G28" s="101">
        <f t="shared" si="9"/>
        <v>0</v>
      </c>
      <c r="H28" s="101"/>
      <c r="I28" s="101"/>
      <c r="J28" s="101"/>
      <c r="K28" s="101"/>
      <c r="L28" s="101"/>
      <c r="M28" s="101"/>
      <c r="N28" s="101"/>
      <c r="O28" s="101"/>
      <c r="P28" s="162"/>
    </row>
    <row r="29" spans="1:16" ht="16.5" hidden="1" customHeight="1" x14ac:dyDescent="0.25">
      <c r="A29" s="105" t="s">
        <v>114</v>
      </c>
      <c r="B29" s="106" t="s">
        <v>33</v>
      </c>
      <c r="C29" s="101"/>
      <c r="D29" s="101"/>
      <c r="E29" s="101"/>
      <c r="F29" s="101"/>
      <c r="G29" s="101">
        <f t="shared" si="9"/>
        <v>0</v>
      </c>
      <c r="H29" s="101"/>
      <c r="I29" s="101"/>
      <c r="J29" s="101"/>
      <c r="K29" s="101"/>
      <c r="L29" s="101"/>
      <c r="M29" s="101"/>
      <c r="N29" s="101"/>
      <c r="O29" s="101"/>
      <c r="P29" s="162"/>
    </row>
    <row r="30" spans="1:16" ht="16.5" hidden="1" customHeight="1" x14ac:dyDescent="0.25">
      <c r="A30" s="105" t="s">
        <v>115</v>
      </c>
      <c r="B30" s="106" t="s">
        <v>34</v>
      </c>
      <c r="C30" s="101"/>
      <c r="D30" s="101"/>
      <c r="E30" s="101"/>
      <c r="F30" s="101"/>
      <c r="G30" s="101">
        <f t="shared" si="9"/>
        <v>0</v>
      </c>
      <c r="H30" s="101"/>
      <c r="I30" s="101"/>
      <c r="J30" s="101"/>
      <c r="K30" s="101"/>
      <c r="L30" s="101"/>
      <c r="M30" s="101"/>
      <c r="N30" s="101"/>
      <c r="O30" s="101"/>
      <c r="P30" s="162"/>
    </row>
    <row r="31" spans="1:16" ht="16.5" customHeight="1" x14ac:dyDescent="0.25">
      <c r="A31" s="104" t="s">
        <v>116</v>
      </c>
      <c r="B31" s="108" t="s">
        <v>5</v>
      </c>
      <c r="C31" s="103"/>
      <c r="D31" s="103"/>
      <c r="E31" s="103"/>
      <c r="F31" s="103"/>
      <c r="G31" s="103">
        <f t="shared" si="9"/>
        <v>0</v>
      </c>
      <c r="H31" s="103"/>
      <c r="I31" s="103">
        <v>0</v>
      </c>
      <c r="J31" s="103"/>
      <c r="K31" s="103"/>
      <c r="L31" s="103"/>
      <c r="M31" s="103"/>
      <c r="N31" s="103">
        <f>SUM(I31:M31)</f>
        <v>0</v>
      </c>
      <c r="O31" s="103"/>
      <c r="P31" s="164"/>
    </row>
    <row r="32" spans="1:16" ht="16.5" customHeight="1" x14ac:dyDescent="0.25">
      <c r="A32" s="104" t="s">
        <v>117</v>
      </c>
      <c r="B32" s="109" t="s">
        <v>7</v>
      </c>
      <c r="C32" s="103"/>
      <c r="D32" s="103"/>
      <c r="E32" s="103"/>
      <c r="F32" s="103"/>
      <c r="G32" s="103">
        <f t="shared" si="9"/>
        <v>0</v>
      </c>
      <c r="H32" s="103"/>
      <c r="I32" s="103">
        <v>0</v>
      </c>
      <c r="J32" s="103"/>
      <c r="K32" s="103"/>
      <c r="L32" s="103"/>
      <c r="M32" s="103"/>
      <c r="N32" s="103">
        <f>SUM(I32:M32)</f>
        <v>0</v>
      </c>
      <c r="O32" s="103"/>
      <c r="P32" s="164"/>
    </row>
    <row r="33" spans="1:16" ht="16.5" customHeight="1" x14ac:dyDescent="0.25">
      <c r="A33" s="110" t="s">
        <v>6</v>
      </c>
      <c r="B33" s="111" t="s">
        <v>76</v>
      </c>
      <c r="C33" s="112">
        <f t="shared" ref="C33:H33" si="14">C34+C37+C38+C44+C45+C50+C51+C52</f>
        <v>127021</v>
      </c>
      <c r="D33" s="112">
        <f t="shared" si="14"/>
        <v>2997</v>
      </c>
      <c r="E33" s="112">
        <f t="shared" si="14"/>
        <v>811</v>
      </c>
      <c r="F33" s="112">
        <f t="shared" si="14"/>
        <v>0</v>
      </c>
      <c r="G33" s="112">
        <f t="shared" si="14"/>
        <v>130829</v>
      </c>
      <c r="H33" s="112">
        <f t="shared" si="14"/>
        <v>122843</v>
      </c>
      <c r="I33" s="112">
        <f t="shared" ref="I33:N33" si="15">I34+I37+I38+I44+I45+I50+I51+I52</f>
        <v>127292</v>
      </c>
      <c r="J33" s="112">
        <f t="shared" si="15"/>
        <v>0</v>
      </c>
      <c r="K33" s="112">
        <f t="shared" si="15"/>
        <v>4995</v>
      </c>
      <c r="L33" s="112">
        <f t="shared" si="15"/>
        <v>4317</v>
      </c>
      <c r="M33" s="112">
        <f t="shared" si="15"/>
        <v>0</v>
      </c>
      <c r="N33" s="112">
        <f t="shared" si="15"/>
        <v>136604</v>
      </c>
      <c r="O33" s="112">
        <f t="shared" ref="O33" si="16">O34+O37+O38+O44+O45+O50+O51+O52</f>
        <v>68728.952999999994</v>
      </c>
      <c r="P33" s="166">
        <f t="shared" ref="P33:P43" si="17">O33/N33</f>
        <v>0.50312547948815545</v>
      </c>
    </row>
    <row r="34" spans="1:16" s="16" customFormat="1" ht="16.5" customHeight="1" x14ac:dyDescent="0.25">
      <c r="A34" s="102" t="s">
        <v>60</v>
      </c>
      <c r="B34" s="102" t="s">
        <v>1</v>
      </c>
      <c r="C34" s="103">
        <v>67662</v>
      </c>
      <c r="D34" s="113">
        <f>[3]összefogl!$X$76</f>
        <v>761</v>
      </c>
      <c r="E34" s="103"/>
      <c r="F34" s="113">
        <v>0</v>
      </c>
      <c r="G34" s="103">
        <f t="shared" si="9"/>
        <v>68423</v>
      </c>
      <c r="H34" s="103">
        <v>67298</v>
      </c>
      <c r="I34" s="103">
        <f>SUM(I35:I36)</f>
        <v>68653</v>
      </c>
      <c r="J34" s="103">
        <f t="shared" ref="J34:K34" si="18">SUM(J35:J36)</f>
        <v>0</v>
      </c>
      <c r="K34" s="103">
        <f t="shared" si="18"/>
        <v>3227</v>
      </c>
      <c r="L34" s="103">
        <f>SUM(L35:L36)</f>
        <v>3556</v>
      </c>
      <c r="M34" s="103">
        <f>SUM(M35:M36)</f>
        <v>0</v>
      </c>
      <c r="N34" s="103">
        <f t="shared" ref="N34:O34" si="19">SUM(N35:N36)</f>
        <v>75436</v>
      </c>
      <c r="O34" s="103">
        <f t="shared" si="19"/>
        <v>38881.663</v>
      </c>
      <c r="P34" s="163">
        <f t="shared" si="17"/>
        <v>0.51542583116814256</v>
      </c>
    </row>
    <row r="35" spans="1:16" s="16" customFormat="1" ht="16.5" hidden="1" customHeight="1" x14ac:dyDescent="0.25">
      <c r="A35" s="50" t="s">
        <v>61</v>
      </c>
      <c r="B35" s="50" t="s">
        <v>35</v>
      </c>
      <c r="C35" s="103"/>
      <c r="D35" s="113"/>
      <c r="E35" s="103"/>
      <c r="F35" s="113"/>
      <c r="G35" s="103"/>
      <c r="H35" s="103"/>
      <c r="I35" s="31">
        <v>68523</v>
      </c>
      <c r="J35" s="55"/>
      <c r="K35" s="55">
        <v>3227</v>
      </c>
      <c r="L35" s="55">
        <f>320+2576+660</f>
        <v>3556</v>
      </c>
      <c r="M35" s="55"/>
      <c r="N35" s="101">
        <f>SUM(I35:M35)</f>
        <v>75306</v>
      </c>
      <c r="O35" s="55">
        <v>38829.097999999998</v>
      </c>
      <c r="P35" s="162">
        <f t="shared" si="17"/>
        <v>0.51561758691206538</v>
      </c>
    </row>
    <row r="36" spans="1:16" s="16" customFormat="1" ht="16.5" hidden="1" customHeight="1" x14ac:dyDescent="0.25">
      <c r="A36" s="50" t="s">
        <v>62</v>
      </c>
      <c r="B36" s="50" t="s">
        <v>36</v>
      </c>
      <c r="C36" s="103"/>
      <c r="D36" s="113"/>
      <c r="E36" s="103"/>
      <c r="F36" s="113"/>
      <c r="G36" s="103"/>
      <c r="H36" s="103"/>
      <c r="I36" s="31">
        <v>130</v>
      </c>
      <c r="J36" s="55"/>
      <c r="K36" s="55"/>
      <c r="L36" s="55"/>
      <c r="M36" s="55"/>
      <c r="N36" s="101">
        <f>SUM(I36:M36)</f>
        <v>130</v>
      </c>
      <c r="O36" s="55">
        <v>52.564999999999998</v>
      </c>
      <c r="P36" s="162">
        <f t="shared" si="17"/>
        <v>0.40434615384615386</v>
      </c>
    </row>
    <row r="37" spans="1:16" s="16" customFormat="1" ht="16.5" customHeight="1" x14ac:dyDescent="0.25">
      <c r="A37" s="102" t="s">
        <v>63</v>
      </c>
      <c r="B37" s="102" t="s">
        <v>2</v>
      </c>
      <c r="C37" s="103">
        <v>20145</v>
      </c>
      <c r="D37" s="113">
        <f>[3]összefogl!$Y$76</f>
        <v>206</v>
      </c>
      <c r="E37" s="103"/>
      <c r="F37" s="113"/>
      <c r="G37" s="103">
        <f t="shared" si="9"/>
        <v>20351</v>
      </c>
      <c r="H37" s="103">
        <v>19529</v>
      </c>
      <c r="I37" s="103">
        <v>20444</v>
      </c>
      <c r="J37" s="113"/>
      <c r="K37" s="113">
        <f>318+446</f>
        <v>764</v>
      </c>
      <c r="L37" s="113">
        <f>86+696+178</f>
        <v>960</v>
      </c>
      <c r="M37" s="113"/>
      <c r="N37" s="113">
        <f>SUM(I37:M37)</f>
        <v>22168</v>
      </c>
      <c r="O37" s="113">
        <v>11432.642</v>
      </c>
      <c r="P37" s="167">
        <f t="shared" si="17"/>
        <v>0.51572726452544204</v>
      </c>
    </row>
    <row r="38" spans="1:16" s="16" customFormat="1" ht="16.5" customHeight="1" x14ac:dyDescent="0.25">
      <c r="A38" s="102" t="s">
        <v>64</v>
      </c>
      <c r="B38" s="102" t="s">
        <v>3</v>
      </c>
      <c r="C38" s="103">
        <v>38614</v>
      </c>
      <c r="D38" s="113">
        <f>[3]összefogl!$Z$76</f>
        <v>2030</v>
      </c>
      <c r="E38" s="103">
        <v>811</v>
      </c>
      <c r="F38" s="113">
        <v>0</v>
      </c>
      <c r="G38" s="103">
        <f t="shared" si="9"/>
        <v>41455</v>
      </c>
      <c r="H38" s="103">
        <v>34344</v>
      </c>
      <c r="I38" s="103">
        <f>SUM(I39:I43)</f>
        <v>37695</v>
      </c>
      <c r="J38" s="103">
        <f t="shared" ref="J38:K38" si="20">SUM(J39:J43)</f>
        <v>0</v>
      </c>
      <c r="K38" s="103">
        <f t="shared" si="20"/>
        <v>1004</v>
      </c>
      <c r="L38" s="103">
        <f t="shared" ref="L38:M38" si="21">SUM(L39:L43)</f>
        <v>0</v>
      </c>
      <c r="M38" s="103">
        <f t="shared" si="21"/>
        <v>-200</v>
      </c>
      <c r="N38" s="103">
        <f t="shared" ref="N38:O38" si="22">SUM(N39:N43)</f>
        <v>38499</v>
      </c>
      <c r="O38" s="103">
        <f t="shared" si="22"/>
        <v>18365.766</v>
      </c>
      <c r="P38" s="163">
        <f t="shared" si="17"/>
        <v>0.47704527390321827</v>
      </c>
    </row>
    <row r="39" spans="1:16" s="16" customFormat="1" ht="16.5" hidden="1" customHeight="1" x14ac:dyDescent="0.25">
      <c r="A39" s="50" t="s">
        <v>65</v>
      </c>
      <c r="B39" s="50" t="s">
        <v>37</v>
      </c>
      <c r="C39" s="103"/>
      <c r="D39" s="113"/>
      <c r="E39" s="103"/>
      <c r="F39" s="113"/>
      <c r="G39" s="103"/>
      <c r="H39" s="103"/>
      <c r="I39" s="31">
        <v>2510</v>
      </c>
      <c r="J39" s="55"/>
      <c r="K39" s="55"/>
      <c r="L39" s="55"/>
      <c r="M39" s="55"/>
      <c r="N39" s="101">
        <f t="shared" ref="N39:N44" si="23">SUM(I39:M39)</f>
        <v>2510</v>
      </c>
      <c r="O39" s="55">
        <v>717.17399999999998</v>
      </c>
      <c r="P39" s="162">
        <f t="shared" si="17"/>
        <v>0.2857266932270916</v>
      </c>
    </row>
    <row r="40" spans="1:16" s="16" customFormat="1" ht="16.5" hidden="1" customHeight="1" x14ac:dyDescent="0.25">
      <c r="A40" s="50" t="s">
        <v>66</v>
      </c>
      <c r="B40" s="50" t="s">
        <v>38</v>
      </c>
      <c r="C40" s="103"/>
      <c r="D40" s="113"/>
      <c r="E40" s="103"/>
      <c r="F40" s="113"/>
      <c r="G40" s="103"/>
      <c r="H40" s="103"/>
      <c r="I40" s="31">
        <v>150</v>
      </c>
      <c r="J40" s="55"/>
      <c r="K40" s="55"/>
      <c r="L40" s="55"/>
      <c r="M40" s="55"/>
      <c r="N40" s="101">
        <f t="shared" si="23"/>
        <v>150</v>
      </c>
      <c r="O40" s="55">
        <v>55.472000000000001</v>
      </c>
      <c r="P40" s="162">
        <f t="shared" si="17"/>
        <v>0.36981333333333333</v>
      </c>
    </row>
    <row r="41" spans="1:16" s="16" customFormat="1" ht="16.5" hidden="1" customHeight="1" x14ac:dyDescent="0.25">
      <c r="A41" s="50" t="s">
        <v>67</v>
      </c>
      <c r="B41" s="50" t="s">
        <v>39</v>
      </c>
      <c r="C41" s="103"/>
      <c r="D41" s="113"/>
      <c r="E41" s="103"/>
      <c r="F41" s="113"/>
      <c r="G41" s="103"/>
      <c r="H41" s="103"/>
      <c r="I41" s="31">
        <v>28335</v>
      </c>
      <c r="J41" s="55"/>
      <c r="K41" s="55">
        <v>465</v>
      </c>
      <c r="L41" s="55"/>
      <c r="M41" s="55">
        <f>'[1]Intézményi kezd. ei mód'!$D$4/1000</f>
        <v>-200</v>
      </c>
      <c r="N41" s="101">
        <f t="shared" si="23"/>
        <v>28600</v>
      </c>
      <c r="O41" s="55">
        <v>14355.955</v>
      </c>
      <c r="P41" s="162">
        <f t="shared" si="17"/>
        <v>0.50195646853146858</v>
      </c>
    </row>
    <row r="42" spans="1:16" s="16" customFormat="1" ht="16.5" hidden="1" customHeight="1" x14ac:dyDescent="0.25">
      <c r="A42" s="50" t="s">
        <v>68</v>
      </c>
      <c r="B42" s="50" t="s">
        <v>40</v>
      </c>
      <c r="C42" s="103"/>
      <c r="D42" s="113"/>
      <c r="E42" s="103"/>
      <c r="F42" s="113"/>
      <c r="G42" s="103"/>
      <c r="H42" s="103"/>
      <c r="I42" s="31">
        <v>100</v>
      </c>
      <c r="J42" s="55"/>
      <c r="K42" s="55"/>
      <c r="L42" s="55"/>
      <c r="M42" s="55"/>
      <c r="N42" s="101">
        <f t="shared" si="23"/>
        <v>100</v>
      </c>
      <c r="O42" s="55">
        <v>12.11</v>
      </c>
      <c r="P42" s="162">
        <f t="shared" si="17"/>
        <v>0.1211</v>
      </c>
    </row>
    <row r="43" spans="1:16" s="16" customFormat="1" ht="16.5" hidden="1" customHeight="1" x14ac:dyDescent="0.25">
      <c r="A43" s="50" t="s">
        <v>69</v>
      </c>
      <c r="B43" s="50" t="s">
        <v>41</v>
      </c>
      <c r="C43" s="103"/>
      <c r="D43" s="113"/>
      <c r="E43" s="103"/>
      <c r="F43" s="113"/>
      <c r="G43" s="103"/>
      <c r="H43" s="103"/>
      <c r="I43" s="31">
        <v>6600</v>
      </c>
      <c r="J43" s="55"/>
      <c r="K43" s="55">
        <v>539</v>
      </c>
      <c r="L43" s="55"/>
      <c r="M43" s="55"/>
      <c r="N43" s="101">
        <f t="shared" si="23"/>
        <v>7139</v>
      </c>
      <c r="O43" s="55">
        <v>3225.0549999999998</v>
      </c>
      <c r="P43" s="162">
        <f t="shared" si="17"/>
        <v>0.45175164588877992</v>
      </c>
    </row>
    <row r="44" spans="1:16" ht="16.5" customHeight="1" x14ac:dyDescent="0.25">
      <c r="A44" s="102" t="s">
        <v>70</v>
      </c>
      <c r="B44" s="102" t="s">
        <v>152</v>
      </c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>
        <f t="shared" si="23"/>
        <v>0</v>
      </c>
      <c r="O44" s="113">
        <v>0</v>
      </c>
      <c r="P44" s="167"/>
    </row>
    <row r="45" spans="1:16" ht="16.5" customHeight="1" x14ac:dyDescent="0.25">
      <c r="A45" s="102" t="s">
        <v>71</v>
      </c>
      <c r="B45" s="102" t="s">
        <v>153</v>
      </c>
      <c r="C45" s="103">
        <f t="shared" ref="C45:G45" si="24">SUM(C47,C46)</f>
        <v>600</v>
      </c>
      <c r="D45" s="103">
        <f t="shared" si="24"/>
        <v>-550</v>
      </c>
      <c r="E45" s="103"/>
      <c r="F45" s="103">
        <f t="shared" si="24"/>
        <v>0</v>
      </c>
      <c r="G45" s="103">
        <f t="shared" si="24"/>
        <v>50</v>
      </c>
      <c r="H45" s="103">
        <f>SUM(H47,H46)</f>
        <v>1509</v>
      </c>
      <c r="I45" s="103">
        <f>SUM(I47,I46)</f>
        <v>0</v>
      </c>
      <c r="J45" s="103">
        <f t="shared" ref="J45:O45" si="25">SUM(J47,J46)</f>
        <v>0</v>
      </c>
      <c r="K45" s="103">
        <f t="shared" si="25"/>
        <v>0</v>
      </c>
      <c r="L45" s="103">
        <f t="shared" si="25"/>
        <v>0</v>
      </c>
      <c r="M45" s="103">
        <f t="shared" si="25"/>
        <v>0</v>
      </c>
      <c r="N45" s="103">
        <f t="shared" si="25"/>
        <v>0</v>
      </c>
      <c r="O45" s="103">
        <f t="shared" si="25"/>
        <v>0</v>
      </c>
      <c r="P45" s="163"/>
    </row>
    <row r="46" spans="1:16" ht="16.5" customHeight="1" x14ac:dyDescent="0.25">
      <c r="A46" s="156" t="s">
        <v>188</v>
      </c>
      <c r="B46" s="114" t="s">
        <v>154</v>
      </c>
      <c r="C46" s="101">
        <v>600</v>
      </c>
      <c r="D46" s="107">
        <f>[3]összefogl!$AE$76</f>
        <v>-550</v>
      </c>
      <c r="E46" s="101"/>
      <c r="F46" s="107"/>
      <c r="G46" s="101">
        <f t="shared" si="9"/>
        <v>50</v>
      </c>
      <c r="H46" s="101">
        <v>1509</v>
      </c>
      <c r="I46" s="101"/>
      <c r="J46" s="107"/>
      <c r="K46" s="107">
        <v>0</v>
      </c>
      <c r="L46" s="107"/>
      <c r="M46" s="107"/>
      <c r="N46" s="107"/>
      <c r="O46" s="113">
        <v>0</v>
      </c>
      <c r="P46" s="162"/>
    </row>
    <row r="47" spans="1:16" ht="16.5" customHeight="1" x14ac:dyDescent="0.25">
      <c r="A47" s="114" t="s">
        <v>168</v>
      </c>
      <c r="B47" s="114" t="s">
        <v>155</v>
      </c>
      <c r="C47" s="107">
        <f t="shared" ref="C47:G47" si="26">SUM(C48:C49)</f>
        <v>0</v>
      </c>
      <c r="D47" s="107">
        <f t="shared" si="26"/>
        <v>0</v>
      </c>
      <c r="E47" s="107"/>
      <c r="F47" s="107">
        <f t="shared" si="26"/>
        <v>0</v>
      </c>
      <c r="G47" s="107">
        <f t="shared" si="26"/>
        <v>0</v>
      </c>
      <c r="H47" s="107">
        <f>SUM(H48:H49)</f>
        <v>0</v>
      </c>
      <c r="I47" s="107">
        <f>SUM(I48:I49)</f>
        <v>0</v>
      </c>
      <c r="J47" s="107">
        <f>SUM(J48:J49)</f>
        <v>0</v>
      </c>
      <c r="K47" s="107">
        <f t="shared" ref="K47:M47" si="27">SUM(K48:K49)</f>
        <v>0</v>
      </c>
      <c r="L47" s="107">
        <f t="shared" si="27"/>
        <v>0</v>
      </c>
      <c r="M47" s="107">
        <f t="shared" si="27"/>
        <v>0</v>
      </c>
      <c r="N47" s="107">
        <f>SUM(N48:N49)</f>
        <v>0</v>
      </c>
      <c r="O47" s="107">
        <f t="shared" ref="O47" si="28">SUM(O48:O49)</f>
        <v>0</v>
      </c>
      <c r="P47" s="162"/>
    </row>
    <row r="48" spans="1:16" ht="16.5" customHeight="1" x14ac:dyDescent="0.25">
      <c r="A48" s="100"/>
      <c r="B48" s="114" t="s">
        <v>77</v>
      </c>
      <c r="C48" s="101"/>
      <c r="D48" s="107"/>
      <c r="E48" s="101"/>
      <c r="F48" s="107"/>
      <c r="G48" s="101">
        <f>SUM(C48:F48)</f>
        <v>0</v>
      </c>
      <c r="H48" s="101"/>
      <c r="I48" s="101"/>
      <c r="J48" s="107"/>
      <c r="K48" s="107">
        <v>0</v>
      </c>
      <c r="L48" s="107"/>
      <c r="M48" s="107"/>
      <c r="N48" s="107"/>
      <c r="O48" s="113">
        <v>0</v>
      </c>
      <c r="P48" s="162"/>
    </row>
    <row r="49" spans="1:16" ht="16.5" customHeight="1" x14ac:dyDescent="0.25">
      <c r="A49" s="100"/>
      <c r="B49" s="114" t="s">
        <v>78</v>
      </c>
      <c r="C49" s="101"/>
      <c r="D49" s="107"/>
      <c r="E49" s="101"/>
      <c r="F49" s="107"/>
      <c r="G49" s="101">
        <f>SUM(C49:F49)</f>
        <v>0</v>
      </c>
      <c r="H49" s="101"/>
      <c r="I49" s="101"/>
      <c r="J49" s="107"/>
      <c r="K49" s="107"/>
      <c r="L49" s="107"/>
      <c r="M49" s="107"/>
      <c r="N49" s="107"/>
      <c r="O49" s="113">
        <v>0</v>
      </c>
      <c r="P49" s="162"/>
    </row>
    <row r="50" spans="1:16" ht="16.5" customHeight="1" x14ac:dyDescent="0.25">
      <c r="A50" s="102" t="s">
        <v>73</v>
      </c>
      <c r="B50" s="102" t="s">
        <v>169</v>
      </c>
      <c r="C50" s="103"/>
      <c r="D50" s="113">
        <f>[3]összefogl!$AF$76</f>
        <v>550</v>
      </c>
      <c r="E50" s="103"/>
      <c r="F50" s="113"/>
      <c r="G50" s="103">
        <f>SUM(C50:F50)</f>
        <v>550</v>
      </c>
      <c r="H50" s="103">
        <v>163</v>
      </c>
      <c r="I50" s="103">
        <v>500</v>
      </c>
      <c r="J50" s="113"/>
      <c r="K50" s="113"/>
      <c r="L50" s="113">
        <f>-199</f>
        <v>-199</v>
      </c>
      <c r="M50" s="113">
        <f>'[1]Intézményi kezd. ei mód'!$D$5/1000</f>
        <v>200</v>
      </c>
      <c r="N50" s="113">
        <f>SUM(I50:M50)</f>
        <v>501</v>
      </c>
      <c r="O50" s="113">
        <v>48.881999999999998</v>
      </c>
      <c r="P50" s="163">
        <f t="shared" ref="P50:P57" si="29">O50/N50</f>
        <v>9.75688622754491E-2</v>
      </c>
    </row>
    <row r="51" spans="1:16" ht="16.5" customHeight="1" x14ac:dyDescent="0.25">
      <c r="A51" s="102" t="s">
        <v>74</v>
      </c>
      <c r="B51" s="102" t="s">
        <v>151</v>
      </c>
      <c r="C51" s="103"/>
      <c r="D51" s="113"/>
      <c r="E51" s="103"/>
      <c r="F51" s="113"/>
      <c r="G51" s="103">
        <f>SUM(C51:F51)</f>
        <v>0</v>
      </c>
      <c r="H51" s="103"/>
      <c r="I51" s="103">
        <v>0</v>
      </c>
      <c r="J51" s="113"/>
      <c r="K51" s="113"/>
      <c r="L51" s="113"/>
      <c r="M51" s="113"/>
      <c r="N51" s="113">
        <f>SUM(I51:M51)</f>
        <v>0</v>
      </c>
      <c r="O51" s="113">
        <v>0</v>
      </c>
      <c r="P51" s="163"/>
    </row>
    <row r="52" spans="1:16" ht="16.5" customHeight="1" x14ac:dyDescent="0.25">
      <c r="A52" s="102" t="s">
        <v>75</v>
      </c>
      <c r="B52" s="102" t="s">
        <v>170</v>
      </c>
      <c r="C52" s="103"/>
      <c r="D52" s="113"/>
      <c r="E52" s="103"/>
      <c r="F52" s="113"/>
      <c r="G52" s="103">
        <f>SUM(C52:F52)</f>
        <v>0</v>
      </c>
      <c r="H52" s="103"/>
      <c r="I52" s="103">
        <v>0</v>
      </c>
      <c r="J52" s="113"/>
      <c r="K52" s="113"/>
      <c r="L52" s="113"/>
      <c r="M52" s="113"/>
      <c r="N52" s="113">
        <f>SUM(I52:M52)</f>
        <v>0</v>
      </c>
      <c r="O52" s="113">
        <v>0</v>
      </c>
      <c r="P52" s="163"/>
    </row>
    <row r="53" spans="1:16" ht="16.5" customHeight="1" x14ac:dyDescent="0.25">
      <c r="A53" s="115"/>
      <c r="B53" s="116" t="s">
        <v>42</v>
      </c>
      <c r="C53" s="117">
        <f t="shared" ref="C53:H53" si="30">C3-C33</f>
        <v>-108569</v>
      </c>
      <c r="D53" s="117">
        <f t="shared" si="30"/>
        <v>-397</v>
      </c>
      <c r="E53" s="117">
        <f>E3-E33</f>
        <v>0</v>
      </c>
      <c r="F53" s="117">
        <f t="shared" si="30"/>
        <v>0</v>
      </c>
      <c r="G53" s="117">
        <f t="shared" si="30"/>
        <v>-108966</v>
      </c>
      <c r="H53" s="117">
        <f t="shared" si="30"/>
        <v>-99798</v>
      </c>
      <c r="I53" s="117">
        <f t="shared" ref="I53:O53" si="31">I3-I33</f>
        <v>-112337</v>
      </c>
      <c r="J53" s="117">
        <f t="shared" si="31"/>
        <v>0</v>
      </c>
      <c r="K53" s="117">
        <f t="shared" si="31"/>
        <v>-4995</v>
      </c>
      <c r="L53" s="117">
        <f t="shared" si="31"/>
        <v>-4317</v>
      </c>
      <c r="M53" s="117">
        <f t="shared" ref="M53" si="32">M3-M33</f>
        <v>0</v>
      </c>
      <c r="N53" s="117">
        <f t="shared" si="31"/>
        <v>-121649</v>
      </c>
      <c r="O53" s="117">
        <f t="shared" si="31"/>
        <v>-60498.156999999992</v>
      </c>
      <c r="P53" s="169">
        <f t="shared" si="29"/>
        <v>0.49731733923007992</v>
      </c>
    </row>
    <row r="54" spans="1:16" ht="16.5" customHeight="1" x14ac:dyDescent="0.25">
      <c r="A54" s="118"/>
      <c r="B54" s="111" t="s">
        <v>43</v>
      </c>
      <c r="C54" s="112">
        <f t="shared" ref="C54:H54" si="33">C6+C8+C15+C31-C34-C37-C38-C44-C45-C50-C51</f>
        <v>-108569</v>
      </c>
      <c r="D54" s="112">
        <f t="shared" si="33"/>
        <v>-397</v>
      </c>
      <c r="E54" s="112">
        <f>E6+E8+E15+E31-E34-E37-E38-E44-E45-E50-E51</f>
        <v>0</v>
      </c>
      <c r="F54" s="112">
        <f t="shared" si="33"/>
        <v>0</v>
      </c>
      <c r="G54" s="112">
        <f t="shared" si="33"/>
        <v>-108966</v>
      </c>
      <c r="H54" s="112">
        <f t="shared" si="33"/>
        <v>-99798</v>
      </c>
      <c r="I54" s="112">
        <f t="shared" ref="I54:O54" si="34">I6+I8+I15+I31-I34-I37-I38-I44-I45-I50-I51</f>
        <v>-112337</v>
      </c>
      <c r="J54" s="112">
        <f t="shared" si="34"/>
        <v>0</v>
      </c>
      <c r="K54" s="112">
        <f t="shared" si="34"/>
        <v>-4995</v>
      </c>
      <c r="L54" s="112">
        <f t="shared" si="34"/>
        <v>-4317</v>
      </c>
      <c r="M54" s="112">
        <f t="shared" ref="M54" si="35">M6+M8+M15+M31-M34-M37-M38-M44-M45-M50-M51</f>
        <v>0</v>
      </c>
      <c r="N54" s="112">
        <f t="shared" si="34"/>
        <v>-121649</v>
      </c>
      <c r="O54" s="112">
        <f t="shared" si="34"/>
        <v>-60498.156999999992</v>
      </c>
      <c r="P54" s="170">
        <f t="shared" si="29"/>
        <v>0.49731733923007992</v>
      </c>
    </row>
    <row r="55" spans="1:16" ht="16.5" customHeight="1" x14ac:dyDescent="0.25">
      <c r="A55" s="118"/>
      <c r="B55" s="111" t="s">
        <v>44</v>
      </c>
      <c r="C55" s="112">
        <f t="shared" ref="C55:H55" si="36">C7+C27+C32-C52</f>
        <v>0</v>
      </c>
      <c r="D55" s="112">
        <f t="shared" si="36"/>
        <v>0</v>
      </c>
      <c r="E55" s="112">
        <f>E7+E27+E32-E52</f>
        <v>0</v>
      </c>
      <c r="F55" s="112">
        <f t="shared" si="36"/>
        <v>0</v>
      </c>
      <c r="G55" s="112">
        <f t="shared" si="36"/>
        <v>0</v>
      </c>
      <c r="H55" s="112">
        <f t="shared" si="36"/>
        <v>0</v>
      </c>
      <c r="I55" s="112">
        <f t="shared" ref="I55:O55" si="37">I7+I27+I32-I52</f>
        <v>0</v>
      </c>
      <c r="J55" s="112">
        <f t="shared" si="37"/>
        <v>0</v>
      </c>
      <c r="K55" s="112">
        <f t="shared" si="37"/>
        <v>0</v>
      </c>
      <c r="L55" s="112">
        <f t="shared" si="37"/>
        <v>0</v>
      </c>
      <c r="M55" s="112">
        <f t="shared" ref="M55" si="38">M7+M27+M32-M52</f>
        <v>0</v>
      </c>
      <c r="N55" s="112">
        <f t="shared" si="37"/>
        <v>0</v>
      </c>
      <c r="O55" s="112">
        <f t="shared" si="37"/>
        <v>0</v>
      </c>
      <c r="P55" s="170"/>
    </row>
    <row r="56" spans="1:16" ht="16.5" customHeight="1" x14ac:dyDescent="0.25">
      <c r="A56" s="119" t="s">
        <v>132</v>
      </c>
      <c r="B56" s="98" t="s">
        <v>45</v>
      </c>
      <c r="C56" s="99">
        <f t="shared" ref="C56:H56" si="39">C57+C65</f>
        <v>108569</v>
      </c>
      <c r="D56" s="99">
        <f t="shared" si="39"/>
        <v>2197</v>
      </c>
      <c r="E56" s="99">
        <f t="shared" si="39"/>
        <v>0</v>
      </c>
      <c r="F56" s="99">
        <f t="shared" si="39"/>
        <v>0</v>
      </c>
      <c r="G56" s="99">
        <f t="shared" si="39"/>
        <v>110766</v>
      </c>
      <c r="H56" s="99">
        <f t="shared" si="39"/>
        <v>103781</v>
      </c>
      <c r="I56" s="99">
        <f t="shared" ref="I56:O56" si="40">I57+I65</f>
        <v>112337</v>
      </c>
      <c r="J56" s="99">
        <f t="shared" si="40"/>
        <v>0</v>
      </c>
      <c r="K56" s="99">
        <f t="shared" si="40"/>
        <v>4995</v>
      </c>
      <c r="L56" s="99">
        <f t="shared" si="40"/>
        <v>4317</v>
      </c>
      <c r="M56" s="99">
        <f t="shared" ref="M56" si="41">M57+M65</f>
        <v>0</v>
      </c>
      <c r="N56" s="99">
        <f t="shared" si="40"/>
        <v>121649</v>
      </c>
      <c r="O56" s="99">
        <f t="shared" si="40"/>
        <v>63107.305</v>
      </c>
      <c r="P56" s="171">
        <f t="shared" si="29"/>
        <v>0.51876550567616664</v>
      </c>
    </row>
    <row r="57" spans="1:16" ht="16.5" customHeight="1" x14ac:dyDescent="0.25">
      <c r="A57" s="100" t="s">
        <v>120</v>
      </c>
      <c r="B57" s="100" t="s">
        <v>50</v>
      </c>
      <c r="C57" s="107">
        <f t="shared" ref="C57:H57" si="42">SUM(C58,C59,C60,C63,C64)</f>
        <v>108569</v>
      </c>
      <c r="D57" s="107">
        <f t="shared" si="42"/>
        <v>2197</v>
      </c>
      <c r="E57" s="107">
        <f t="shared" si="42"/>
        <v>0</v>
      </c>
      <c r="F57" s="107">
        <f t="shared" si="42"/>
        <v>0</v>
      </c>
      <c r="G57" s="107">
        <f t="shared" si="42"/>
        <v>110766</v>
      </c>
      <c r="H57" s="107">
        <f t="shared" si="42"/>
        <v>103781</v>
      </c>
      <c r="I57" s="107">
        <f t="shared" ref="I57:N57" si="43">SUM(I58,I59,I60,I63,I64)</f>
        <v>112337</v>
      </c>
      <c r="J57" s="107">
        <f t="shared" si="43"/>
        <v>0</v>
      </c>
      <c r="K57" s="107">
        <f t="shared" si="43"/>
        <v>4995</v>
      </c>
      <c r="L57" s="107">
        <f t="shared" si="43"/>
        <v>4317</v>
      </c>
      <c r="M57" s="107">
        <f t="shared" si="43"/>
        <v>0</v>
      </c>
      <c r="N57" s="107">
        <f t="shared" si="43"/>
        <v>121649</v>
      </c>
      <c r="O57" s="107">
        <f t="shared" ref="O57" si="44">SUM(O58,O59,O60,O63,O64)</f>
        <v>63107.305</v>
      </c>
      <c r="P57" s="168">
        <f t="shared" si="29"/>
        <v>0.51876550567616664</v>
      </c>
    </row>
    <row r="58" spans="1:16" ht="16.5" customHeight="1" x14ac:dyDescent="0.25">
      <c r="A58" s="100" t="s">
        <v>79</v>
      </c>
      <c r="B58" s="100" t="s">
        <v>47</v>
      </c>
      <c r="C58" s="101"/>
      <c r="D58" s="120"/>
      <c r="E58" s="101"/>
      <c r="F58" s="120"/>
      <c r="G58" s="101">
        <f>SUM(C58:F58)</f>
        <v>0</v>
      </c>
      <c r="H58" s="101"/>
      <c r="I58" s="101"/>
      <c r="J58" s="120"/>
      <c r="K58" s="120"/>
      <c r="L58" s="120"/>
      <c r="M58" s="120"/>
      <c r="N58" s="120"/>
      <c r="O58" s="101"/>
      <c r="P58" s="162"/>
    </row>
    <row r="59" spans="1:16" ht="16.5" customHeight="1" x14ac:dyDescent="0.25">
      <c r="A59" s="100" t="s">
        <v>80</v>
      </c>
      <c r="B59" s="100" t="s">
        <v>48</v>
      </c>
      <c r="C59" s="101"/>
      <c r="D59" s="107"/>
      <c r="E59" s="101"/>
      <c r="F59" s="107"/>
      <c r="G59" s="101">
        <f>SUM(C59:F59)</f>
        <v>0</v>
      </c>
      <c r="H59" s="101"/>
      <c r="I59" s="101"/>
      <c r="J59" s="107"/>
      <c r="K59" s="107"/>
      <c r="L59" s="107"/>
      <c r="M59" s="107"/>
      <c r="N59" s="107"/>
      <c r="O59" s="107"/>
      <c r="P59" s="162"/>
    </row>
    <row r="60" spans="1:16" ht="16.5" customHeight="1" x14ac:dyDescent="0.25">
      <c r="A60" s="100" t="s">
        <v>81</v>
      </c>
      <c r="B60" s="100" t="s">
        <v>49</v>
      </c>
      <c r="C60" s="107">
        <f t="shared" ref="C60:H60" si="45">SUM(C61:C62)</f>
        <v>0</v>
      </c>
      <c r="D60" s="107">
        <f t="shared" si="45"/>
        <v>1230</v>
      </c>
      <c r="E60" s="107"/>
      <c r="F60" s="107">
        <f t="shared" si="45"/>
        <v>0</v>
      </c>
      <c r="G60" s="107">
        <f t="shared" si="45"/>
        <v>1230</v>
      </c>
      <c r="H60" s="107">
        <f t="shared" si="45"/>
        <v>2695</v>
      </c>
      <c r="I60" s="107">
        <f t="shared" ref="I60:O60" si="46">SUM(I61:I62)</f>
        <v>0</v>
      </c>
      <c r="J60" s="107">
        <f t="shared" si="46"/>
        <v>0</v>
      </c>
      <c r="K60" s="107">
        <f t="shared" si="46"/>
        <v>3349</v>
      </c>
      <c r="L60" s="107">
        <f t="shared" si="46"/>
        <v>0</v>
      </c>
      <c r="M60" s="107">
        <f t="shared" si="46"/>
        <v>0</v>
      </c>
      <c r="N60" s="107">
        <f t="shared" si="46"/>
        <v>3349</v>
      </c>
      <c r="O60" s="107">
        <f t="shared" si="46"/>
        <v>3349</v>
      </c>
      <c r="P60" s="172">
        <f>O60/N60</f>
        <v>1</v>
      </c>
    </row>
    <row r="61" spans="1:16" ht="16.5" customHeight="1" x14ac:dyDescent="0.25">
      <c r="A61" s="100"/>
      <c r="B61" s="114" t="s">
        <v>82</v>
      </c>
      <c r="C61" s="101"/>
      <c r="D61" s="121">
        <v>1230</v>
      </c>
      <c r="E61" s="101"/>
      <c r="F61" s="121"/>
      <c r="G61" s="101">
        <f>SUM(C61:F61)</f>
        <v>1230</v>
      </c>
      <c r="H61" s="101">
        <v>2695</v>
      </c>
      <c r="I61" s="101"/>
      <c r="J61" s="121"/>
      <c r="K61" s="121">
        <v>3349</v>
      </c>
      <c r="L61" s="121"/>
      <c r="M61" s="121"/>
      <c r="N61" s="121">
        <f>SUM(K61:M61)</f>
        <v>3349</v>
      </c>
      <c r="O61" s="121">
        <v>3349</v>
      </c>
      <c r="P61" s="162">
        <f>O61/N61</f>
        <v>1</v>
      </c>
    </row>
    <row r="62" spans="1:16" ht="16.5" customHeight="1" x14ac:dyDescent="0.25">
      <c r="A62" s="100"/>
      <c r="B62" s="114" t="s">
        <v>83</v>
      </c>
      <c r="C62" s="101"/>
      <c r="D62" s="107"/>
      <c r="E62" s="101"/>
      <c r="F62" s="107"/>
      <c r="G62" s="101">
        <f>SUM(C62:F62)</f>
        <v>0</v>
      </c>
      <c r="H62" s="101"/>
      <c r="I62" s="101"/>
      <c r="J62" s="107"/>
      <c r="K62" s="107">
        <v>0</v>
      </c>
      <c r="L62" s="107"/>
      <c r="M62" s="107"/>
      <c r="N62" s="107">
        <f>SUM(K62:M62)</f>
        <v>0</v>
      </c>
      <c r="O62" s="107"/>
      <c r="P62" s="162"/>
    </row>
    <row r="63" spans="1:16" ht="16.5" customHeight="1" x14ac:dyDescent="0.25">
      <c r="A63" s="100" t="s">
        <v>84</v>
      </c>
      <c r="B63" s="100" t="s">
        <v>131</v>
      </c>
      <c r="C63" s="101"/>
      <c r="D63" s="107"/>
      <c r="E63" s="101"/>
      <c r="F63" s="107"/>
      <c r="G63" s="101">
        <f>SUM(C63:F63)</f>
        <v>0</v>
      </c>
      <c r="H63" s="101"/>
      <c r="I63" s="101"/>
      <c r="J63" s="107"/>
      <c r="K63" s="107"/>
      <c r="L63" s="107"/>
      <c r="M63" s="107"/>
      <c r="N63" s="107"/>
      <c r="O63" s="107"/>
      <c r="P63" s="162"/>
    </row>
    <row r="64" spans="1:16" ht="16.5" customHeight="1" x14ac:dyDescent="0.25">
      <c r="A64" s="100" t="s">
        <v>121</v>
      </c>
      <c r="B64" s="100" t="s">
        <v>122</v>
      </c>
      <c r="C64" s="101">
        <v>108569</v>
      </c>
      <c r="D64" s="107">
        <f>[3]összefogl!$S$76</f>
        <v>967</v>
      </c>
      <c r="E64" s="101"/>
      <c r="F64" s="107"/>
      <c r="G64" s="101">
        <f>SUM(C64:F64)</f>
        <v>109536</v>
      </c>
      <c r="H64" s="101">
        <v>101086</v>
      </c>
      <c r="I64" s="101">
        <f>114233-1896</f>
        <v>112337</v>
      </c>
      <c r="J64" s="107"/>
      <c r="K64" s="107">
        <f>1494+2097-1945</f>
        <v>1646</v>
      </c>
      <c r="L64" s="107">
        <f>-199+406+3272+838</f>
        <v>4317</v>
      </c>
      <c r="M64" s="107"/>
      <c r="N64" s="107">
        <f>SUM(I64:M64)</f>
        <v>118300</v>
      </c>
      <c r="O64" s="107">
        <v>59758.305</v>
      </c>
      <c r="P64" s="172">
        <f>O64/N64</f>
        <v>0.50514205409974644</v>
      </c>
    </row>
    <row r="65" spans="1:16" ht="16.5" hidden="1" customHeight="1" thickBot="1" x14ac:dyDescent="0.3">
      <c r="A65" s="100" t="s">
        <v>85</v>
      </c>
      <c r="B65" s="122" t="s">
        <v>51</v>
      </c>
      <c r="C65" s="101"/>
      <c r="D65" s="107"/>
      <c r="E65" s="101"/>
      <c r="F65" s="107"/>
      <c r="G65" s="101">
        <f>SUM(C65:F65)</f>
        <v>0</v>
      </c>
      <c r="H65" s="101"/>
      <c r="I65" s="101"/>
      <c r="J65" s="107"/>
      <c r="K65" s="107"/>
      <c r="L65" s="107"/>
      <c r="M65" s="107"/>
      <c r="N65" s="107"/>
      <c r="O65" s="107"/>
      <c r="P65" s="162"/>
    </row>
    <row r="66" spans="1:16" ht="16.5" customHeight="1" x14ac:dyDescent="0.25">
      <c r="A66" s="123" t="s">
        <v>133</v>
      </c>
      <c r="B66" s="124" t="s">
        <v>52</v>
      </c>
      <c r="C66" s="125">
        <f t="shared" ref="C66:G66" si="47">C67+C71</f>
        <v>0</v>
      </c>
      <c r="D66" s="125">
        <f t="shared" si="47"/>
        <v>0</v>
      </c>
      <c r="E66" s="125">
        <f t="shared" si="47"/>
        <v>0</v>
      </c>
      <c r="F66" s="125">
        <f t="shared" si="47"/>
        <v>0</v>
      </c>
      <c r="G66" s="125">
        <f t="shared" si="47"/>
        <v>0</v>
      </c>
      <c r="H66" s="125">
        <f t="shared" ref="H66:N66" si="48">H67+H71</f>
        <v>0</v>
      </c>
      <c r="I66" s="125">
        <f t="shared" si="48"/>
        <v>0</v>
      </c>
      <c r="J66" s="125">
        <f t="shared" si="48"/>
        <v>0</v>
      </c>
      <c r="K66" s="125">
        <f t="shared" si="48"/>
        <v>0</v>
      </c>
      <c r="L66" s="125">
        <f t="shared" si="48"/>
        <v>0</v>
      </c>
      <c r="M66" s="125">
        <f t="shared" ref="M66" si="49">M67+M71</f>
        <v>0</v>
      </c>
      <c r="N66" s="125">
        <f t="shared" si="48"/>
        <v>0</v>
      </c>
      <c r="O66" s="125">
        <f>O67+O71</f>
        <v>0</v>
      </c>
      <c r="P66" s="173"/>
    </row>
    <row r="67" spans="1:16" ht="16.5" customHeight="1" x14ac:dyDescent="0.25">
      <c r="A67" s="100" t="s">
        <v>138</v>
      </c>
      <c r="B67" s="100" t="s">
        <v>139</v>
      </c>
      <c r="C67" s="107">
        <f t="shared" ref="C67:G67" si="50">SUM(C68:C70)</f>
        <v>0</v>
      </c>
      <c r="D67" s="107">
        <f t="shared" si="50"/>
        <v>0</v>
      </c>
      <c r="E67" s="107"/>
      <c r="F67" s="107">
        <f t="shared" si="50"/>
        <v>0</v>
      </c>
      <c r="G67" s="107">
        <f t="shared" si="50"/>
        <v>0</v>
      </c>
      <c r="H67" s="107"/>
      <c r="I67" s="107">
        <f>SUM(I68:I70)</f>
        <v>0</v>
      </c>
      <c r="J67" s="107">
        <f t="shared" ref="J67:N67" si="51">SUM(J68:J70)</f>
        <v>0</v>
      </c>
      <c r="K67" s="107">
        <f t="shared" si="51"/>
        <v>0</v>
      </c>
      <c r="L67" s="107">
        <f t="shared" si="51"/>
        <v>0</v>
      </c>
      <c r="M67" s="107">
        <f t="shared" ref="M67" si="52">SUM(M68:M70)</f>
        <v>0</v>
      </c>
      <c r="N67" s="107">
        <f t="shared" si="51"/>
        <v>0</v>
      </c>
      <c r="O67" s="107">
        <f>SUM(O68:O70)</f>
        <v>0</v>
      </c>
      <c r="P67" s="168"/>
    </row>
    <row r="68" spans="1:16" ht="16.5" customHeight="1" x14ac:dyDescent="0.25">
      <c r="A68" s="100" t="s">
        <v>86</v>
      </c>
      <c r="B68" s="100" t="s">
        <v>46</v>
      </c>
      <c r="C68" s="101"/>
      <c r="D68" s="107"/>
      <c r="E68" s="101"/>
      <c r="F68" s="107"/>
      <c r="G68" s="101">
        <f>SUM(C68:F68)</f>
        <v>0</v>
      </c>
      <c r="H68" s="101"/>
      <c r="I68" s="101">
        <v>0</v>
      </c>
      <c r="J68" s="101">
        <v>0</v>
      </c>
      <c r="K68" s="101">
        <v>0</v>
      </c>
      <c r="L68" s="101">
        <v>0</v>
      </c>
      <c r="M68" s="101"/>
      <c r="N68" s="101">
        <v>0</v>
      </c>
      <c r="O68" s="107"/>
      <c r="P68" s="168"/>
    </row>
    <row r="69" spans="1:16" ht="16.5" customHeight="1" x14ac:dyDescent="0.25">
      <c r="A69" s="100" t="s">
        <v>171</v>
      </c>
      <c r="B69" s="100" t="s">
        <v>172</v>
      </c>
      <c r="C69" s="101"/>
      <c r="D69" s="107"/>
      <c r="E69" s="101"/>
      <c r="F69" s="107"/>
      <c r="G69" s="101">
        <f>SUM(C69:F69)</f>
        <v>0</v>
      </c>
      <c r="H69" s="101"/>
      <c r="I69" s="101">
        <v>0</v>
      </c>
      <c r="J69" s="101">
        <v>0</v>
      </c>
      <c r="K69" s="101">
        <v>0</v>
      </c>
      <c r="L69" s="101">
        <v>0</v>
      </c>
      <c r="M69" s="101"/>
      <c r="N69" s="101">
        <v>0</v>
      </c>
      <c r="O69" s="107"/>
      <c r="P69" s="168"/>
    </row>
    <row r="70" spans="1:16" ht="16.5" customHeight="1" x14ac:dyDescent="0.25">
      <c r="A70" s="100" t="s">
        <v>88</v>
      </c>
      <c r="B70" s="100" t="s">
        <v>54</v>
      </c>
      <c r="C70" s="101"/>
      <c r="D70" s="107"/>
      <c r="E70" s="101"/>
      <c r="F70" s="107"/>
      <c r="G70" s="101">
        <f>SUM(C70:F70)</f>
        <v>0</v>
      </c>
      <c r="H70" s="101"/>
      <c r="I70" s="101">
        <f t="shared" ref="I70" si="53">SUM(I69)</f>
        <v>0</v>
      </c>
      <c r="J70" s="101">
        <f t="shared" ref="J70:N70" si="54">SUM(J69)</f>
        <v>0</v>
      </c>
      <c r="K70" s="101">
        <f t="shared" si="54"/>
        <v>0</v>
      </c>
      <c r="L70" s="101">
        <f t="shared" si="54"/>
        <v>0</v>
      </c>
      <c r="M70" s="101"/>
      <c r="N70" s="101">
        <f t="shared" si="54"/>
        <v>0</v>
      </c>
      <c r="O70" s="107"/>
      <c r="P70" s="168"/>
    </row>
    <row r="71" spans="1:16" ht="16.5" customHeight="1" x14ac:dyDescent="0.25">
      <c r="A71" s="100" t="s">
        <v>90</v>
      </c>
      <c r="B71" s="122" t="s">
        <v>89</v>
      </c>
      <c r="C71" s="101"/>
      <c r="D71" s="107"/>
      <c r="E71" s="101"/>
      <c r="F71" s="107"/>
      <c r="G71" s="101">
        <f>SUM(C71:F71)</f>
        <v>0</v>
      </c>
      <c r="H71" s="101"/>
      <c r="I71" s="101"/>
      <c r="J71" s="107"/>
      <c r="K71" s="107"/>
      <c r="L71" s="107"/>
      <c r="M71" s="107"/>
      <c r="N71" s="107"/>
      <c r="O71" s="107"/>
      <c r="P71" s="162"/>
    </row>
    <row r="72" spans="1:16" ht="16.5" customHeight="1" x14ac:dyDescent="0.25">
      <c r="A72" s="115"/>
      <c r="B72" s="126" t="s">
        <v>57</v>
      </c>
      <c r="C72" s="117">
        <f t="shared" ref="C72:H72" si="55">C56-C66</f>
        <v>108569</v>
      </c>
      <c r="D72" s="117">
        <f t="shared" si="55"/>
        <v>2197</v>
      </c>
      <c r="E72" s="117">
        <f>E56-E66</f>
        <v>0</v>
      </c>
      <c r="F72" s="117">
        <f t="shared" si="55"/>
        <v>0</v>
      </c>
      <c r="G72" s="117">
        <f t="shared" si="55"/>
        <v>110766</v>
      </c>
      <c r="H72" s="117">
        <f t="shared" si="55"/>
        <v>103781</v>
      </c>
      <c r="I72" s="117">
        <f t="shared" ref="I72:O72" si="56">I56-I66</f>
        <v>112337</v>
      </c>
      <c r="J72" s="117">
        <f t="shared" si="56"/>
        <v>0</v>
      </c>
      <c r="K72" s="117">
        <f t="shared" si="56"/>
        <v>4995</v>
      </c>
      <c r="L72" s="117">
        <f t="shared" si="56"/>
        <v>4317</v>
      </c>
      <c r="M72" s="117">
        <f t="shared" ref="M72" si="57">M56-M66</f>
        <v>0</v>
      </c>
      <c r="N72" s="117">
        <f t="shared" si="56"/>
        <v>121649</v>
      </c>
      <c r="O72" s="117">
        <f t="shared" si="56"/>
        <v>63107.305</v>
      </c>
      <c r="P72" s="169">
        <f t="shared" ref="P72:P79" si="58">O72/N72</f>
        <v>0.51876550567616664</v>
      </c>
    </row>
    <row r="73" spans="1:16" ht="16.5" customHeight="1" x14ac:dyDescent="0.25">
      <c r="A73" s="127"/>
      <c r="B73" s="128" t="s">
        <v>58</v>
      </c>
      <c r="C73" s="129">
        <f t="shared" ref="C73:H73" si="59">C3+C56</f>
        <v>127021</v>
      </c>
      <c r="D73" s="129">
        <f t="shared" si="59"/>
        <v>4797</v>
      </c>
      <c r="E73" s="129">
        <f>E3+E56</f>
        <v>811</v>
      </c>
      <c r="F73" s="129">
        <f t="shared" si="59"/>
        <v>0</v>
      </c>
      <c r="G73" s="129">
        <f t="shared" si="59"/>
        <v>132629</v>
      </c>
      <c r="H73" s="129">
        <f t="shared" si="59"/>
        <v>126826</v>
      </c>
      <c r="I73" s="129">
        <f t="shared" ref="I73:O73" si="60">I3+I56</f>
        <v>127292</v>
      </c>
      <c r="J73" s="129">
        <f t="shared" si="60"/>
        <v>0</v>
      </c>
      <c r="K73" s="129">
        <f t="shared" si="60"/>
        <v>4995</v>
      </c>
      <c r="L73" s="129">
        <f t="shared" si="60"/>
        <v>4317</v>
      </c>
      <c r="M73" s="129">
        <f t="shared" ref="M73" si="61">M3+M56</f>
        <v>0</v>
      </c>
      <c r="N73" s="129">
        <f t="shared" si="60"/>
        <v>136604</v>
      </c>
      <c r="O73" s="129">
        <f t="shared" si="60"/>
        <v>71338.100999999995</v>
      </c>
      <c r="P73" s="161">
        <f t="shared" si="58"/>
        <v>0.52222556440514178</v>
      </c>
    </row>
    <row r="74" spans="1:16" ht="16.5" customHeight="1" x14ac:dyDescent="0.25">
      <c r="A74" s="119"/>
      <c r="B74" s="72" t="s">
        <v>140</v>
      </c>
      <c r="C74" s="99">
        <f>C6+C8+C15+C31</f>
        <v>18452</v>
      </c>
      <c r="D74" s="99">
        <f>D6+D8+D15+D31</f>
        <v>2600</v>
      </c>
      <c r="E74" s="99">
        <f>E6+E8+E15+E31</f>
        <v>811</v>
      </c>
      <c r="F74" s="99">
        <f>F6+F8+F15+F31</f>
        <v>0</v>
      </c>
      <c r="G74" s="99">
        <f>G6+G8+G15+G31</f>
        <v>21863</v>
      </c>
      <c r="H74" s="99">
        <f t="shared" ref="H74:N74" si="62">H6+H8+H15+H31+H61</f>
        <v>25740</v>
      </c>
      <c r="I74" s="99">
        <f t="shared" si="62"/>
        <v>14955</v>
      </c>
      <c r="J74" s="99">
        <f t="shared" si="62"/>
        <v>0</v>
      </c>
      <c r="K74" s="99">
        <f t="shared" si="62"/>
        <v>3349</v>
      </c>
      <c r="L74" s="99">
        <f t="shared" si="62"/>
        <v>0</v>
      </c>
      <c r="M74" s="99">
        <f t="shared" ref="M74" si="63">M6+M8+M15+M31+M61</f>
        <v>0</v>
      </c>
      <c r="N74" s="99">
        <f t="shared" si="62"/>
        <v>18304</v>
      </c>
      <c r="O74" s="99">
        <f>O6+O8+O15+O31</f>
        <v>8230.7960000000003</v>
      </c>
      <c r="P74" s="174">
        <f t="shared" si="58"/>
        <v>0.44967198426573429</v>
      </c>
    </row>
    <row r="75" spans="1:16" ht="16.5" customHeight="1" x14ac:dyDescent="0.25">
      <c r="A75" s="119"/>
      <c r="B75" s="72" t="s">
        <v>141</v>
      </c>
      <c r="C75" s="99">
        <f>C7+C27+C32</f>
        <v>0</v>
      </c>
      <c r="D75" s="99">
        <f>D7+D27+D32</f>
        <v>0</v>
      </c>
      <c r="E75" s="99">
        <f>E7+E27+E32</f>
        <v>0</v>
      </c>
      <c r="F75" s="99">
        <f>F7+F27+F32</f>
        <v>0</v>
      </c>
      <c r="G75" s="99">
        <f>G7+G27+G32</f>
        <v>0</v>
      </c>
      <c r="H75" s="99">
        <f t="shared" ref="H75:N75" si="64">H7+H27+H32+H62</f>
        <v>0</v>
      </c>
      <c r="I75" s="99">
        <f t="shared" si="64"/>
        <v>0</v>
      </c>
      <c r="J75" s="99">
        <f t="shared" si="64"/>
        <v>0</v>
      </c>
      <c r="K75" s="99">
        <f t="shared" si="64"/>
        <v>0</v>
      </c>
      <c r="L75" s="99">
        <f t="shared" si="64"/>
        <v>0</v>
      </c>
      <c r="M75" s="99">
        <f t="shared" ref="M75" si="65">M7+M27+M32+M62</f>
        <v>0</v>
      </c>
      <c r="N75" s="99">
        <f t="shared" si="64"/>
        <v>0</v>
      </c>
      <c r="O75" s="99">
        <f>O7+O27+O32</f>
        <v>0</v>
      </c>
      <c r="P75" s="174"/>
    </row>
    <row r="76" spans="1:16" ht="16.5" customHeight="1" x14ac:dyDescent="0.25">
      <c r="A76" s="119"/>
      <c r="B76" s="72" t="s">
        <v>144</v>
      </c>
      <c r="C76" s="99">
        <f>C56</f>
        <v>108569</v>
      </c>
      <c r="D76" s="99">
        <f>D56</f>
        <v>2197</v>
      </c>
      <c r="E76" s="99">
        <f>E56</f>
        <v>0</v>
      </c>
      <c r="F76" s="99">
        <f>F56</f>
        <v>0</v>
      </c>
      <c r="G76" s="99">
        <f>G56</f>
        <v>110766</v>
      </c>
      <c r="H76" s="99">
        <f t="shared" ref="H76:N76" si="66">H56-H60</f>
        <v>101086</v>
      </c>
      <c r="I76" s="99">
        <f t="shared" si="66"/>
        <v>112337</v>
      </c>
      <c r="J76" s="99">
        <f t="shared" si="66"/>
        <v>0</v>
      </c>
      <c r="K76" s="99">
        <f t="shared" si="66"/>
        <v>1646</v>
      </c>
      <c r="L76" s="99">
        <f t="shared" si="66"/>
        <v>4317</v>
      </c>
      <c r="M76" s="99">
        <f t="shared" ref="M76" si="67">M56-M60</f>
        <v>0</v>
      </c>
      <c r="N76" s="99">
        <f t="shared" si="66"/>
        <v>118300</v>
      </c>
      <c r="O76" s="99">
        <f>O56</f>
        <v>63107.305</v>
      </c>
      <c r="P76" s="174">
        <f t="shared" si="58"/>
        <v>0.53345143702451392</v>
      </c>
    </row>
    <row r="77" spans="1:16" ht="16.5" customHeight="1" x14ac:dyDescent="0.25">
      <c r="A77" s="130"/>
      <c r="B77" s="84" t="s">
        <v>59</v>
      </c>
      <c r="C77" s="131">
        <f t="shared" ref="C77:H77" si="68">C33+C66</f>
        <v>127021</v>
      </c>
      <c r="D77" s="131">
        <f t="shared" si="68"/>
        <v>2997</v>
      </c>
      <c r="E77" s="131">
        <f>E33+E66</f>
        <v>811</v>
      </c>
      <c r="F77" s="131">
        <f t="shared" si="68"/>
        <v>0</v>
      </c>
      <c r="G77" s="131">
        <f t="shared" si="68"/>
        <v>130829</v>
      </c>
      <c r="H77" s="131">
        <f t="shared" si="68"/>
        <v>122843</v>
      </c>
      <c r="I77" s="131">
        <f t="shared" ref="I77:O77" si="69">I33+I66</f>
        <v>127292</v>
      </c>
      <c r="J77" s="131">
        <f t="shared" si="69"/>
        <v>0</v>
      </c>
      <c r="K77" s="131">
        <f t="shared" si="69"/>
        <v>4995</v>
      </c>
      <c r="L77" s="131">
        <f t="shared" si="69"/>
        <v>4317</v>
      </c>
      <c r="M77" s="131">
        <f t="shared" ref="M77" si="70">M33+M66</f>
        <v>0</v>
      </c>
      <c r="N77" s="131">
        <f t="shared" si="69"/>
        <v>136604</v>
      </c>
      <c r="O77" s="131">
        <f t="shared" si="69"/>
        <v>68728.952999999994</v>
      </c>
      <c r="P77" s="175">
        <f t="shared" si="58"/>
        <v>0.50312547948815545</v>
      </c>
    </row>
    <row r="78" spans="1:16" ht="16.5" customHeight="1" x14ac:dyDescent="0.25">
      <c r="A78" s="123"/>
      <c r="B78" s="77" t="s">
        <v>142</v>
      </c>
      <c r="C78" s="125">
        <f t="shared" ref="C78:H78" si="71">C34+C37+C38+C44+C45-C49</f>
        <v>127021</v>
      </c>
      <c r="D78" s="125">
        <f t="shared" si="71"/>
        <v>2447</v>
      </c>
      <c r="E78" s="125">
        <f>E34+E37+E38+E44+E45-E49</f>
        <v>811</v>
      </c>
      <c r="F78" s="125">
        <f t="shared" si="71"/>
        <v>0</v>
      </c>
      <c r="G78" s="125">
        <f t="shared" si="71"/>
        <v>130279</v>
      </c>
      <c r="H78" s="125">
        <f t="shared" si="71"/>
        <v>122680</v>
      </c>
      <c r="I78" s="125">
        <f t="shared" ref="I78:O78" si="72">I34+I37+I38+I44+I45-I49</f>
        <v>126792</v>
      </c>
      <c r="J78" s="125">
        <f t="shared" si="72"/>
        <v>0</v>
      </c>
      <c r="K78" s="125">
        <f t="shared" si="72"/>
        <v>4995</v>
      </c>
      <c r="L78" s="125">
        <f t="shared" si="72"/>
        <v>4516</v>
      </c>
      <c r="M78" s="125">
        <f t="shared" ref="M78" si="73">M34+M37+M38+M44+M45-M49</f>
        <v>-200</v>
      </c>
      <c r="N78" s="125">
        <f t="shared" si="72"/>
        <v>136103</v>
      </c>
      <c r="O78" s="125">
        <f t="shared" si="72"/>
        <v>68680.070999999996</v>
      </c>
      <c r="P78" s="176">
        <f t="shared" si="58"/>
        <v>0.50461834786889337</v>
      </c>
    </row>
    <row r="79" spans="1:16" ht="16.5" customHeight="1" x14ac:dyDescent="0.25">
      <c r="A79" s="123"/>
      <c r="B79" s="77" t="s">
        <v>141</v>
      </c>
      <c r="C79" s="125">
        <f t="shared" ref="C79:H79" si="74">C49+C50+C51+C52</f>
        <v>0</v>
      </c>
      <c r="D79" s="125">
        <f t="shared" si="74"/>
        <v>550</v>
      </c>
      <c r="E79" s="125">
        <f>E49+E50+E51+E52</f>
        <v>0</v>
      </c>
      <c r="F79" s="125">
        <f t="shared" si="74"/>
        <v>0</v>
      </c>
      <c r="G79" s="125">
        <f t="shared" si="74"/>
        <v>550</v>
      </c>
      <c r="H79" s="125">
        <f t="shared" si="74"/>
        <v>163</v>
      </c>
      <c r="I79" s="125">
        <f t="shared" ref="I79:O79" si="75">I49+I50+I51+I52</f>
        <v>500</v>
      </c>
      <c r="J79" s="125">
        <f t="shared" si="75"/>
        <v>0</v>
      </c>
      <c r="K79" s="125">
        <f t="shared" si="75"/>
        <v>0</v>
      </c>
      <c r="L79" s="125">
        <f t="shared" si="75"/>
        <v>-199</v>
      </c>
      <c r="M79" s="125">
        <f t="shared" ref="M79" si="76">M49+M50+M51+M52</f>
        <v>200</v>
      </c>
      <c r="N79" s="125">
        <f t="shared" si="75"/>
        <v>501</v>
      </c>
      <c r="O79" s="125">
        <f t="shared" si="75"/>
        <v>48.881999999999998</v>
      </c>
      <c r="P79" s="176">
        <f t="shared" si="58"/>
        <v>9.75688622754491E-2</v>
      </c>
    </row>
    <row r="80" spans="1:16" ht="16.5" customHeight="1" x14ac:dyDescent="0.25">
      <c r="A80" s="123"/>
      <c r="B80" s="77" t="s">
        <v>144</v>
      </c>
      <c r="C80" s="125">
        <f t="shared" ref="C80:H80" si="77">C66</f>
        <v>0</v>
      </c>
      <c r="D80" s="125">
        <f t="shared" si="77"/>
        <v>0</v>
      </c>
      <c r="E80" s="125">
        <f>E66</f>
        <v>0</v>
      </c>
      <c r="F80" s="125">
        <f t="shared" si="77"/>
        <v>0</v>
      </c>
      <c r="G80" s="125">
        <f t="shared" si="77"/>
        <v>0</v>
      </c>
      <c r="H80" s="125">
        <f t="shared" si="77"/>
        <v>0</v>
      </c>
      <c r="I80" s="125">
        <f t="shared" ref="I80:O80" si="78">I66</f>
        <v>0</v>
      </c>
      <c r="J80" s="125">
        <f t="shared" si="78"/>
        <v>0</v>
      </c>
      <c r="K80" s="125">
        <f t="shared" si="78"/>
        <v>0</v>
      </c>
      <c r="L80" s="125">
        <f t="shared" si="78"/>
        <v>0</v>
      </c>
      <c r="M80" s="125">
        <f t="shared" ref="M80" si="79">M66</f>
        <v>0</v>
      </c>
      <c r="N80" s="125">
        <f t="shared" si="78"/>
        <v>0</v>
      </c>
      <c r="O80" s="125">
        <f t="shared" si="78"/>
        <v>0</v>
      </c>
      <c r="P80" s="176"/>
    </row>
    <row r="81" spans="1:16" ht="16.5" customHeight="1" x14ac:dyDescent="0.25">
      <c r="A81" s="132"/>
      <c r="B81" s="86" t="s">
        <v>55</v>
      </c>
      <c r="C81" s="133">
        <f t="shared" ref="C81:H84" si="80">C73-C77</f>
        <v>0</v>
      </c>
      <c r="D81" s="133">
        <f t="shared" si="80"/>
        <v>1800</v>
      </c>
      <c r="E81" s="133">
        <f>E73-E77</f>
        <v>0</v>
      </c>
      <c r="F81" s="133">
        <f t="shared" si="80"/>
        <v>0</v>
      </c>
      <c r="G81" s="133">
        <f t="shared" si="80"/>
        <v>1800</v>
      </c>
      <c r="H81" s="133">
        <f t="shared" si="80"/>
        <v>3983</v>
      </c>
      <c r="I81" s="133">
        <f t="shared" ref="I81:N83" si="81">I73-I77</f>
        <v>0</v>
      </c>
      <c r="J81" s="133">
        <f t="shared" si="81"/>
        <v>0</v>
      </c>
      <c r="K81" s="133">
        <f t="shared" ref="K81:L83" si="82">K73-K77</f>
        <v>0</v>
      </c>
      <c r="L81" s="133">
        <f t="shared" si="82"/>
        <v>0</v>
      </c>
      <c r="M81" s="133">
        <f t="shared" ref="M81" si="83">M73-M77</f>
        <v>0</v>
      </c>
      <c r="N81" s="133">
        <f t="shared" si="81"/>
        <v>0</v>
      </c>
      <c r="O81" s="133">
        <f>O73-O77</f>
        <v>2609.148000000001</v>
      </c>
      <c r="P81" s="177"/>
    </row>
    <row r="82" spans="1:16" ht="16.5" customHeight="1" x14ac:dyDescent="0.25">
      <c r="A82" s="134"/>
      <c r="B82" s="89" t="s">
        <v>140</v>
      </c>
      <c r="C82" s="135">
        <f t="shared" si="80"/>
        <v>-108569</v>
      </c>
      <c r="D82" s="135">
        <f t="shared" si="80"/>
        <v>153</v>
      </c>
      <c r="E82" s="135">
        <f>E74-E78</f>
        <v>0</v>
      </c>
      <c r="F82" s="135">
        <f t="shared" si="80"/>
        <v>0</v>
      </c>
      <c r="G82" s="135">
        <f t="shared" si="80"/>
        <v>-108416</v>
      </c>
      <c r="H82" s="135">
        <f t="shared" si="80"/>
        <v>-96940</v>
      </c>
      <c r="I82" s="135">
        <f t="shared" si="81"/>
        <v>-111837</v>
      </c>
      <c r="J82" s="135">
        <f t="shared" si="81"/>
        <v>0</v>
      </c>
      <c r="K82" s="135">
        <f t="shared" si="82"/>
        <v>-1646</v>
      </c>
      <c r="L82" s="135">
        <f t="shared" si="82"/>
        <v>-4516</v>
      </c>
      <c r="M82" s="135">
        <f t="shared" ref="M82" si="84">M74-M78</f>
        <v>200</v>
      </c>
      <c r="N82" s="135">
        <f t="shared" si="81"/>
        <v>-117799</v>
      </c>
      <c r="O82" s="135">
        <f>O74-O78</f>
        <v>-60449.274999999994</v>
      </c>
      <c r="P82" s="178">
        <f>O82/N82</f>
        <v>0.5131560964014974</v>
      </c>
    </row>
    <row r="83" spans="1:16" ht="16.5" customHeight="1" x14ac:dyDescent="0.25">
      <c r="A83" s="134"/>
      <c r="B83" s="89" t="s">
        <v>143</v>
      </c>
      <c r="C83" s="135">
        <f t="shared" si="80"/>
        <v>0</v>
      </c>
      <c r="D83" s="135">
        <f t="shared" si="80"/>
        <v>-550</v>
      </c>
      <c r="E83" s="135">
        <f>E75-E79</f>
        <v>0</v>
      </c>
      <c r="F83" s="135">
        <f t="shared" si="80"/>
        <v>0</v>
      </c>
      <c r="G83" s="135">
        <f t="shared" si="80"/>
        <v>-550</v>
      </c>
      <c r="H83" s="135">
        <f t="shared" si="80"/>
        <v>-163</v>
      </c>
      <c r="I83" s="135">
        <f t="shared" si="81"/>
        <v>-500</v>
      </c>
      <c r="J83" s="135">
        <f t="shared" si="81"/>
        <v>0</v>
      </c>
      <c r="K83" s="135">
        <f t="shared" si="82"/>
        <v>0</v>
      </c>
      <c r="L83" s="135">
        <f t="shared" si="82"/>
        <v>199</v>
      </c>
      <c r="M83" s="135">
        <f t="shared" ref="M83" si="85">M75-M79</f>
        <v>-200</v>
      </c>
      <c r="N83" s="135">
        <f t="shared" si="81"/>
        <v>-501</v>
      </c>
      <c r="O83" s="135">
        <f>O75-O79</f>
        <v>-48.881999999999998</v>
      </c>
      <c r="P83" s="178">
        <f>O83/N83</f>
        <v>9.75688622754491E-2</v>
      </c>
    </row>
    <row r="84" spans="1:16" ht="16.5" customHeight="1" x14ac:dyDescent="0.25">
      <c r="A84" s="134"/>
      <c r="B84" s="89" t="s">
        <v>144</v>
      </c>
      <c r="C84" s="135">
        <f t="shared" si="80"/>
        <v>108569</v>
      </c>
      <c r="D84" s="135">
        <f t="shared" si="80"/>
        <v>2197</v>
      </c>
      <c r="E84" s="135">
        <f>E76-E80</f>
        <v>0</v>
      </c>
      <c r="F84" s="135">
        <f t="shared" si="80"/>
        <v>0</v>
      </c>
      <c r="G84" s="135">
        <f t="shared" si="80"/>
        <v>110766</v>
      </c>
      <c r="H84" s="135">
        <f t="shared" ref="H84" si="86">H72-H61-H62</f>
        <v>101086</v>
      </c>
      <c r="I84" s="135">
        <f t="shared" ref="I84:O84" si="87">I72</f>
        <v>112337</v>
      </c>
      <c r="J84" s="135">
        <f t="shared" si="87"/>
        <v>0</v>
      </c>
      <c r="K84" s="135">
        <f t="shared" si="87"/>
        <v>4995</v>
      </c>
      <c r="L84" s="135">
        <f t="shared" si="87"/>
        <v>4317</v>
      </c>
      <c r="M84" s="135">
        <f t="shared" ref="M84" si="88">M72</f>
        <v>0</v>
      </c>
      <c r="N84" s="135">
        <f t="shared" si="87"/>
        <v>121649</v>
      </c>
      <c r="O84" s="135">
        <f t="shared" si="87"/>
        <v>63107.305</v>
      </c>
      <c r="P84" s="178">
        <f>O84/N84</f>
        <v>0.51876550567616664</v>
      </c>
    </row>
    <row r="88" spans="1:16" ht="14.45" customHeight="1" x14ac:dyDescent="0.25">
      <c r="I88" s="14"/>
      <c r="J88" s="14"/>
      <c r="K88" s="14"/>
      <c r="L88" s="14"/>
      <c r="M88" s="14"/>
      <c r="N88" s="14"/>
      <c r="O88" s="14"/>
    </row>
    <row r="89" spans="1:16" ht="14.45" customHeight="1" x14ac:dyDescent="0.25">
      <c r="G89" s="19"/>
      <c r="H89" s="19"/>
      <c r="I89" s="14"/>
      <c r="J89" s="14"/>
      <c r="K89" s="14"/>
      <c r="L89" s="14"/>
      <c r="M89" s="14"/>
      <c r="N89" s="14"/>
      <c r="O89" s="14"/>
    </row>
    <row r="90" spans="1:16" x14ac:dyDescent="0.25">
      <c r="G90" s="20"/>
      <c r="H90" s="20"/>
      <c r="I90" s="14"/>
      <c r="J90" s="14"/>
      <c r="K90" s="14"/>
      <c r="L90" s="14"/>
      <c r="M90" s="14"/>
      <c r="N90" s="14"/>
      <c r="O90" s="14"/>
    </row>
    <row r="91" spans="1:16" x14ac:dyDescent="0.25">
      <c r="G91" s="19"/>
      <c r="H91" s="19"/>
      <c r="I91" s="14"/>
      <c r="J91" s="14"/>
      <c r="K91" s="14"/>
      <c r="L91" s="14"/>
      <c r="M91" s="14"/>
      <c r="N91" s="14"/>
      <c r="O91" s="14"/>
    </row>
    <row r="92" spans="1:16" x14ac:dyDescent="0.25">
      <c r="G92" s="19"/>
      <c r="H92" s="19"/>
      <c r="I92" s="14"/>
      <c r="J92" s="14"/>
      <c r="K92" s="14"/>
      <c r="L92" s="14"/>
      <c r="M92" s="14"/>
      <c r="N92" s="14"/>
      <c r="O92" s="14"/>
    </row>
    <row r="93" spans="1:16" x14ac:dyDescent="0.25">
      <c r="G93" s="19"/>
      <c r="H93" s="19"/>
      <c r="I93" s="14"/>
      <c r="J93" s="14"/>
      <c r="K93" s="14"/>
      <c r="L93" s="14"/>
      <c r="M93" s="14"/>
      <c r="N93" s="14"/>
      <c r="O93" s="14"/>
    </row>
    <row r="94" spans="1:16" x14ac:dyDescent="0.25">
      <c r="G94" s="19"/>
      <c r="H94" s="19"/>
      <c r="I94" s="14"/>
      <c r="J94" s="14"/>
      <c r="K94" s="14"/>
      <c r="L94" s="14"/>
      <c r="M94" s="14"/>
      <c r="N94" s="14"/>
      <c r="O94" s="14"/>
    </row>
    <row r="95" spans="1:16" x14ac:dyDescent="0.25">
      <c r="G95" s="19"/>
      <c r="H95" s="19"/>
      <c r="I95" s="14"/>
      <c r="J95" s="14"/>
      <c r="K95" s="14"/>
      <c r="L95" s="14"/>
      <c r="M95" s="14"/>
      <c r="N95" s="14"/>
      <c r="O95" s="14"/>
    </row>
    <row r="96" spans="1:16" x14ac:dyDescent="0.25">
      <c r="G96" s="19"/>
      <c r="H96" s="19"/>
      <c r="I96" s="14"/>
      <c r="J96" s="14"/>
      <c r="K96" s="14"/>
      <c r="L96" s="14"/>
      <c r="M96" s="14"/>
      <c r="N96" s="14"/>
      <c r="O96" s="14"/>
    </row>
    <row r="97" spans="7:15" x14ac:dyDescent="0.25">
      <c r="G97" s="19"/>
      <c r="H97" s="19"/>
      <c r="I97" s="14"/>
      <c r="J97" s="14"/>
      <c r="K97" s="14"/>
      <c r="L97" s="14"/>
      <c r="M97" s="14"/>
      <c r="N97" s="14"/>
      <c r="O97" s="14"/>
    </row>
    <row r="98" spans="7:15" x14ac:dyDescent="0.25">
      <c r="G98" s="19"/>
      <c r="H98" s="19"/>
      <c r="I98" s="14"/>
      <c r="J98" s="14"/>
      <c r="K98" s="14"/>
      <c r="L98" s="14"/>
      <c r="M98" s="14"/>
      <c r="N98" s="14"/>
      <c r="O98" s="14"/>
    </row>
    <row r="99" spans="7:15" x14ac:dyDescent="0.25">
      <c r="G99" s="19"/>
      <c r="H99" s="19"/>
      <c r="I99" s="14"/>
      <c r="J99" s="14"/>
      <c r="K99" s="14"/>
      <c r="L99" s="14"/>
      <c r="M99" s="14"/>
      <c r="N99" s="14"/>
      <c r="O99" s="14"/>
    </row>
    <row r="100" spans="7:15" x14ac:dyDescent="0.25">
      <c r="G100" s="19"/>
      <c r="H100" s="19"/>
      <c r="I100" s="14"/>
      <c r="J100" s="14"/>
      <c r="K100" s="14"/>
      <c r="L100" s="14"/>
      <c r="M100" s="14"/>
      <c r="N100" s="14"/>
      <c r="O100" s="14"/>
    </row>
    <row r="101" spans="7:15" x14ac:dyDescent="0.25">
      <c r="G101" s="19"/>
      <c r="H101" s="19"/>
      <c r="I101" s="14"/>
      <c r="J101" s="14"/>
      <c r="K101" s="14"/>
      <c r="L101" s="14"/>
      <c r="M101" s="14"/>
      <c r="N101" s="14"/>
      <c r="O101" s="14"/>
    </row>
    <row r="102" spans="7:15" x14ac:dyDescent="0.25">
      <c r="G102" s="19"/>
      <c r="H102" s="19"/>
      <c r="I102" s="14"/>
      <c r="J102" s="14"/>
      <c r="K102" s="14"/>
      <c r="L102" s="14"/>
      <c r="M102" s="14"/>
      <c r="N102" s="14"/>
      <c r="O102" s="14"/>
    </row>
    <row r="103" spans="7:15" x14ac:dyDescent="0.25">
      <c r="G103" s="19"/>
      <c r="H103" s="19"/>
      <c r="I103" s="14"/>
      <c r="J103" s="14"/>
      <c r="K103" s="14"/>
      <c r="L103" s="14"/>
      <c r="M103" s="14"/>
      <c r="N103" s="14"/>
      <c r="O103" s="14"/>
    </row>
    <row r="104" spans="7:15" x14ac:dyDescent="0.25">
      <c r="G104" s="19"/>
      <c r="H104" s="19"/>
      <c r="I104" s="14"/>
      <c r="J104" s="14"/>
      <c r="K104" s="14"/>
      <c r="L104" s="14"/>
      <c r="M104" s="14"/>
      <c r="N104" s="14"/>
      <c r="O104" s="14"/>
    </row>
    <row r="105" spans="7:15" x14ac:dyDescent="0.25">
      <c r="G105" s="19"/>
      <c r="H105" s="19"/>
      <c r="I105" s="14"/>
      <c r="J105" s="14"/>
      <c r="K105" s="14"/>
      <c r="L105" s="14"/>
      <c r="M105" s="14"/>
      <c r="N105" s="14"/>
      <c r="O105" s="14"/>
    </row>
    <row r="106" spans="7:15" x14ac:dyDescent="0.25">
      <c r="G106" s="19"/>
      <c r="H106" s="19"/>
      <c r="I106" s="14"/>
      <c r="J106" s="14"/>
      <c r="K106" s="14"/>
      <c r="L106" s="14"/>
      <c r="M106" s="14"/>
      <c r="N106" s="14"/>
      <c r="O106" s="14"/>
    </row>
    <row r="107" spans="7:15" x14ac:dyDescent="0.25">
      <c r="G107" s="19"/>
      <c r="H107" s="19"/>
      <c r="I107" s="14"/>
      <c r="J107" s="14"/>
      <c r="K107" s="14"/>
      <c r="L107" s="14"/>
      <c r="M107" s="14"/>
      <c r="N107" s="14"/>
      <c r="O107" s="14"/>
    </row>
    <row r="108" spans="7:15" x14ac:dyDescent="0.25">
      <c r="G108" s="19"/>
      <c r="H108" s="19"/>
      <c r="I108" s="14"/>
      <c r="J108" s="14"/>
      <c r="K108" s="14"/>
      <c r="L108" s="14"/>
      <c r="M108" s="14"/>
      <c r="N108" s="14"/>
      <c r="O108" s="14"/>
    </row>
    <row r="109" spans="7:15" x14ac:dyDescent="0.25">
      <c r="G109" s="19"/>
      <c r="H109" s="19"/>
      <c r="I109" s="14"/>
      <c r="J109" s="14"/>
      <c r="K109" s="14"/>
      <c r="L109" s="14"/>
      <c r="M109" s="14"/>
      <c r="N109" s="14"/>
      <c r="O109" s="14"/>
    </row>
    <row r="110" spans="7:15" x14ac:dyDescent="0.25">
      <c r="G110" s="19"/>
      <c r="H110" s="19"/>
      <c r="I110" s="14"/>
      <c r="J110" s="14"/>
      <c r="K110" s="14"/>
      <c r="L110" s="14"/>
      <c r="M110" s="14"/>
      <c r="N110" s="14"/>
      <c r="O110" s="14"/>
    </row>
    <row r="111" spans="7:15" x14ac:dyDescent="0.25">
      <c r="G111" s="19"/>
      <c r="H111" s="19"/>
      <c r="I111" s="14"/>
      <c r="J111" s="14"/>
      <c r="K111" s="14"/>
      <c r="L111" s="14"/>
      <c r="M111" s="14"/>
      <c r="N111" s="14"/>
      <c r="O111" s="14"/>
    </row>
    <row r="112" spans="7:15" x14ac:dyDescent="0.25">
      <c r="G112" s="19"/>
      <c r="H112" s="19"/>
      <c r="I112" s="14"/>
      <c r="J112" s="14"/>
      <c r="K112" s="14"/>
      <c r="L112" s="14"/>
      <c r="M112" s="14"/>
      <c r="N112" s="14"/>
      <c r="O112" s="14"/>
    </row>
    <row r="113" spans="3:15" x14ac:dyDescent="0.25">
      <c r="G113" s="19"/>
      <c r="H113" s="19"/>
      <c r="I113" s="14"/>
      <c r="J113" s="14"/>
      <c r="K113" s="14"/>
      <c r="L113" s="14"/>
      <c r="M113" s="14"/>
      <c r="N113" s="14"/>
      <c r="O113" s="14"/>
    </row>
    <row r="114" spans="3:15" x14ac:dyDescent="0.25">
      <c r="G114" s="19"/>
      <c r="H114" s="19"/>
    </row>
    <row r="120" spans="3:15" ht="12.75" x14ac:dyDescent="0.25">
      <c r="C120" s="14"/>
      <c r="D120" s="14"/>
      <c r="E120" s="14"/>
      <c r="G120" s="14"/>
      <c r="H120" s="14"/>
      <c r="I120" s="14"/>
      <c r="J120" s="14"/>
      <c r="K120" s="14"/>
      <c r="L120" s="14"/>
      <c r="M120" s="14"/>
      <c r="N120" s="14"/>
    </row>
    <row r="121" spans="3:15" x14ac:dyDescent="0.25">
      <c r="O121" s="14"/>
    </row>
  </sheetData>
  <mergeCells count="6">
    <mergeCell ref="O1:P1"/>
    <mergeCell ref="I1:N1"/>
    <mergeCell ref="A1:A2"/>
    <mergeCell ref="B1:B2"/>
    <mergeCell ref="C1:G1"/>
    <mergeCell ref="H1:H2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61" orientation="portrait" r:id="rId1"/>
  <headerFooter>
    <oddHeader>&amp;C&amp;"Times New Roman,Félkövér"&amp;10Szentendre Város Önkormányzat összevont bevételei és kiadásai mérlegszerűen 
2016. év&amp;R&amp;"Times New Roman,Normál"&amp;10 1g. sz. melléklet
EFt</oddHeader>
    <oddFooter>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121"/>
  <sheetViews>
    <sheetView tabSelected="1" view="pageBreakPreview" zoomScale="90" zoomScaleNormal="90" zoomScaleSheetLayoutView="90" workbookViewId="0">
      <pane xSplit="2" ySplit="2" topLeftCell="H27" activePane="bottomRight" state="frozen"/>
      <selection activeCell="B6" sqref="B6"/>
      <selection pane="topRight" activeCell="B6" sqref="B6"/>
      <selection pane="bottomLeft" activeCell="B6" sqref="B6"/>
      <selection pane="bottomRight" activeCell="H84" sqref="H84:K84"/>
    </sheetView>
  </sheetViews>
  <sheetFormatPr defaultColWidth="9.28515625" defaultRowHeight="15" x14ac:dyDescent="0.25"/>
  <cols>
    <col min="1" max="1" width="7.85546875" style="14" customWidth="1"/>
    <col min="2" max="2" width="68.5703125" style="14" customWidth="1"/>
    <col min="3" max="4" width="13" style="9" hidden="1" customWidth="1"/>
    <col min="5" max="5" width="13" style="14" hidden="1" customWidth="1"/>
    <col min="6" max="7" width="13.85546875" style="18" hidden="1" customWidth="1"/>
    <col min="8" max="13" width="14.7109375" style="17" customWidth="1"/>
    <col min="14" max="14" width="14" style="17" hidden="1" customWidth="1"/>
    <col min="15" max="15" width="9.28515625" style="155" hidden="1" customWidth="1"/>
    <col min="16" max="17" width="9.28515625" style="14" customWidth="1"/>
    <col min="18" max="18" width="17.85546875" style="14" customWidth="1"/>
    <col min="19" max="26" width="9.28515625" style="14" customWidth="1"/>
    <col min="27" max="16384" width="9.28515625" style="14"/>
  </cols>
  <sheetData>
    <row r="1" spans="1:15" ht="29.25" customHeight="1" x14ac:dyDescent="0.25">
      <c r="A1" s="201"/>
      <c r="B1" s="202" t="s">
        <v>123</v>
      </c>
      <c r="C1" s="200" t="s">
        <v>162</v>
      </c>
      <c r="D1" s="200"/>
      <c r="E1" s="200"/>
      <c r="F1" s="200"/>
      <c r="G1" s="193" t="s">
        <v>176</v>
      </c>
      <c r="H1" s="200" t="s">
        <v>173</v>
      </c>
      <c r="I1" s="200"/>
      <c r="J1" s="200"/>
      <c r="K1" s="200"/>
      <c r="L1" s="200"/>
      <c r="M1" s="200"/>
      <c r="N1" s="195" t="s">
        <v>187</v>
      </c>
      <c r="O1" s="196"/>
    </row>
    <row r="2" spans="1:15" s="15" customFormat="1" ht="46.5" customHeight="1" x14ac:dyDescent="0.25">
      <c r="A2" s="201"/>
      <c r="B2" s="202"/>
      <c r="C2" s="39" t="s">
        <v>8</v>
      </c>
      <c r="D2" s="39" t="s">
        <v>166</v>
      </c>
      <c r="E2" s="39" t="s">
        <v>9</v>
      </c>
      <c r="F2" s="39" t="s">
        <v>167</v>
      </c>
      <c r="G2" s="193"/>
      <c r="H2" s="39" t="s">
        <v>8</v>
      </c>
      <c r="I2" s="39" t="s">
        <v>9</v>
      </c>
      <c r="J2" s="39" t="s">
        <v>166</v>
      </c>
      <c r="K2" s="181" t="s">
        <v>192</v>
      </c>
      <c r="L2" s="183" t="s">
        <v>193</v>
      </c>
      <c r="M2" s="39" t="s">
        <v>186</v>
      </c>
      <c r="N2" s="159" t="s">
        <v>190</v>
      </c>
      <c r="O2" s="159" t="s">
        <v>191</v>
      </c>
    </row>
    <row r="3" spans="1:15" ht="16.5" customHeight="1" x14ac:dyDescent="0.25">
      <c r="A3" s="97" t="s">
        <v>0</v>
      </c>
      <c r="B3" s="98" t="s">
        <v>91</v>
      </c>
      <c r="C3" s="99">
        <f t="shared" ref="C3:F3" si="0">C6+C7+C8+C15+C27+C31+C32</f>
        <v>86879</v>
      </c>
      <c r="D3" s="99">
        <f t="shared" si="0"/>
        <v>1505</v>
      </c>
      <c r="E3" s="99">
        <f t="shared" si="0"/>
        <v>0</v>
      </c>
      <c r="F3" s="99">
        <f t="shared" si="0"/>
        <v>88384</v>
      </c>
      <c r="G3" s="99">
        <f t="shared" ref="G3:M3" si="1">G6+G7+G8+G15+G27+G31+G32</f>
        <v>73860</v>
      </c>
      <c r="H3" s="99">
        <f>H6+H7+H8+H15+H27+H31+H32</f>
        <v>94232</v>
      </c>
      <c r="I3" s="99">
        <f t="shared" si="1"/>
        <v>0</v>
      </c>
      <c r="J3" s="99">
        <f t="shared" si="1"/>
        <v>1616</v>
      </c>
      <c r="K3" s="99">
        <f t="shared" si="1"/>
        <v>0</v>
      </c>
      <c r="L3" s="99">
        <f t="shared" si="1"/>
        <v>7737.9</v>
      </c>
      <c r="M3" s="99">
        <f t="shared" si="1"/>
        <v>103585.9</v>
      </c>
      <c r="N3" s="99">
        <f>N6+N7+N8+N15+N27+N31+N32</f>
        <v>54130.786999999997</v>
      </c>
      <c r="O3" s="161">
        <f t="shared" ref="O3:O14" si="2">N3/M3</f>
        <v>0.52256906586707264</v>
      </c>
    </row>
    <row r="4" spans="1:15" ht="16.5" customHeight="1" x14ac:dyDescent="0.25">
      <c r="A4" s="100" t="s">
        <v>92</v>
      </c>
      <c r="B4" s="100" t="s">
        <v>12</v>
      </c>
      <c r="C4" s="101"/>
      <c r="D4" s="101"/>
      <c r="E4" s="101"/>
      <c r="F4" s="101">
        <f>SUM(C4:E4)</f>
        <v>0</v>
      </c>
      <c r="G4" s="101"/>
      <c r="H4" s="101"/>
      <c r="I4" s="101"/>
      <c r="J4" s="101"/>
      <c r="K4" s="101"/>
      <c r="L4" s="101"/>
      <c r="M4" s="101"/>
      <c r="N4" s="101"/>
      <c r="O4" s="162"/>
    </row>
    <row r="5" spans="1:15" ht="16.5" customHeight="1" x14ac:dyDescent="0.25">
      <c r="A5" s="100" t="s">
        <v>163</v>
      </c>
      <c r="B5" s="100" t="s">
        <v>164</v>
      </c>
      <c r="C5" s="101">
        <v>69879</v>
      </c>
      <c r="D5" s="101"/>
      <c r="E5" s="101"/>
      <c r="F5" s="101">
        <f>SUM(C5:E5)</f>
        <v>69879</v>
      </c>
      <c r="G5" s="101">
        <v>72478</v>
      </c>
      <c r="H5" s="101">
        <v>69879</v>
      </c>
      <c r="I5" s="101"/>
      <c r="J5" s="101"/>
      <c r="K5" s="101"/>
      <c r="L5" s="101">
        <f>('[1]Intézményi kezd. ei mód'!$C$32+'[1]Intézményi kezd. ei mód'!$C$33+'[1]Intézményi kezd. ei mód'!$C$39)/1000</f>
        <v>7237.9</v>
      </c>
      <c r="M5" s="101">
        <f>SUM(H5:L5)</f>
        <v>77116.899999999994</v>
      </c>
      <c r="N5" s="101">
        <v>37650.199999999997</v>
      </c>
      <c r="O5" s="162">
        <f t="shared" si="2"/>
        <v>0.48822242595332538</v>
      </c>
    </row>
    <row r="6" spans="1:15" ht="16.5" customHeight="1" x14ac:dyDescent="0.25">
      <c r="A6" s="102" t="s">
        <v>93</v>
      </c>
      <c r="B6" s="102" t="s">
        <v>13</v>
      </c>
      <c r="C6" s="103">
        <f t="shared" ref="C6:F6" si="3">SUM(C4:C5)</f>
        <v>69879</v>
      </c>
      <c r="D6" s="103">
        <f t="shared" si="3"/>
        <v>0</v>
      </c>
      <c r="E6" s="103">
        <f t="shared" si="3"/>
        <v>0</v>
      </c>
      <c r="F6" s="103">
        <f t="shared" si="3"/>
        <v>69879</v>
      </c>
      <c r="G6" s="103">
        <f t="shared" ref="G6:M6" si="4">SUM(G4:G5)</f>
        <v>72478</v>
      </c>
      <c r="H6" s="103">
        <f t="shared" si="4"/>
        <v>69879</v>
      </c>
      <c r="I6" s="103">
        <f t="shared" si="4"/>
        <v>0</v>
      </c>
      <c r="J6" s="103">
        <f t="shared" si="4"/>
        <v>0</v>
      </c>
      <c r="K6" s="103">
        <f t="shared" si="4"/>
        <v>0</v>
      </c>
      <c r="L6" s="103">
        <f t="shared" si="4"/>
        <v>7237.9</v>
      </c>
      <c r="M6" s="103">
        <f t="shared" si="4"/>
        <v>77116.899999999994</v>
      </c>
      <c r="N6" s="103">
        <f>SUM(N4:N5)</f>
        <v>37650.199999999997</v>
      </c>
      <c r="O6" s="163">
        <f t="shared" si="2"/>
        <v>0.48822242595332538</v>
      </c>
    </row>
    <row r="7" spans="1:15" ht="16.5" customHeight="1" x14ac:dyDescent="0.25">
      <c r="A7" s="102" t="s">
        <v>94</v>
      </c>
      <c r="B7" s="102" t="s">
        <v>14</v>
      </c>
      <c r="C7" s="103"/>
      <c r="D7" s="103"/>
      <c r="E7" s="103"/>
      <c r="F7" s="103">
        <f>SUM(C7:E7)</f>
        <v>0</v>
      </c>
      <c r="G7" s="103"/>
      <c r="H7" s="103">
        <v>0</v>
      </c>
      <c r="I7" s="103">
        <v>0</v>
      </c>
      <c r="J7" s="103">
        <v>0</v>
      </c>
      <c r="K7" s="103">
        <v>0</v>
      </c>
      <c r="L7" s="103"/>
      <c r="M7" s="29">
        <f>SUM(H7:L7)</f>
        <v>0</v>
      </c>
      <c r="N7" s="103">
        <v>0</v>
      </c>
      <c r="O7" s="164"/>
    </row>
    <row r="8" spans="1:15" ht="16.5" customHeight="1" x14ac:dyDescent="0.25">
      <c r="A8" s="102" t="s">
        <v>95</v>
      </c>
      <c r="B8" s="104" t="s">
        <v>4</v>
      </c>
      <c r="C8" s="103">
        <f t="shared" ref="C8:H8" si="5">SUM(C9,C10,C14)</f>
        <v>0</v>
      </c>
      <c r="D8" s="103">
        <f t="shared" si="5"/>
        <v>0</v>
      </c>
      <c r="E8" s="103">
        <f t="shared" si="5"/>
        <v>0</v>
      </c>
      <c r="F8" s="103">
        <f t="shared" si="5"/>
        <v>0</v>
      </c>
      <c r="G8" s="103">
        <f t="shared" si="5"/>
        <v>0</v>
      </c>
      <c r="H8" s="103">
        <f t="shared" si="5"/>
        <v>0</v>
      </c>
      <c r="I8" s="103">
        <f>I9+I11+I12+I13+I14</f>
        <v>0</v>
      </c>
      <c r="J8" s="103">
        <f>J9+J11+J12+J13+J14</f>
        <v>0</v>
      </c>
      <c r="K8" s="103">
        <f>K9+K11+K12+K13+K14</f>
        <v>0</v>
      </c>
      <c r="L8" s="103"/>
      <c r="M8" s="103">
        <f>M9+M11+M12+M13+M14</f>
        <v>0</v>
      </c>
      <c r="N8" s="103">
        <f>N9+N11+N12+N13+N14</f>
        <v>0</v>
      </c>
      <c r="O8" s="163"/>
    </row>
    <row r="9" spans="1:15" ht="16.5" hidden="1" customHeight="1" x14ac:dyDescent="0.25">
      <c r="A9" s="100" t="s">
        <v>96</v>
      </c>
      <c r="B9" s="105" t="s">
        <v>15</v>
      </c>
      <c r="C9" s="101"/>
      <c r="D9" s="101"/>
      <c r="E9" s="101"/>
      <c r="F9" s="101">
        <f>SUM(C9:E9)</f>
        <v>0</v>
      </c>
      <c r="G9" s="101"/>
      <c r="H9" s="101"/>
      <c r="I9" s="101"/>
      <c r="J9" s="101"/>
      <c r="K9" s="101"/>
      <c r="L9" s="101"/>
      <c r="M9" s="101"/>
      <c r="N9" s="101"/>
      <c r="O9" s="162" t="e">
        <f t="shared" si="2"/>
        <v>#DIV/0!</v>
      </c>
    </row>
    <row r="10" spans="1:15" ht="16.5" hidden="1" customHeight="1" x14ac:dyDescent="0.25">
      <c r="A10" s="100" t="s">
        <v>125</v>
      </c>
      <c r="B10" s="105" t="s">
        <v>126</v>
      </c>
      <c r="C10" s="101">
        <f>SUM(C11:C13)</f>
        <v>0</v>
      </c>
      <c r="D10" s="101"/>
      <c r="E10" s="101">
        <f>SUM(E11:E13)</f>
        <v>0</v>
      </c>
      <c r="F10" s="101">
        <f>SUM(F11:F13)</f>
        <v>0</v>
      </c>
      <c r="G10" s="101"/>
      <c r="H10" s="101">
        <f t="shared" ref="H10:N10" si="6">SUM(H11:H13)</f>
        <v>0</v>
      </c>
      <c r="I10" s="101">
        <f t="shared" si="6"/>
        <v>0</v>
      </c>
      <c r="J10" s="101">
        <f t="shared" si="6"/>
        <v>0</v>
      </c>
      <c r="K10" s="101">
        <f t="shared" si="6"/>
        <v>0</v>
      </c>
      <c r="L10" s="101"/>
      <c r="M10" s="101">
        <f t="shared" si="6"/>
        <v>0</v>
      </c>
      <c r="N10" s="101">
        <f t="shared" si="6"/>
        <v>0</v>
      </c>
      <c r="O10" s="162" t="e">
        <f t="shared" si="2"/>
        <v>#DIV/0!</v>
      </c>
    </row>
    <row r="11" spans="1:15" ht="16.5" hidden="1" customHeight="1" x14ac:dyDescent="0.25">
      <c r="A11" s="100" t="s">
        <v>97</v>
      </c>
      <c r="B11" s="105" t="s">
        <v>16</v>
      </c>
      <c r="C11" s="101"/>
      <c r="D11" s="101"/>
      <c r="E11" s="101"/>
      <c r="F11" s="101">
        <f>SUM(C11:E11)</f>
        <v>0</v>
      </c>
      <c r="G11" s="101"/>
      <c r="H11" s="101"/>
      <c r="I11" s="101"/>
      <c r="J11" s="101"/>
      <c r="K11" s="101"/>
      <c r="L11" s="101"/>
      <c r="M11" s="101"/>
      <c r="N11" s="101"/>
      <c r="O11" s="162" t="e">
        <f t="shared" si="2"/>
        <v>#DIV/0!</v>
      </c>
    </row>
    <row r="12" spans="1:15" ht="16.5" hidden="1" customHeight="1" x14ac:dyDescent="0.25">
      <c r="A12" s="100" t="s">
        <v>98</v>
      </c>
      <c r="B12" s="105" t="s">
        <v>17</v>
      </c>
      <c r="C12" s="101"/>
      <c r="D12" s="101"/>
      <c r="E12" s="101"/>
      <c r="F12" s="101">
        <f>SUM(C12:E12)</f>
        <v>0</v>
      </c>
      <c r="G12" s="101"/>
      <c r="H12" s="101"/>
      <c r="I12" s="101"/>
      <c r="J12" s="101"/>
      <c r="K12" s="101"/>
      <c r="L12" s="101"/>
      <c r="M12" s="101"/>
      <c r="N12" s="101"/>
      <c r="O12" s="162" t="e">
        <f t="shared" si="2"/>
        <v>#DIV/0!</v>
      </c>
    </row>
    <row r="13" spans="1:15" ht="16.5" hidden="1" customHeight="1" x14ac:dyDescent="0.25">
      <c r="A13" s="100" t="s">
        <v>99</v>
      </c>
      <c r="B13" s="100" t="s">
        <v>18</v>
      </c>
      <c r="C13" s="101"/>
      <c r="D13" s="101"/>
      <c r="E13" s="101"/>
      <c r="F13" s="101">
        <f>SUM(C13:E13)</f>
        <v>0</v>
      </c>
      <c r="G13" s="101"/>
      <c r="H13" s="101"/>
      <c r="I13" s="101"/>
      <c r="J13" s="101"/>
      <c r="K13" s="101"/>
      <c r="L13" s="101"/>
      <c r="M13" s="101"/>
      <c r="N13" s="101"/>
      <c r="O13" s="162" t="e">
        <f t="shared" si="2"/>
        <v>#DIV/0!</v>
      </c>
    </row>
    <row r="14" spans="1:15" ht="16.5" hidden="1" customHeight="1" x14ac:dyDescent="0.25">
      <c r="A14" s="100" t="s">
        <v>100</v>
      </c>
      <c r="B14" s="100" t="s">
        <v>19</v>
      </c>
      <c r="C14" s="101"/>
      <c r="D14" s="101"/>
      <c r="E14" s="101"/>
      <c r="F14" s="101">
        <f>SUM(C14:E14)</f>
        <v>0</v>
      </c>
      <c r="G14" s="101"/>
      <c r="H14" s="101"/>
      <c r="I14" s="101"/>
      <c r="J14" s="101"/>
      <c r="K14" s="101"/>
      <c r="L14" s="101"/>
      <c r="M14" s="101"/>
      <c r="N14" s="101"/>
      <c r="O14" s="162" t="e">
        <f t="shared" si="2"/>
        <v>#DIV/0!</v>
      </c>
    </row>
    <row r="15" spans="1:15" ht="16.5" customHeight="1" x14ac:dyDescent="0.25">
      <c r="A15" s="102" t="s">
        <v>101</v>
      </c>
      <c r="B15" s="104" t="s">
        <v>20</v>
      </c>
      <c r="C15" s="103">
        <f t="shared" ref="C15:F15" si="7">SUM(C16:C26)</f>
        <v>17000</v>
      </c>
      <c r="D15" s="103">
        <f t="shared" si="7"/>
        <v>1105</v>
      </c>
      <c r="E15" s="103">
        <f t="shared" si="7"/>
        <v>0</v>
      </c>
      <c r="F15" s="103">
        <f t="shared" si="7"/>
        <v>18105</v>
      </c>
      <c r="G15" s="103">
        <f t="shared" ref="G15:M15" si="8">SUM(G16:G26)</f>
        <v>982</v>
      </c>
      <c r="H15" s="103">
        <f t="shared" si="8"/>
        <v>24353</v>
      </c>
      <c r="I15" s="103">
        <f t="shared" si="8"/>
        <v>0</v>
      </c>
      <c r="J15" s="103">
        <f t="shared" si="8"/>
        <v>1616</v>
      </c>
      <c r="K15" s="103">
        <f t="shared" si="8"/>
        <v>0</v>
      </c>
      <c r="L15" s="103">
        <f t="shared" si="8"/>
        <v>500</v>
      </c>
      <c r="M15" s="103">
        <f t="shared" si="8"/>
        <v>26469</v>
      </c>
      <c r="N15" s="103">
        <f>SUM(N16:N26)</f>
        <v>16480.587</v>
      </c>
      <c r="O15" s="165">
        <f>N15/M15</f>
        <v>0.62263731157202762</v>
      </c>
    </row>
    <row r="16" spans="1:15" ht="16.5" hidden="1" customHeight="1" x14ac:dyDescent="0.25">
      <c r="A16" s="105" t="s">
        <v>102</v>
      </c>
      <c r="B16" s="106" t="s">
        <v>21</v>
      </c>
      <c r="C16" s="107"/>
      <c r="D16" s="107"/>
      <c r="E16" s="107"/>
      <c r="F16" s="107">
        <f>SUM(C16:E16)</f>
        <v>0</v>
      </c>
      <c r="G16" s="107"/>
      <c r="H16" s="107"/>
      <c r="I16" s="107"/>
      <c r="J16" s="107"/>
      <c r="K16" s="107"/>
      <c r="L16" s="107"/>
      <c r="M16" s="101">
        <f t="shared" ref="M16:M32" si="9">SUM(H16:L16)</f>
        <v>0</v>
      </c>
      <c r="N16" s="107"/>
      <c r="O16" s="162"/>
    </row>
    <row r="17" spans="1:15" ht="16.5" hidden="1" customHeight="1" x14ac:dyDescent="0.25">
      <c r="A17" s="105" t="s">
        <v>103</v>
      </c>
      <c r="B17" s="106" t="s">
        <v>22</v>
      </c>
      <c r="C17" s="107"/>
      <c r="D17" s="101"/>
      <c r="E17" s="107"/>
      <c r="F17" s="101">
        <f t="shared" ref="F17:F46" si="10">SUM(C17:E17)</f>
        <v>0</v>
      </c>
      <c r="G17" s="101"/>
      <c r="H17" s="107"/>
      <c r="I17" s="101"/>
      <c r="J17" s="101"/>
      <c r="K17" s="101"/>
      <c r="L17" s="101"/>
      <c r="M17" s="101">
        <f t="shared" si="9"/>
        <v>0</v>
      </c>
      <c r="N17" s="101">
        <v>80.305000000000007</v>
      </c>
      <c r="O17" s="162"/>
    </row>
    <row r="18" spans="1:15" ht="16.5" hidden="1" customHeight="1" x14ac:dyDescent="0.25">
      <c r="A18" s="105" t="s">
        <v>104</v>
      </c>
      <c r="B18" s="106" t="s">
        <v>23</v>
      </c>
      <c r="C18" s="107"/>
      <c r="D18" s="101">
        <f>[3]összefogl!$F$83</f>
        <v>1105</v>
      </c>
      <c r="E18" s="107"/>
      <c r="F18" s="101">
        <f t="shared" si="10"/>
        <v>1105</v>
      </c>
      <c r="G18" s="101">
        <v>909</v>
      </c>
      <c r="H18" s="107"/>
      <c r="I18" s="101"/>
      <c r="J18" s="101"/>
      <c r="K18" s="101"/>
      <c r="L18" s="101"/>
      <c r="M18" s="101">
        <f t="shared" si="9"/>
        <v>0</v>
      </c>
      <c r="N18" s="101">
        <v>477.08499999999998</v>
      </c>
      <c r="O18" s="162"/>
    </row>
    <row r="19" spans="1:15" ht="16.5" hidden="1" customHeight="1" x14ac:dyDescent="0.25">
      <c r="A19" s="105" t="s">
        <v>105</v>
      </c>
      <c r="B19" s="106" t="s">
        <v>24</v>
      </c>
      <c r="C19" s="107"/>
      <c r="D19" s="101"/>
      <c r="E19" s="107"/>
      <c r="F19" s="101">
        <f t="shared" si="10"/>
        <v>0</v>
      </c>
      <c r="G19" s="101"/>
      <c r="H19" s="107"/>
      <c r="I19" s="101"/>
      <c r="J19" s="101"/>
      <c r="K19" s="101"/>
      <c r="L19" s="101"/>
      <c r="M19" s="101">
        <f t="shared" si="9"/>
        <v>0</v>
      </c>
      <c r="N19" s="101"/>
      <c r="O19" s="162"/>
    </row>
    <row r="20" spans="1:15" ht="16.5" hidden="1" customHeight="1" x14ac:dyDescent="0.25">
      <c r="A20" s="105" t="s">
        <v>106</v>
      </c>
      <c r="B20" s="106" t="s">
        <v>25</v>
      </c>
      <c r="C20" s="107">
        <v>17000</v>
      </c>
      <c r="D20" s="101"/>
      <c r="E20" s="107"/>
      <c r="F20" s="101">
        <f t="shared" si="10"/>
        <v>17000</v>
      </c>
      <c r="G20" s="101"/>
      <c r="H20" s="107">
        <v>24353</v>
      </c>
      <c r="I20" s="101"/>
      <c r="J20" s="101">
        <v>1616</v>
      </c>
      <c r="K20" s="101"/>
      <c r="L20" s="101">
        <f>'[1]Intézményi kezd. ei mód'!$C$43/1000</f>
        <v>500</v>
      </c>
      <c r="M20" s="101">
        <f t="shared" si="9"/>
        <v>26469</v>
      </c>
      <c r="N20" s="101">
        <v>15790.599</v>
      </c>
      <c r="O20" s="162">
        <f t="shared" ref="O20" si="11">N20/M20</f>
        <v>0.59656953417205028</v>
      </c>
    </row>
    <row r="21" spans="1:15" ht="16.5" hidden="1" customHeight="1" x14ac:dyDescent="0.25">
      <c r="A21" s="105" t="s">
        <v>107</v>
      </c>
      <c r="B21" s="106" t="s">
        <v>26</v>
      </c>
      <c r="C21" s="107"/>
      <c r="D21" s="101"/>
      <c r="E21" s="107"/>
      <c r="F21" s="101">
        <f t="shared" si="10"/>
        <v>0</v>
      </c>
      <c r="G21" s="101"/>
      <c r="H21" s="107"/>
      <c r="I21" s="101"/>
      <c r="J21" s="101"/>
      <c r="K21" s="101"/>
      <c r="L21" s="101"/>
      <c r="M21" s="101">
        <f t="shared" si="9"/>
        <v>0</v>
      </c>
      <c r="N21" s="101">
        <v>19.09</v>
      </c>
      <c r="O21" s="162"/>
    </row>
    <row r="22" spans="1:15" ht="16.5" hidden="1" customHeight="1" x14ac:dyDescent="0.25">
      <c r="A22" s="105" t="s">
        <v>108</v>
      </c>
      <c r="B22" s="106" t="s">
        <v>27</v>
      </c>
      <c r="C22" s="107"/>
      <c r="D22" s="101"/>
      <c r="E22" s="107"/>
      <c r="F22" s="101">
        <f t="shared" si="10"/>
        <v>0</v>
      </c>
      <c r="G22" s="101"/>
      <c r="H22" s="107"/>
      <c r="I22" s="101"/>
      <c r="J22" s="101"/>
      <c r="K22" s="101"/>
      <c r="L22" s="101"/>
      <c r="M22" s="101">
        <f t="shared" si="9"/>
        <v>0</v>
      </c>
      <c r="N22" s="101"/>
      <c r="O22" s="162"/>
    </row>
    <row r="23" spans="1:15" ht="16.5" hidden="1" customHeight="1" x14ac:dyDescent="0.25">
      <c r="A23" s="105" t="s">
        <v>109</v>
      </c>
      <c r="B23" s="106" t="s">
        <v>28</v>
      </c>
      <c r="C23" s="107"/>
      <c r="D23" s="101"/>
      <c r="E23" s="107"/>
      <c r="F23" s="101">
        <f t="shared" si="10"/>
        <v>0</v>
      </c>
      <c r="G23" s="101"/>
      <c r="H23" s="107"/>
      <c r="I23" s="101"/>
      <c r="J23" s="101"/>
      <c r="K23" s="101"/>
      <c r="L23" s="101"/>
      <c r="M23" s="101">
        <f t="shared" si="9"/>
        <v>0</v>
      </c>
      <c r="N23" s="101">
        <v>81.262</v>
      </c>
      <c r="O23" s="162"/>
    </row>
    <row r="24" spans="1:15" ht="16.5" hidden="1" customHeight="1" x14ac:dyDescent="0.25">
      <c r="A24" s="105" t="s">
        <v>110</v>
      </c>
      <c r="B24" s="106" t="s">
        <v>29</v>
      </c>
      <c r="C24" s="107"/>
      <c r="D24" s="101"/>
      <c r="E24" s="107"/>
      <c r="F24" s="101">
        <f t="shared" si="10"/>
        <v>0</v>
      </c>
      <c r="G24" s="101"/>
      <c r="H24" s="107"/>
      <c r="I24" s="101"/>
      <c r="J24" s="101"/>
      <c r="K24" s="101"/>
      <c r="L24" s="101"/>
      <c r="M24" s="101">
        <f t="shared" si="9"/>
        <v>0</v>
      </c>
      <c r="N24" s="101"/>
      <c r="O24" s="162"/>
    </row>
    <row r="25" spans="1:15" ht="16.5" hidden="1" customHeight="1" x14ac:dyDescent="0.25">
      <c r="A25" s="105" t="s">
        <v>111</v>
      </c>
      <c r="B25" s="54" t="s">
        <v>177</v>
      </c>
      <c r="C25" s="107"/>
      <c r="D25" s="101"/>
      <c r="E25" s="107"/>
      <c r="F25" s="101"/>
      <c r="G25" s="101"/>
      <c r="H25" s="107"/>
      <c r="I25" s="101"/>
      <c r="J25" s="101"/>
      <c r="K25" s="101"/>
      <c r="L25" s="101"/>
      <c r="M25" s="101">
        <f t="shared" si="9"/>
        <v>0</v>
      </c>
      <c r="N25" s="101"/>
      <c r="O25" s="162"/>
    </row>
    <row r="26" spans="1:15" ht="16.5" hidden="1" customHeight="1" x14ac:dyDescent="0.25">
      <c r="A26" s="105" t="s">
        <v>165</v>
      </c>
      <c r="B26" s="106" t="s">
        <v>30</v>
      </c>
      <c r="C26" s="107"/>
      <c r="D26" s="101"/>
      <c r="E26" s="107"/>
      <c r="F26" s="101">
        <f t="shared" si="10"/>
        <v>0</v>
      </c>
      <c r="G26" s="101">
        <v>73</v>
      </c>
      <c r="H26" s="107"/>
      <c r="I26" s="101"/>
      <c r="J26" s="101"/>
      <c r="K26" s="101"/>
      <c r="L26" s="101"/>
      <c r="M26" s="101">
        <f t="shared" si="9"/>
        <v>0</v>
      </c>
      <c r="N26" s="101">
        <v>32.246000000000002</v>
      </c>
      <c r="O26" s="162"/>
    </row>
    <row r="27" spans="1:15" ht="16.5" customHeight="1" x14ac:dyDescent="0.25">
      <c r="A27" s="102" t="s">
        <v>112</v>
      </c>
      <c r="B27" s="104" t="s">
        <v>31</v>
      </c>
      <c r="C27" s="103">
        <f t="shared" ref="C27:F27" si="12">C28+C29+C30</f>
        <v>0</v>
      </c>
      <c r="D27" s="103">
        <f t="shared" si="12"/>
        <v>0</v>
      </c>
      <c r="E27" s="103">
        <f t="shared" si="12"/>
        <v>0</v>
      </c>
      <c r="F27" s="103">
        <f t="shared" si="12"/>
        <v>0</v>
      </c>
      <c r="G27" s="103">
        <f>G28+G29+G30</f>
        <v>0</v>
      </c>
      <c r="H27" s="103">
        <f>H28+H29+H30</f>
        <v>0</v>
      </c>
      <c r="I27" s="103">
        <f>I28+I29+I30</f>
        <v>0</v>
      </c>
      <c r="J27" s="103">
        <f t="shared" ref="J27:L27" si="13">J28+J29+J30</f>
        <v>0</v>
      </c>
      <c r="K27" s="103">
        <f t="shared" si="13"/>
        <v>0</v>
      </c>
      <c r="L27" s="103">
        <f t="shared" si="13"/>
        <v>0</v>
      </c>
      <c r="M27" s="103">
        <f t="shared" si="9"/>
        <v>0</v>
      </c>
      <c r="N27" s="103">
        <f t="shared" ref="N27" si="14">N28+N29+N30</f>
        <v>0</v>
      </c>
      <c r="O27" s="165"/>
    </row>
    <row r="28" spans="1:15" ht="16.5" hidden="1" customHeight="1" x14ac:dyDescent="0.25">
      <c r="A28" s="105" t="s">
        <v>113</v>
      </c>
      <c r="B28" s="106" t="s">
        <v>32</v>
      </c>
      <c r="C28" s="101"/>
      <c r="D28" s="101"/>
      <c r="E28" s="101"/>
      <c r="F28" s="101">
        <f t="shared" si="10"/>
        <v>0</v>
      </c>
      <c r="G28" s="101"/>
      <c r="H28" s="101"/>
      <c r="I28" s="101"/>
      <c r="J28" s="101"/>
      <c r="K28" s="101"/>
      <c r="L28" s="101"/>
      <c r="M28" s="103">
        <f t="shared" si="9"/>
        <v>0</v>
      </c>
      <c r="N28" s="101"/>
      <c r="O28" s="162"/>
    </row>
    <row r="29" spans="1:15" ht="16.5" hidden="1" customHeight="1" x14ac:dyDescent="0.25">
      <c r="A29" s="105" t="s">
        <v>114</v>
      </c>
      <c r="B29" s="106" t="s">
        <v>33</v>
      </c>
      <c r="C29" s="101"/>
      <c r="D29" s="101"/>
      <c r="E29" s="101"/>
      <c r="F29" s="101">
        <f t="shared" si="10"/>
        <v>0</v>
      </c>
      <c r="G29" s="101"/>
      <c r="H29" s="101"/>
      <c r="I29" s="101"/>
      <c r="J29" s="101"/>
      <c r="K29" s="101"/>
      <c r="L29" s="101"/>
      <c r="M29" s="103">
        <f t="shared" si="9"/>
        <v>0</v>
      </c>
      <c r="N29" s="101"/>
      <c r="O29" s="162"/>
    </row>
    <row r="30" spans="1:15" ht="16.5" hidden="1" customHeight="1" x14ac:dyDescent="0.25">
      <c r="A30" s="105" t="s">
        <v>115</v>
      </c>
      <c r="B30" s="106" t="s">
        <v>34</v>
      </c>
      <c r="C30" s="101"/>
      <c r="D30" s="101"/>
      <c r="E30" s="101"/>
      <c r="F30" s="101">
        <f t="shared" si="10"/>
        <v>0</v>
      </c>
      <c r="G30" s="101"/>
      <c r="H30" s="101"/>
      <c r="I30" s="101"/>
      <c r="J30" s="101"/>
      <c r="K30" s="101"/>
      <c r="L30" s="101"/>
      <c r="M30" s="103">
        <f t="shared" si="9"/>
        <v>0</v>
      </c>
      <c r="N30" s="101"/>
      <c r="O30" s="162"/>
    </row>
    <row r="31" spans="1:15" ht="16.5" customHeight="1" x14ac:dyDescent="0.25">
      <c r="A31" s="104" t="s">
        <v>116</v>
      </c>
      <c r="B31" s="108" t="s">
        <v>5</v>
      </c>
      <c r="C31" s="103"/>
      <c r="D31" s="103"/>
      <c r="E31" s="103"/>
      <c r="F31" s="103">
        <f t="shared" si="10"/>
        <v>0</v>
      </c>
      <c r="G31" s="103"/>
      <c r="H31" s="103">
        <v>0</v>
      </c>
      <c r="I31" s="103"/>
      <c r="J31" s="103"/>
      <c r="K31" s="103"/>
      <c r="L31" s="103"/>
      <c r="M31" s="103">
        <f t="shared" si="9"/>
        <v>0</v>
      </c>
      <c r="N31" s="103">
        <v>0</v>
      </c>
      <c r="O31" s="164"/>
    </row>
    <row r="32" spans="1:15" ht="16.5" customHeight="1" x14ac:dyDescent="0.25">
      <c r="A32" s="104" t="s">
        <v>117</v>
      </c>
      <c r="B32" s="109" t="s">
        <v>7</v>
      </c>
      <c r="C32" s="103"/>
      <c r="D32" s="103">
        <f>[3]összefogl!$R$83</f>
        <v>400</v>
      </c>
      <c r="E32" s="103"/>
      <c r="F32" s="103">
        <f t="shared" si="10"/>
        <v>400</v>
      </c>
      <c r="G32" s="103">
        <v>400</v>
      </c>
      <c r="H32" s="103">
        <f>SUM(H27:H31)</f>
        <v>0</v>
      </c>
      <c r="I32" s="103">
        <f>SUM(I27:I31)</f>
        <v>0</v>
      </c>
      <c r="J32" s="103"/>
      <c r="K32" s="103"/>
      <c r="L32" s="103"/>
      <c r="M32" s="103">
        <f t="shared" si="9"/>
        <v>0</v>
      </c>
      <c r="N32" s="103">
        <v>0</v>
      </c>
      <c r="O32" s="164"/>
    </row>
    <row r="33" spans="1:15" ht="16.5" customHeight="1" x14ac:dyDescent="0.25">
      <c r="A33" s="110" t="s">
        <v>6</v>
      </c>
      <c r="B33" s="111" t="s">
        <v>76</v>
      </c>
      <c r="C33" s="112">
        <f t="shared" ref="C33:F33" si="15">C34+C37+C38+C44+C45+C50+C51+C52</f>
        <v>159985</v>
      </c>
      <c r="D33" s="112">
        <f t="shared" si="15"/>
        <v>19445</v>
      </c>
      <c r="E33" s="112">
        <f t="shared" si="15"/>
        <v>0</v>
      </c>
      <c r="F33" s="112">
        <f t="shared" si="15"/>
        <v>179430</v>
      </c>
      <c r="G33" s="112">
        <f t="shared" ref="G33:N33" si="16">G34+G37+G38+G44+G45+G50+G51+G52</f>
        <v>158039</v>
      </c>
      <c r="H33" s="112">
        <f>H34+H37+H38+H44+H45+H50+H51+H52</f>
        <v>175621</v>
      </c>
      <c r="I33" s="112">
        <f t="shared" si="16"/>
        <v>0</v>
      </c>
      <c r="J33" s="112">
        <f t="shared" si="16"/>
        <v>19489</v>
      </c>
      <c r="K33" s="112">
        <f t="shared" si="16"/>
        <v>3275</v>
      </c>
      <c r="L33" s="112">
        <f t="shared" si="16"/>
        <v>7737.9</v>
      </c>
      <c r="M33" s="112">
        <f t="shared" si="16"/>
        <v>206122.9</v>
      </c>
      <c r="N33" s="112">
        <f t="shared" si="16"/>
        <v>75078.243999999992</v>
      </c>
      <c r="O33" s="166">
        <f t="shared" ref="O33:O43" si="17">N33/M33</f>
        <v>0.36424018874176523</v>
      </c>
    </row>
    <row r="34" spans="1:15" s="16" customFormat="1" ht="16.5" customHeight="1" x14ac:dyDescent="0.25">
      <c r="A34" s="102" t="s">
        <v>60</v>
      </c>
      <c r="B34" s="102" t="s">
        <v>1</v>
      </c>
      <c r="C34" s="103">
        <v>74626</v>
      </c>
      <c r="D34" s="113">
        <f>[3]összefogl!$X$83</f>
        <v>5399</v>
      </c>
      <c r="E34" s="103">
        <v>0</v>
      </c>
      <c r="F34" s="113">
        <f t="shared" si="10"/>
        <v>80025</v>
      </c>
      <c r="G34" s="113">
        <v>83862</v>
      </c>
      <c r="H34" s="103">
        <f>SUM(H35:H36)</f>
        <v>80718</v>
      </c>
      <c r="I34" s="103">
        <f t="shared" ref="I34:N34" si="18">SUM(I35:I36)</f>
        <v>0</v>
      </c>
      <c r="J34" s="103">
        <f t="shared" si="18"/>
        <v>7927</v>
      </c>
      <c r="K34" s="103">
        <f t="shared" si="18"/>
        <v>2579</v>
      </c>
      <c r="L34" s="103">
        <f t="shared" si="18"/>
        <v>5699</v>
      </c>
      <c r="M34" s="103">
        <f t="shared" si="18"/>
        <v>96923</v>
      </c>
      <c r="N34" s="103">
        <f t="shared" si="18"/>
        <v>40186.548999999999</v>
      </c>
      <c r="O34" s="163">
        <f t="shared" si="17"/>
        <v>0.41462345366940767</v>
      </c>
    </row>
    <row r="35" spans="1:15" s="16" customFormat="1" ht="16.5" hidden="1" customHeight="1" x14ac:dyDescent="0.25">
      <c r="A35" s="50" t="s">
        <v>61</v>
      </c>
      <c r="B35" s="50" t="s">
        <v>35</v>
      </c>
      <c r="C35" s="103"/>
      <c r="D35" s="113"/>
      <c r="E35" s="103"/>
      <c r="F35" s="113"/>
      <c r="G35" s="113"/>
      <c r="H35" s="31">
        <v>80718</v>
      </c>
      <c r="I35" s="55"/>
      <c r="J35" s="55">
        <f>1465+1439+5023</f>
        <v>7927</v>
      </c>
      <c r="K35" s="55">
        <f>436+1571+572</f>
        <v>2579</v>
      </c>
      <c r="L35" s="55">
        <f>('[1]Intézményi kezd. ei mód'!$D$34+'[1]Intézményi kezd. ei mód'!$D$35+'[1]Intézményi kezd. ei mód'!$D$40)/1000</f>
        <v>5699</v>
      </c>
      <c r="M35" s="101">
        <f>SUM(H35:L35)</f>
        <v>96923</v>
      </c>
      <c r="N35" s="55">
        <v>40178.548999999999</v>
      </c>
      <c r="O35" s="162">
        <f t="shared" si="17"/>
        <v>0.41454091392136022</v>
      </c>
    </row>
    <row r="36" spans="1:15" s="16" customFormat="1" ht="16.5" hidden="1" customHeight="1" x14ac:dyDescent="0.25">
      <c r="A36" s="50" t="s">
        <v>62</v>
      </c>
      <c r="B36" s="50" t="s">
        <v>36</v>
      </c>
      <c r="C36" s="103"/>
      <c r="D36" s="113"/>
      <c r="E36" s="103"/>
      <c r="F36" s="113"/>
      <c r="G36" s="113"/>
      <c r="H36" s="31">
        <v>0</v>
      </c>
      <c r="I36" s="55"/>
      <c r="J36" s="55"/>
      <c r="K36" s="55"/>
      <c r="L36" s="55"/>
      <c r="M36" s="101">
        <f>SUM(H36:L36)</f>
        <v>0</v>
      </c>
      <c r="N36" s="55">
        <v>8</v>
      </c>
      <c r="O36" s="162"/>
    </row>
    <row r="37" spans="1:15" s="16" customFormat="1" ht="16.5" customHeight="1" x14ac:dyDescent="0.25">
      <c r="A37" s="102" t="s">
        <v>63</v>
      </c>
      <c r="B37" s="102" t="s">
        <v>2</v>
      </c>
      <c r="C37" s="103">
        <v>22251</v>
      </c>
      <c r="D37" s="113">
        <f>[3]összefogl!$Y$83</f>
        <v>1504</v>
      </c>
      <c r="E37" s="103"/>
      <c r="F37" s="113">
        <f t="shared" si="10"/>
        <v>23755</v>
      </c>
      <c r="G37" s="113">
        <v>21311</v>
      </c>
      <c r="H37" s="103">
        <v>23423</v>
      </c>
      <c r="I37" s="113"/>
      <c r="J37" s="113">
        <f>395+389+1356</f>
        <v>2140</v>
      </c>
      <c r="K37" s="113">
        <f>118+424+154</f>
        <v>696</v>
      </c>
      <c r="L37" s="113">
        <f>('[1]Intézményi kezd. ei mód'!$D$36+'[1]Intézményi kezd. ei mód'!$D$37+'[1]Intézményi kezd. ei mód'!$D$41)/1000</f>
        <v>1538.9</v>
      </c>
      <c r="M37" s="113">
        <f>SUM(H37:L37)</f>
        <v>27797.9</v>
      </c>
      <c r="N37" s="113">
        <v>10825.143</v>
      </c>
      <c r="O37" s="167">
        <f t="shared" si="17"/>
        <v>0.38942304994262156</v>
      </c>
    </row>
    <row r="38" spans="1:15" s="16" customFormat="1" ht="16.5" customHeight="1" x14ac:dyDescent="0.25">
      <c r="A38" s="102" t="s">
        <v>64</v>
      </c>
      <c r="B38" s="102" t="s">
        <v>3</v>
      </c>
      <c r="C38" s="103">
        <v>59108</v>
      </c>
      <c r="D38" s="113">
        <f>[3]összefogl!$Z$83</f>
        <v>10227</v>
      </c>
      <c r="E38" s="103">
        <v>0</v>
      </c>
      <c r="F38" s="113">
        <f t="shared" si="10"/>
        <v>69335</v>
      </c>
      <c r="G38" s="113">
        <v>44030</v>
      </c>
      <c r="H38" s="103">
        <f>SUM(H39:H43)</f>
        <v>71480</v>
      </c>
      <c r="I38" s="103">
        <f t="shared" ref="I38:N38" si="19">SUM(I39:I43)</f>
        <v>0</v>
      </c>
      <c r="J38" s="103">
        <f t="shared" si="19"/>
        <v>2759</v>
      </c>
      <c r="K38" s="103">
        <f t="shared" si="19"/>
        <v>0</v>
      </c>
      <c r="L38" s="103">
        <f t="shared" si="19"/>
        <v>500</v>
      </c>
      <c r="M38" s="103">
        <f t="shared" si="19"/>
        <v>74739</v>
      </c>
      <c r="N38" s="103">
        <f t="shared" si="19"/>
        <v>23568.856000000003</v>
      </c>
      <c r="O38" s="163">
        <f t="shared" si="17"/>
        <v>0.31534882725217095</v>
      </c>
    </row>
    <row r="39" spans="1:15" s="16" customFormat="1" ht="16.5" hidden="1" customHeight="1" x14ac:dyDescent="0.25">
      <c r="A39" s="50" t="s">
        <v>65</v>
      </c>
      <c r="B39" s="50" t="s">
        <v>37</v>
      </c>
      <c r="C39" s="103"/>
      <c r="D39" s="113"/>
      <c r="E39" s="103"/>
      <c r="F39" s="113"/>
      <c r="G39" s="113"/>
      <c r="H39" s="31">
        <v>21112</v>
      </c>
      <c r="I39" s="55"/>
      <c r="J39" s="55"/>
      <c r="K39" s="55"/>
      <c r="L39" s="55"/>
      <c r="M39" s="101">
        <f t="shared" ref="M39:M46" si="20">SUM(H39:L39)</f>
        <v>21112</v>
      </c>
      <c r="N39" s="55">
        <v>2251.837</v>
      </c>
      <c r="O39" s="162">
        <f t="shared" si="17"/>
        <v>0.10666147214854112</v>
      </c>
    </row>
    <row r="40" spans="1:15" s="16" customFormat="1" ht="16.5" hidden="1" customHeight="1" x14ac:dyDescent="0.25">
      <c r="A40" s="50" t="s">
        <v>66</v>
      </c>
      <c r="B40" s="50" t="s">
        <v>38</v>
      </c>
      <c r="C40" s="103"/>
      <c r="D40" s="113"/>
      <c r="E40" s="103"/>
      <c r="F40" s="113"/>
      <c r="G40" s="113"/>
      <c r="H40" s="31">
        <v>2855</v>
      </c>
      <c r="I40" s="55"/>
      <c r="J40" s="55"/>
      <c r="K40" s="55"/>
      <c r="L40" s="55"/>
      <c r="M40" s="101">
        <f t="shared" si="20"/>
        <v>2855</v>
      </c>
      <c r="N40" s="55">
        <v>1326.6279999999999</v>
      </c>
      <c r="O40" s="162">
        <f t="shared" si="17"/>
        <v>0.4646683012259194</v>
      </c>
    </row>
    <row r="41" spans="1:15" s="16" customFormat="1" ht="16.5" hidden="1" customHeight="1" x14ac:dyDescent="0.25">
      <c r="A41" s="50" t="s">
        <v>67</v>
      </c>
      <c r="B41" s="50" t="s">
        <v>39</v>
      </c>
      <c r="C41" s="103"/>
      <c r="D41" s="113"/>
      <c r="E41" s="103"/>
      <c r="F41" s="113"/>
      <c r="G41" s="113"/>
      <c r="H41" s="31">
        <v>30789</v>
      </c>
      <c r="I41" s="55"/>
      <c r="J41" s="55">
        <v>2759</v>
      </c>
      <c r="K41" s="55"/>
      <c r="L41" s="55">
        <f>'[1]Intézményi kezd. ei mód'!$D$44/1000</f>
        <v>500</v>
      </c>
      <c r="M41" s="101">
        <f t="shared" si="20"/>
        <v>34048</v>
      </c>
      <c r="N41" s="55">
        <v>14852.684999999999</v>
      </c>
      <c r="O41" s="162">
        <f t="shared" si="17"/>
        <v>0.43622782542293231</v>
      </c>
    </row>
    <row r="42" spans="1:15" s="16" customFormat="1" ht="16.5" hidden="1" customHeight="1" x14ac:dyDescent="0.25">
      <c r="A42" s="50" t="s">
        <v>68</v>
      </c>
      <c r="B42" s="50" t="s">
        <v>40</v>
      </c>
      <c r="C42" s="103"/>
      <c r="D42" s="113"/>
      <c r="E42" s="103"/>
      <c r="F42" s="113"/>
      <c r="G42" s="113"/>
      <c r="H42" s="31">
        <v>1138</v>
      </c>
      <c r="I42" s="55"/>
      <c r="J42" s="55"/>
      <c r="K42" s="55"/>
      <c r="L42" s="55"/>
      <c r="M42" s="101">
        <f t="shared" si="20"/>
        <v>1138</v>
      </c>
      <c r="N42" s="55">
        <v>535.27499999999998</v>
      </c>
      <c r="O42" s="162">
        <f t="shared" si="17"/>
        <v>0.47036467486818978</v>
      </c>
    </row>
    <row r="43" spans="1:15" s="16" customFormat="1" ht="16.5" hidden="1" customHeight="1" x14ac:dyDescent="0.25">
      <c r="A43" s="50" t="s">
        <v>69</v>
      </c>
      <c r="B43" s="50" t="s">
        <v>41</v>
      </c>
      <c r="C43" s="103"/>
      <c r="D43" s="113"/>
      <c r="E43" s="103"/>
      <c r="F43" s="113"/>
      <c r="G43" s="113"/>
      <c r="H43" s="31">
        <v>15586</v>
      </c>
      <c r="I43" s="55"/>
      <c r="J43" s="55"/>
      <c r="K43" s="55"/>
      <c r="L43" s="55"/>
      <c r="M43" s="101">
        <f t="shared" si="20"/>
        <v>15586</v>
      </c>
      <c r="N43" s="55">
        <v>4602.4309999999996</v>
      </c>
      <c r="O43" s="162">
        <f t="shared" si="17"/>
        <v>0.29529263441550108</v>
      </c>
    </row>
    <row r="44" spans="1:15" ht="16.5" customHeight="1" x14ac:dyDescent="0.25">
      <c r="A44" s="102" t="s">
        <v>70</v>
      </c>
      <c r="B44" s="102" t="s">
        <v>152</v>
      </c>
      <c r="C44" s="103"/>
      <c r="D44" s="113"/>
      <c r="E44" s="103"/>
      <c r="F44" s="113">
        <f t="shared" si="10"/>
        <v>0</v>
      </c>
      <c r="G44" s="113"/>
      <c r="H44" s="103">
        <v>0</v>
      </c>
      <c r="I44" s="113"/>
      <c r="J44" s="113"/>
      <c r="K44" s="113"/>
      <c r="L44" s="113"/>
      <c r="M44" s="113">
        <f t="shared" si="20"/>
        <v>0</v>
      </c>
      <c r="N44" s="113">
        <v>0</v>
      </c>
      <c r="O44" s="167"/>
    </row>
    <row r="45" spans="1:15" s="16" customFormat="1" ht="16.5" customHeight="1" x14ac:dyDescent="0.25">
      <c r="A45" s="102" t="s">
        <v>71</v>
      </c>
      <c r="B45" s="102" t="s">
        <v>153</v>
      </c>
      <c r="C45" s="103">
        <f t="shared" ref="C45:G45" si="21">SUM(C47,C46)</f>
        <v>0</v>
      </c>
      <c r="D45" s="113">
        <f t="shared" si="21"/>
        <v>0</v>
      </c>
      <c r="E45" s="103">
        <f t="shared" si="21"/>
        <v>0</v>
      </c>
      <c r="F45" s="113">
        <f t="shared" si="21"/>
        <v>0</v>
      </c>
      <c r="G45" s="113">
        <f t="shared" si="21"/>
        <v>0</v>
      </c>
      <c r="H45" s="29"/>
      <c r="I45" s="57"/>
      <c r="J45" s="57"/>
      <c r="K45" s="57"/>
      <c r="L45" s="57">
        <f>L46+L47</f>
        <v>0</v>
      </c>
      <c r="M45" s="57">
        <f t="shared" si="20"/>
        <v>0</v>
      </c>
      <c r="N45" s="113">
        <v>0</v>
      </c>
      <c r="O45" s="163"/>
    </row>
    <row r="46" spans="1:15" s="154" customFormat="1" ht="16.5" customHeight="1" x14ac:dyDescent="0.25">
      <c r="A46" s="156" t="s">
        <v>188</v>
      </c>
      <c r="B46" s="62" t="s">
        <v>154</v>
      </c>
      <c r="C46" s="63"/>
      <c r="D46" s="144"/>
      <c r="E46" s="63"/>
      <c r="F46" s="144">
        <f t="shared" si="10"/>
        <v>0</v>
      </c>
      <c r="G46" s="63"/>
      <c r="H46" s="63"/>
      <c r="I46" s="144"/>
      <c r="J46" s="144"/>
      <c r="K46" s="144"/>
      <c r="L46" s="144"/>
      <c r="M46" s="144">
        <f t="shared" si="20"/>
        <v>0</v>
      </c>
      <c r="N46" s="153"/>
      <c r="O46" s="162"/>
    </row>
    <row r="47" spans="1:15" s="154" customFormat="1" ht="16.5" customHeight="1" x14ac:dyDescent="0.25">
      <c r="A47" s="62" t="s">
        <v>168</v>
      </c>
      <c r="B47" s="62" t="s">
        <v>155</v>
      </c>
      <c r="C47" s="144">
        <f t="shared" ref="C47:F47" si="22">SUM(C48:C49)</f>
        <v>0</v>
      </c>
      <c r="D47" s="144">
        <f t="shared" si="22"/>
        <v>0</v>
      </c>
      <c r="E47" s="144">
        <f t="shared" si="22"/>
        <v>0</v>
      </c>
      <c r="F47" s="144">
        <f t="shared" si="22"/>
        <v>0</v>
      </c>
      <c r="G47" s="144">
        <f>SUM(G48:G49)</f>
        <v>0</v>
      </c>
      <c r="H47" s="144">
        <f>SUM(H48:H49)</f>
        <v>0</v>
      </c>
      <c r="I47" s="144">
        <f>SUM(I48:I49)</f>
        <v>0</v>
      </c>
      <c r="J47" s="144">
        <f t="shared" ref="J47:L47" si="23">SUM(J48:J49)</f>
        <v>0</v>
      </c>
      <c r="K47" s="144">
        <f t="shared" si="23"/>
        <v>0</v>
      </c>
      <c r="L47" s="144">
        <f t="shared" si="23"/>
        <v>0</v>
      </c>
      <c r="M47" s="144">
        <f>SUM(M48:M49)</f>
        <v>0</v>
      </c>
      <c r="N47" s="144">
        <f t="shared" ref="N47" si="24">SUM(N48:N49)</f>
        <v>0</v>
      </c>
      <c r="O47" s="162"/>
    </row>
    <row r="48" spans="1:15" s="154" customFormat="1" ht="16.5" customHeight="1" x14ac:dyDescent="0.25">
      <c r="A48" s="62"/>
      <c r="B48" s="62" t="s">
        <v>77</v>
      </c>
      <c r="C48" s="63"/>
      <c r="D48" s="144"/>
      <c r="E48" s="63"/>
      <c r="F48" s="144">
        <f>SUM(C48:E48)</f>
        <v>0</v>
      </c>
      <c r="G48" s="144"/>
      <c r="H48" s="63"/>
      <c r="I48" s="144"/>
      <c r="J48" s="144"/>
      <c r="K48" s="144"/>
      <c r="L48" s="144"/>
      <c r="M48" s="144"/>
      <c r="N48" s="153"/>
      <c r="O48" s="162"/>
    </row>
    <row r="49" spans="1:15" s="154" customFormat="1" ht="16.5" customHeight="1" x14ac:dyDescent="0.25">
      <c r="A49" s="62"/>
      <c r="B49" s="62" t="s">
        <v>78</v>
      </c>
      <c r="C49" s="63"/>
      <c r="D49" s="144"/>
      <c r="E49" s="63"/>
      <c r="F49" s="144">
        <f>SUM(C49:E49)</f>
        <v>0</v>
      </c>
      <c r="G49" s="144"/>
      <c r="H49" s="63"/>
      <c r="I49" s="144"/>
      <c r="J49" s="144"/>
      <c r="K49" s="144"/>
      <c r="L49" s="144"/>
      <c r="M49" s="144"/>
      <c r="N49" s="153"/>
      <c r="O49" s="162"/>
    </row>
    <row r="50" spans="1:15" ht="16.5" customHeight="1" x14ac:dyDescent="0.25">
      <c r="A50" s="102" t="s">
        <v>73</v>
      </c>
      <c r="B50" s="102" t="s">
        <v>169</v>
      </c>
      <c r="C50" s="103">
        <v>4000</v>
      </c>
      <c r="D50" s="113">
        <f>[3]összefogl!$AF$83</f>
        <v>2315</v>
      </c>
      <c r="E50" s="103"/>
      <c r="F50" s="113">
        <f>SUM(C50:E50)</f>
        <v>6315</v>
      </c>
      <c r="G50" s="113">
        <v>8836</v>
      </c>
      <c r="H50" s="103">
        <v>0</v>
      </c>
      <c r="I50" s="113">
        <v>0</v>
      </c>
      <c r="J50" s="113">
        <v>6663</v>
      </c>
      <c r="K50" s="113"/>
      <c r="L50" s="113"/>
      <c r="M50" s="113">
        <f>SUM(H50:L50)</f>
        <v>6663</v>
      </c>
      <c r="N50" s="113">
        <v>497.69600000000003</v>
      </c>
      <c r="O50" s="163">
        <f t="shared" ref="O50:O57" si="25">N50/M50</f>
        <v>7.4695482515383466E-2</v>
      </c>
    </row>
    <row r="51" spans="1:15" ht="16.5" customHeight="1" x14ac:dyDescent="0.25">
      <c r="A51" s="102" t="s">
        <v>74</v>
      </c>
      <c r="B51" s="102" t="s">
        <v>151</v>
      </c>
      <c r="C51" s="103"/>
      <c r="D51" s="113"/>
      <c r="E51" s="103"/>
      <c r="F51" s="113">
        <f>SUM(C51:E51)</f>
        <v>0</v>
      </c>
      <c r="G51" s="113"/>
      <c r="H51" s="103">
        <v>0</v>
      </c>
      <c r="I51" s="113">
        <v>0</v>
      </c>
      <c r="J51" s="113">
        <v>0</v>
      </c>
      <c r="K51" s="113"/>
      <c r="L51" s="113"/>
      <c r="M51" s="113">
        <f>SUM(H51:L51)</f>
        <v>0</v>
      </c>
      <c r="N51" s="113">
        <v>0</v>
      </c>
      <c r="O51" s="163"/>
    </row>
    <row r="52" spans="1:15" ht="16.5" customHeight="1" x14ac:dyDescent="0.25">
      <c r="A52" s="102" t="s">
        <v>75</v>
      </c>
      <c r="B52" s="102" t="s">
        <v>170</v>
      </c>
      <c r="C52" s="103"/>
      <c r="D52" s="113"/>
      <c r="E52" s="103"/>
      <c r="F52" s="113">
        <f>SUM(C52:E52)</f>
        <v>0</v>
      </c>
      <c r="G52" s="113"/>
      <c r="H52" s="103">
        <v>0</v>
      </c>
      <c r="I52" s="113">
        <v>0</v>
      </c>
      <c r="J52" s="113">
        <v>0</v>
      </c>
      <c r="K52" s="113"/>
      <c r="L52" s="113"/>
      <c r="M52" s="113">
        <f>SUM(H52:L52)</f>
        <v>0</v>
      </c>
      <c r="N52" s="113">
        <v>0</v>
      </c>
      <c r="O52" s="163"/>
    </row>
    <row r="53" spans="1:15" ht="16.5" customHeight="1" x14ac:dyDescent="0.25">
      <c r="A53" s="115"/>
      <c r="B53" s="116" t="s">
        <v>42</v>
      </c>
      <c r="C53" s="117">
        <f t="shared" ref="C53:G53" si="26">C3-C33</f>
        <v>-73106</v>
      </c>
      <c r="D53" s="117">
        <f t="shared" si="26"/>
        <v>-17940</v>
      </c>
      <c r="E53" s="117">
        <f t="shared" si="26"/>
        <v>0</v>
      </c>
      <c r="F53" s="117">
        <f t="shared" si="26"/>
        <v>-91046</v>
      </c>
      <c r="G53" s="117">
        <f t="shared" si="26"/>
        <v>-84179</v>
      </c>
      <c r="H53" s="117">
        <f t="shared" ref="H53:N53" si="27">H3-H33</f>
        <v>-81389</v>
      </c>
      <c r="I53" s="117">
        <f t="shared" si="27"/>
        <v>0</v>
      </c>
      <c r="J53" s="117">
        <f t="shared" si="27"/>
        <v>-17873</v>
      </c>
      <c r="K53" s="117">
        <f t="shared" si="27"/>
        <v>-3275</v>
      </c>
      <c r="L53" s="117">
        <f t="shared" ref="L53" si="28">L3-L33</f>
        <v>0</v>
      </c>
      <c r="M53" s="117">
        <f t="shared" si="27"/>
        <v>-102537</v>
      </c>
      <c r="N53" s="117">
        <f t="shared" si="27"/>
        <v>-20947.456999999995</v>
      </c>
      <c r="O53" s="169">
        <f t="shared" si="25"/>
        <v>0.20429168982903728</v>
      </c>
    </row>
    <row r="54" spans="1:15" ht="16.5" customHeight="1" x14ac:dyDescent="0.25">
      <c r="A54" s="118"/>
      <c r="B54" s="111" t="s">
        <v>43</v>
      </c>
      <c r="C54" s="112">
        <f t="shared" ref="C54:G54" si="29">C6+C8+C15+C31-C34-C37-C38-C44-C45-C50-C51</f>
        <v>-73106</v>
      </c>
      <c r="D54" s="112">
        <f t="shared" si="29"/>
        <v>-18340</v>
      </c>
      <c r="E54" s="112">
        <f t="shared" si="29"/>
        <v>0</v>
      </c>
      <c r="F54" s="112">
        <f t="shared" si="29"/>
        <v>-91446</v>
      </c>
      <c r="G54" s="112">
        <f t="shared" si="29"/>
        <v>-84579</v>
      </c>
      <c r="H54" s="112">
        <f t="shared" ref="H54:N54" si="30">H6+H8+H15+H31-H34-H37-H38-H44-H45-H50-H51</f>
        <v>-81389</v>
      </c>
      <c r="I54" s="112">
        <f t="shared" si="30"/>
        <v>0</v>
      </c>
      <c r="J54" s="112">
        <f t="shared" si="30"/>
        <v>-17873</v>
      </c>
      <c r="K54" s="112">
        <f t="shared" si="30"/>
        <v>-3275</v>
      </c>
      <c r="L54" s="112">
        <f t="shared" ref="L54" si="31">L6+L8+L15+L31-L34-L37-L38-L44-L45-L50-L51</f>
        <v>-4.5474735088646412E-13</v>
      </c>
      <c r="M54" s="112">
        <f t="shared" si="30"/>
        <v>-102537</v>
      </c>
      <c r="N54" s="112">
        <f t="shared" si="30"/>
        <v>-20947.457000000006</v>
      </c>
      <c r="O54" s="170">
        <f t="shared" si="25"/>
        <v>0.20429168982903739</v>
      </c>
    </row>
    <row r="55" spans="1:15" ht="16.5" customHeight="1" x14ac:dyDescent="0.25">
      <c r="A55" s="118"/>
      <c r="B55" s="111" t="s">
        <v>44</v>
      </c>
      <c r="C55" s="112">
        <f t="shared" ref="C55:G55" si="32">C7+C27+C32-C52</f>
        <v>0</v>
      </c>
      <c r="D55" s="112">
        <f t="shared" si="32"/>
        <v>400</v>
      </c>
      <c r="E55" s="112">
        <f t="shared" si="32"/>
        <v>0</v>
      </c>
      <c r="F55" s="112">
        <f t="shared" si="32"/>
        <v>400</v>
      </c>
      <c r="G55" s="112">
        <f t="shared" si="32"/>
        <v>400</v>
      </c>
      <c r="H55" s="112">
        <f t="shared" ref="H55:N55" si="33">H7+H27+H32-H52</f>
        <v>0</v>
      </c>
      <c r="I55" s="112">
        <f t="shared" si="33"/>
        <v>0</v>
      </c>
      <c r="J55" s="112">
        <f t="shared" si="33"/>
        <v>0</v>
      </c>
      <c r="K55" s="112">
        <f t="shared" si="33"/>
        <v>0</v>
      </c>
      <c r="L55" s="112">
        <f t="shared" ref="L55" si="34">L7+L27+L32-L52</f>
        <v>0</v>
      </c>
      <c r="M55" s="112">
        <f t="shared" si="33"/>
        <v>0</v>
      </c>
      <c r="N55" s="112">
        <f t="shared" si="33"/>
        <v>0</v>
      </c>
      <c r="O55" s="170"/>
    </row>
    <row r="56" spans="1:15" ht="16.5" customHeight="1" x14ac:dyDescent="0.25">
      <c r="A56" s="119" t="s">
        <v>132</v>
      </c>
      <c r="B56" s="98" t="s">
        <v>45</v>
      </c>
      <c r="C56" s="99">
        <f t="shared" ref="C56:G56" si="35">C57+C65</f>
        <v>73106</v>
      </c>
      <c r="D56" s="99">
        <f t="shared" si="35"/>
        <v>17940</v>
      </c>
      <c r="E56" s="99">
        <f t="shared" si="35"/>
        <v>0</v>
      </c>
      <c r="F56" s="99">
        <f t="shared" si="35"/>
        <v>91046</v>
      </c>
      <c r="G56" s="99">
        <f t="shared" si="35"/>
        <v>64607</v>
      </c>
      <c r="H56" s="99">
        <f t="shared" ref="H56:N56" si="36">H57+H65</f>
        <v>81389</v>
      </c>
      <c r="I56" s="99">
        <f t="shared" si="36"/>
        <v>0</v>
      </c>
      <c r="J56" s="99">
        <f t="shared" si="36"/>
        <v>17873</v>
      </c>
      <c r="K56" s="99">
        <f t="shared" si="36"/>
        <v>3275</v>
      </c>
      <c r="L56" s="99">
        <f t="shared" ref="L56" si="37">L57+L65</f>
        <v>0</v>
      </c>
      <c r="M56" s="99">
        <f t="shared" si="36"/>
        <v>102537</v>
      </c>
      <c r="N56" s="99">
        <f t="shared" si="36"/>
        <v>34947.880000000005</v>
      </c>
      <c r="O56" s="171">
        <f t="shared" si="25"/>
        <v>0.34083189482820841</v>
      </c>
    </row>
    <row r="57" spans="1:15" ht="16.5" customHeight="1" x14ac:dyDescent="0.25">
      <c r="A57" s="100" t="s">
        <v>120</v>
      </c>
      <c r="B57" s="100" t="s">
        <v>50</v>
      </c>
      <c r="C57" s="107">
        <f t="shared" ref="C57:G57" si="38">SUM(C58,C59,C60,C63,C64)</f>
        <v>73106</v>
      </c>
      <c r="D57" s="107">
        <f t="shared" si="38"/>
        <v>17940</v>
      </c>
      <c r="E57" s="107">
        <f t="shared" si="38"/>
        <v>0</v>
      </c>
      <c r="F57" s="107">
        <f t="shared" si="38"/>
        <v>91046</v>
      </c>
      <c r="G57" s="107">
        <f t="shared" si="38"/>
        <v>64607</v>
      </c>
      <c r="H57" s="107">
        <f>SUM(H58,H59,H60,H63,H64)</f>
        <v>81389</v>
      </c>
      <c r="I57" s="107">
        <f>SUM(I58,I59,I60,I63,I64)</f>
        <v>0</v>
      </c>
      <c r="J57" s="107">
        <f>J58+J59+J60+J63+J64</f>
        <v>17873</v>
      </c>
      <c r="K57" s="107">
        <f>SUM(K58,K59,K60,K63,K64)</f>
        <v>3275</v>
      </c>
      <c r="L57" s="107">
        <f>SUM(L58,L59,L60,L63,L64)</f>
        <v>0</v>
      </c>
      <c r="M57" s="107">
        <f>SUM(M58,M59,M60,M63,M64)</f>
        <v>102537</v>
      </c>
      <c r="N57" s="107">
        <f t="shared" ref="N57" si="39">SUM(N58,N59,N60,N63,N64)</f>
        <v>34947.880000000005</v>
      </c>
      <c r="O57" s="168">
        <f t="shared" si="25"/>
        <v>0.34083189482820841</v>
      </c>
    </row>
    <row r="58" spans="1:15" ht="16.5" customHeight="1" x14ac:dyDescent="0.25">
      <c r="A58" s="100" t="s">
        <v>79</v>
      </c>
      <c r="B58" s="100" t="s">
        <v>47</v>
      </c>
      <c r="C58" s="101"/>
      <c r="D58" s="120"/>
      <c r="E58" s="101"/>
      <c r="F58" s="120">
        <f>SUM(C58:E58)</f>
        <v>0</v>
      </c>
      <c r="G58" s="101"/>
      <c r="H58" s="101">
        <v>0</v>
      </c>
      <c r="I58" s="101">
        <v>0</v>
      </c>
      <c r="J58" s="101">
        <v>0</v>
      </c>
      <c r="K58" s="101">
        <v>0</v>
      </c>
      <c r="L58" s="101"/>
      <c r="M58" s="101">
        <f>SUM(H58:L58)</f>
        <v>0</v>
      </c>
      <c r="N58" s="101">
        <v>0</v>
      </c>
      <c r="O58" s="162"/>
    </row>
    <row r="59" spans="1:15" ht="16.5" customHeight="1" x14ac:dyDescent="0.25">
      <c r="A59" s="100" t="s">
        <v>80</v>
      </c>
      <c r="B59" s="100" t="s">
        <v>48</v>
      </c>
      <c r="C59" s="101"/>
      <c r="D59" s="107"/>
      <c r="E59" s="101"/>
      <c r="F59" s="107">
        <f>SUM(C59:E59)</f>
        <v>0</v>
      </c>
      <c r="G59" s="101"/>
      <c r="H59" s="101">
        <f>SUM(H58)</f>
        <v>0</v>
      </c>
      <c r="I59" s="107">
        <f>SUM(I58)</f>
        <v>0</v>
      </c>
      <c r="J59" s="107">
        <f>SUM(J58)</f>
        <v>0</v>
      </c>
      <c r="K59" s="107">
        <f>SUM(K58)</f>
        <v>0</v>
      </c>
      <c r="L59" s="107"/>
      <c r="M59" s="107">
        <f>SUM(H59:L59)</f>
        <v>0</v>
      </c>
      <c r="N59" s="107">
        <v>0</v>
      </c>
      <c r="O59" s="162"/>
    </row>
    <row r="60" spans="1:15" ht="16.5" customHeight="1" x14ac:dyDescent="0.25">
      <c r="A60" s="100" t="s">
        <v>81</v>
      </c>
      <c r="B60" s="100" t="s">
        <v>49</v>
      </c>
      <c r="C60" s="107">
        <f t="shared" ref="C60:G60" si="40">SUM(C61:C62)</f>
        <v>0</v>
      </c>
      <c r="D60" s="107">
        <f t="shared" si="40"/>
        <v>16737</v>
      </c>
      <c r="E60" s="107">
        <f t="shared" si="40"/>
        <v>0</v>
      </c>
      <c r="F60" s="107">
        <f t="shared" si="40"/>
        <v>16737</v>
      </c>
      <c r="G60" s="107">
        <f t="shared" si="40"/>
        <v>16737</v>
      </c>
      <c r="H60" s="107">
        <f t="shared" ref="H60:N60" si="41">SUM(H61:H62)</f>
        <v>0</v>
      </c>
      <c r="I60" s="107">
        <f t="shared" si="41"/>
        <v>0</v>
      </c>
      <c r="J60" s="107">
        <f t="shared" si="41"/>
        <v>14185</v>
      </c>
      <c r="K60" s="107">
        <f t="shared" si="41"/>
        <v>0</v>
      </c>
      <c r="L60" s="107">
        <f t="shared" si="41"/>
        <v>0</v>
      </c>
      <c r="M60" s="107">
        <f t="shared" si="41"/>
        <v>14185</v>
      </c>
      <c r="N60" s="107">
        <f t="shared" si="41"/>
        <v>14185</v>
      </c>
      <c r="O60" s="172">
        <f>N60/M60</f>
        <v>1</v>
      </c>
    </row>
    <row r="61" spans="1:15" ht="16.5" customHeight="1" x14ac:dyDescent="0.25">
      <c r="A61" s="100"/>
      <c r="B61" s="114" t="s">
        <v>82</v>
      </c>
      <c r="C61" s="101"/>
      <c r="D61" s="121">
        <v>16737</v>
      </c>
      <c r="E61" s="101"/>
      <c r="F61" s="121">
        <f>SUM(C61:E61)</f>
        <v>16737</v>
      </c>
      <c r="G61" s="121">
        <v>16737</v>
      </c>
      <c r="H61" s="101">
        <v>0</v>
      </c>
      <c r="I61" s="121"/>
      <c r="J61" s="121">
        <v>14185</v>
      </c>
      <c r="K61" s="121"/>
      <c r="L61" s="121"/>
      <c r="M61" s="121">
        <f>SUM(H61:L61)</f>
        <v>14185</v>
      </c>
      <c r="N61" s="121">
        <v>14185</v>
      </c>
      <c r="O61" s="162">
        <f>N61/M61</f>
        <v>1</v>
      </c>
    </row>
    <row r="62" spans="1:15" ht="16.5" customHeight="1" x14ac:dyDescent="0.25">
      <c r="A62" s="100"/>
      <c r="B62" s="114" t="s">
        <v>83</v>
      </c>
      <c r="C62" s="101"/>
      <c r="D62" s="107"/>
      <c r="E62" s="101"/>
      <c r="F62" s="107">
        <f>SUM(C62:E62)</f>
        <v>0</v>
      </c>
      <c r="G62" s="107"/>
      <c r="H62" s="101">
        <v>0</v>
      </c>
      <c r="I62" s="107"/>
      <c r="J62" s="107"/>
      <c r="K62" s="107"/>
      <c r="L62" s="107"/>
      <c r="M62" s="107">
        <f>SUM(H62:L62)</f>
        <v>0</v>
      </c>
      <c r="N62" s="107"/>
      <c r="O62" s="162"/>
    </row>
    <row r="63" spans="1:15" ht="16.5" customHeight="1" x14ac:dyDescent="0.25">
      <c r="A63" s="100" t="s">
        <v>84</v>
      </c>
      <c r="B63" s="100" t="s">
        <v>131</v>
      </c>
      <c r="C63" s="101"/>
      <c r="D63" s="107"/>
      <c r="E63" s="101"/>
      <c r="F63" s="107">
        <f>SUM(C63:E63)</f>
        <v>0</v>
      </c>
      <c r="G63" s="107"/>
      <c r="H63" s="101">
        <v>0</v>
      </c>
      <c r="I63" s="107"/>
      <c r="J63" s="107"/>
      <c r="K63" s="107"/>
      <c r="L63" s="107"/>
      <c r="M63" s="107">
        <f>SUM(H63:L63)</f>
        <v>0</v>
      </c>
      <c r="N63" s="107">
        <v>0</v>
      </c>
      <c r="O63" s="162"/>
    </row>
    <row r="64" spans="1:15" ht="16.5" customHeight="1" x14ac:dyDescent="0.25">
      <c r="A64" s="100" t="s">
        <v>121</v>
      </c>
      <c r="B64" s="100" t="s">
        <v>122</v>
      </c>
      <c r="C64" s="101">
        <v>73106</v>
      </c>
      <c r="D64" s="107">
        <f>[3]összefogl!$S$83</f>
        <v>1203</v>
      </c>
      <c r="E64" s="101"/>
      <c r="F64" s="107">
        <f>SUM(C64:E64)</f>
        <v>74309</v>
      </c>
      <c r="G64" s="107">
        <v>47870</v>
      </c>
      <c r="H64" s="101">
        <f>20550+60839</f>
        <v>81389</v>
      </c>
      <c r="I64" s="107"/>
      <c r="J64" s="107">
        <f>1860+1828</f>
        <v>3688</v>
      </c>
      <c r="K64" s="107">
        <f>554+1995+726</f>
        <v>3275</v>
      </c>
      <c r="L64" s="107"/>
      <c r="M64" s="107">
        <f>SUM(H64:L64)</f>
        <v>88352</v>
      </c>
      <c r="N64" s="107">
        <v>20762.88</v>
      </c>
      <c r="O64" s="172">
        <f>N64/M64</f>
        <v>0.23500181093806594</v>
      </c>
    </row>
    <row r="65" spans="1:15" ht="16.5" customHeight="1" x14ac:dyDescent="0.25">
      <c r="A65" s="100" t="s">
        <v>85</v>
      </c>
      <c r="B65" s="122" t="s">
        <v>51</v>
      </c>
      <c r="C65" s="101"/>
      <c r="D65" s="107"/>
      <c r="E65" s="101"/>
      <c r="F65" s="107">
        <f>SUM(C65:E65)</f>
        <v>0</v>
      </c>
      <c r="G65" s="107"/>
      <c r="H65" s="101"/>
      <c r="I65" s="107"/>
      <c r="J65" s="107"/>
      <c r="K65" s="107"/>
      <c r="L65" s="107"/>
      <c r="M65" s="107">
        <f>SUM(H65:L65)</f>
        <v>0</v>
      </c>
      <c r="N65" s="107"/>
      <c r="O65" s="162"/>
    </row>
    <row r="66" spans="1:15" ht="16.5" customHeight="1" x14ac:dyDescent="0.25">
      <c r="A66" s="123" t="s">
        <v>133</v>
      </c>
      <c r="B66" s="124" t="s">
        <v>52</v>
      </c>
      <c r="C66" s="125">
        <f t="shared" ref="C66:G66" si="42">C67+C71</f>
        <v>0</v>
      </c>
      <c r="D66" s="125">
        <f t="shared" si="42"/>
        <v>0</v>
      </c>
      <c r="E66" s="125">
        <f t="shared" si="42"/>
        <v>0</v>
      </c>
      <c r="F66" s="125">
        <f t="shared" si="42"/>
        <v>0</v>
      </c>
      <c r="G66" s="125">
        <f t="shared" si="42"/>
        <v>0</v>
      </c>
      <c r="H66" s="125">
        <f t="shared" ref="H66:N66" si="43">H67+H71</f>
        <v>0</v>
      </c>
      <c r="I66" s="125">
        <f t="shared" si="43"/>
        <v>0</v>
      </c>
      <c r="J66" s="125">
        <f t="shared" si="43"/>
        <v>0</v>
      </c>
      <c r="K66" s="125">
        <f t="shared" si="43"/>
        <v>0</v>
      </c>
      <c r="L66" s="125">
        <f t="shared" si="43"/>
        <v>0</v>
      </c>
      <c r="M66" s="125">
        <f t="shared" si="43"/>
        <v>0</v>
      </c>
      <c r="N66" s="125">
        <f t="shared" si="43"/>
        <v>0</v>
      </c>
      <c r="O66" s="173"/>
    </row>
    <row r="67" spans="1:15" ht="16.5" customHeight="1" x14ac:dyDescent="0.25">
      <c r="A67" s="100" t="s">
        <v>138</v>
      </c>
      <c r="B67" s="100" t="s">
        <v>139</v>
      </c>
      <c r="C67" s="107">
        <f t="shared" ref="C67:G67" si="44">SUM(C68:C70)</f>
        <v>0</v>
      </c>
      <c r="D67" s="107">
        <f t="shared" si="44"/>
        <v>0</v>
      </c>
      <c r="E67" s="107">
        <f t="shared" si="44"/>
        <v>0</v>
      </c>
      <c r="F67" s="107">
        <f t="shared" si="44"/>
        <v>0</v>
      </c>
      <c r="G67" s="107">
        <f t="shared" si="44"/>
        <v>0</v>
      </c>
      <c r="H67" s="107">
        <f t="shared" ref="H67:N67" si="45">SUM(H68:H70)</f>
        <v>0</v>
      </c>
      <c r="I67" s="107">
        <f t="shared" si="45"/>
        <v>0</v>
      </c>
      <c r="J67" s="107">
        <f t="shared" si="45"/>
        <v>0</v>
      </c>
      <c r="K67" s="107">
        <f t="shared" si="45"/>
        <v>0</v>
      </c>
      <c r="L67" s="107">
        <f t="shared" si="45"/>
        <v>0</v>
      </c>
      <c r="M67" s="107">
        <f t="shared" si="45"/>
        <v>0</v>
      </c>
      <c r="N67" s="107">
        <f t="shared" si="45"/>
        <v>0</v>
      </c>
      <c r="O67" s="168"/>
    </row>
    <row r="68" spans="1:15" ht="16.5" customHeight="1" x14ac:dyDescent="0.25">
      <c r="A68" s="100" t="s">
        <v>86</v>
      </c>
      <c r="B68" s="100" t="s">
        <v>46</v>
      </c>
      <c r="C68" s="101"/>
      <c r="D68" s="107"/>
      <c r="E68" s="101"/>
      <c r="F68" s="107">
        <f>SUM(C68:E68)</f>
        <v>0</v>
      </c>
      <c r="G68" s="101"/>
      <c r="H68" s="101"/>
      <c r="I68" s="107"/>
      <c r="J68" s="107"/>
      <c r="K68" s="107"/>
      <c r="L68" s="107"/>
      <c r="M68" s="107"/>
      <c r="N68" s="107"/>
      <c r="O68" s="168"/>
    </row>
    <row r="69" spans="1:15" ht="16.5" customHeight="1" x14ac:dyDescent="0.25">
      <c r="A69" s="100" t="s">
        <v>171</v>
      </c>
      <c r="B69" s="100" t="s">
        <v>172</v>
      </c>
      <c r="C69" s="101"/>
      <c r="D69" s="107"/>
      <c r="E69" s="101"/>
      <c r="F69" s="107">
        <f>SUM(C69:E69)</f>
        <v>0</v>
      </c>
      <c r="G69" s="101"/>
      <c r="H69" s="101"/>
      <c r="I69" s="107"/>
      <c r="J69" s="107"/>
      <c r="K69" s="107"/>
      <c r="L69" s="107"/>
      <c r="M69" s="107"/>
      <c r="N69" s="107"/>
      <c r="O69" s="168"/>
    </row>
    <row r="70" spans="1:15" ht="16.5" customHeight="1" x14ac:dyDescent="0.25">
      <c r="A70" s="100" t="s">
        <v>88</v>
      </c>
      <c r="B70" s="100" t="s">
        <v>54</v>
      </c>
      <c r="C70" s="101"/>
      <c r="D70" s="107"/>
      <c r="E70" s="101"/>
      <c r="F70" s="107">
        <f>SUM(C70:E70)</f>
        <v>0</v>
      </c>
      <c r="G70" s="101"/>
      <c r="H70" s="101">
        <v>0</v>
      </c>
      <c r="I70" s="107"/>
      <c r="J70" s="107"/>
      <c r="K70" s="107"/>
      <c r="L70" s="107"/>
      <c r="M70" s="107">
        <f>SUM(H70:L70)</f>
        <v>0</v>
      </c>
      <c r="N70" s="107">
        <v>0</v>
      </c>
      <c r="O70" s="168"/>
    </row>
    <row r="71" spans="1:15" ht="16.5" customHeight="1" x14ac:dyDescent="0.25">
      <c r="A71" s="100" t="s">
        <v>90</v>
      </c>
      <c r="B71" s="122" t="s">
        <v>89</v>
      </c>
      <c r="C71" s="101"/>
      <c r="D71" s="107"/>
      <c r="E71" s="101"/>
      <c r="F71" s="107">
        <f>SUM(C71:E71)</f>
        <v>0</v>
      </c>
      <c r="G71" s="101"/>
      <c r="H71" s="101"/>
      <c r="I71" s="107"/>
      <c r="J71" s="107"/>
      <c r="K71" s="107"/>
      <c r="L71" s="107"/>
      <c r="M71" s="107"/>
      <c r="N71" s="107"/>
      <c r="O71" s="162"/>
    </row>
    <row r="72" spans="1:15" ht="16.5" customHeight="1" x14ac:dyDescent="0.25">
      <c r="A72" s="115"/>
      <c r="B72" s="126" t="s">
        <v>57</v>
      </c>
      <c r="C72" s="117">
        <f t="shared" ref="C72:G72" si="46">C56-C66</f>
        <v>73106</v>
      </c>
      <c r="D72" s="117">
        <f t="shared" si="46"/>
        <v>17940</v>
      </c>
      <c r="E72" s="117">
        <f t="shared" si="46"/>
        <v>0</v>
      </c>
      <c r="F72" s="117">
        <f t="shared" si="46"/>
        <v>91046</v>
      </c>
      <c r="G72" s="117">
        <f t="shared" si="46"/>
        <v>64607</v>
      </c>
      <c r="H72" s="117">
        <f t="shared" ref="H72:N72" si="47">H56-H66</f>
        <v>81389</v>
      </c>
      <c r="I72" s="117">
        <f t="shared" si="47"/>
        <v>0</v>
      </c>
      <c r="J72" s="117">
        <f t="shared" si="47"/>
        <v>17873</v>
      </c>
      <c r="K72" s="117">
        <f t="shared" si="47"/>
        <v>3275</v>
      </c>
      <c r="L72" s="117">
        <f t="shared" ref="L72" si="48">L56-L66</f>
        <v>0</v>
      </c>
      <c r="M72" s="117">
        <f t="shared" si="47"/>
        <v>102537</v>
      </c>
      <c r="N72" s="117">
        <f t="shared" si="47"/>
        <v>34947.880000000005</v>
      </c>
      <c r="O72" s="169">
        <f t="shared" ref="O72:O79" si="49">N72/M72</f>
        <v>0.34083189482820841</v>
      </c>
    </row>
    <row r="73" spans="1:15" ht="16.5" customHeight="1" x14ac:dyDescent="0.25">
      <c r="A73" s="127"/>
      <c r="B73" s="128" t="s">
        <v>58</v>
      </c>
      <c r="C73" s="129">
        <f t="shared" ref="C73:F73" si="50">C3+C56</f>
        <v>159985</v>
      </c>
      <c r="D73" s="129">
        <f t="shared" si="50"/>
        <v>19445</v>
      </c>
      <c r="E73" s="129">
        <f t="shared" si="50"/>
        <v>0</v>
      </c>
      <c r="F73" s="129">
        <f t="shared" si="50"/>
        <v>179430</v>
      </c>
      <c r="G73" s="129">
        <f t="shared" ref="G73:M73" si="51">G3+G56</f>
        <v>138467</v>
      </c>
      <c r="H73" s="129">
        <f t="shared" si="51"/>
        <v>175621</v>
      </c>
      <c r="I73" s="129">
        <f t="shared" si="51"/>
        <v>0</v>
      </c>
      <c r="J73" s="129">
        <f t="shared" si="51"/>
        <v>19489</v>
      </c>
      <c r="K73" s="129">
        <f t="shared" si="51"/>
        <v>3275</v>
      </c>
      <c r="L73" s="129">
        <f t="shared" ref="L73" si="52">L3+L56</f>
        <v>7737.9</v>
      </c>
      <c r="M73" s="129">
        <f t="shared" si="51"/>
        <v>206122.9</v>
      </c>
      <c r="N73" s="129">
        <f>N3+N56</f>
        <v>89078.667000000001</v>
      </c>
      <c r="O73" s="161">
        <f t="shared" si="49"/>
        <v>0.43216288437626293</v>
      </c>
    </row>
    <row r="74" spans="1:15" ht="16.5" customHeight="1" x14ac:dyDescent="0.25">
      <c r="A74" s="119"/>
      <c r="B74" s="72" t="s">
        <v>140</v>
      </c>
      <c r="C74" s="99">
        <f>C6+C8+C15+C31</f>
        <v>86879</v>
      </c>
      <c r="D74" s="99">
        <f>D6+D8+D15+D31</f>
        <v>1105</v>
      </c>
      <c r="E74" s="99">
        <f>E6+E8+E15+E31</f>
        <v>0</v>
      </c>
      <c r="F74" s="99">
        <f>F6+F8+F15+F31</f>
        <v>87984</v>
      </c>
      <c r="G74" s="99">
        <f t="shared" ref="G74:M74" si="53">G6+G8+G15+G31+G61</f>
        <v>90197</v>
      </c>
      <c r="H74" s="99">
        <f t="shared" si="53"/>
        <v>94232</v>
      </c>
      <c r="I74" s="99">
        <f t="shared" si="53"/>
        <v>0</v>
      </c>
      <c r="J74" s="99">
        <f t="shared" si="53"/>
        <v>15801</v>
      </c>
      <c r="K74" s="99">
        <f t="shared" si="53"/>
        <v>0</v>
      </c>
      <c r="L74" s="99">
        <f t="shared" ref="L74" si="54">L6+L8+L15+L31+L61</f>
        <v>7737.9</v>
      </c>
      <c r="M74" s="99">
        <f t="shared" si="53"/>
        <v>117770.9</v>
      </c>
      <c r="N74" s="99">
        <f>N6+N8+N15+N31</f>
        <v>54130.786999999997</v>
      </c>
      <c r="O74" s="174">
        <f t="shared" si="49"/>
        <v>0.45962786223082269</v>
      </c>
    </row>
    <row r="75" spans="1:15" ht="16.5" customHeight="1" x14ac:dyDescent="0.25">
      <c r="A75" s="119"/>
      <c r="B75" s="72" t="s">
        <v>141</v>
      </c>
      <c r="C75" s="99">
        <f>C7+C27+C32</f>
        <v>0</v>
      </c>
      <c r="D75" s="99">
        <f>D7+D27+D32</f>
        <v>400</v>
      </c>
      <c r="E75" s="99">
        <f>E7+E27+E32</f>
        <v>0</v>
      </c>
      <c r="F75" s="99">
        <f>F7+F27+F32</f>
        <v>400</v>
      </c>
      <c r="G75" s="99">
        <f t="shared" ref="G75:M75" si="55">G7+G27+G32+G62</f>
        <v>400</v>
      </c>
      <c r="H75" s="99">
        <f t="shared" si="55"/>
        <v>0</v>
      </c>
      <c r="I75" s="99">
        <f t="shared" si="55"/>
        <v>0</v>
      </c>
      <c r="J75" s="99">
        <f t="shared" si="55"/>
        <v>0</v>
      </c>
      <c r="K75" s="99">
        <f t="shared" si="55"/>
        <v>0</v>
      </c>
      <c r="L75" s="99">
        <f t="shared" ref="L75" si="56">L7+L27+L32+L62</f>
        <v>0</v>
      </c>
      <c r="M75" s="99">
        <f t="shared" si="55"/>
        <v>0</v>
      </c>
      <c r="N75" s="99">
        <f>N7+N27+N32</f>
        <v>0</v>
      </c>
      <c r="O75" s="174"/>
    </row>
    <row r="76" spans="1:15" ht="16.5" customHeight="1" x14ac:dyDescent="0.25">
      <c r="A76" s="119"/>
      <c r="B76" s="72" t="s">
        <v>144</v>
      </c>
      <c r="C76" s="99">
        <f>C56</f>
        <v>73106</v>
      </c>
      <c r="D76" s="99">
        <f>D56</f>
        <v>17940</v>
      </c>
      <c r="E76" s="99">
        <f>E56</f>
        <v>0</v>
      </c>
      <c r="F76" s="99">
        <f>F56</f>
        <v>91046</v>
      </c>
      <c r="G76" s="99">
        <f t="shared" ref="G76" si="57">G56-G60</f>
        <v>47870</v>
      </c>
      <c r="H76" s="99">
        <f>H56-H66</f>
        <v>81389</v>
      </c>
      <c r="I76" s="99">
        <f t="shared" ref="I76:N76" si="58">I56-I66</f>
        <v>0</v>
      </c>
      <c r="J76" s="99">
        <f t="shared" si="58"/>
        <v>17873</v>
      </c>
      <c r="K76" s="99">
        <f t="shared" si="58"/>
        <v>3275</v>
      </c>
      <c r="L76" s="99">
        <f t="shared" ref="L76" si="59">L56-L66</f>
        <v>0</v>
      </c>
      <c r="M76" s="99">
        <f t="shared" si="58"/>
        <v>102537</v>
      </c>
      <c r="N76" s="99">
        <f t="shared" si="58"/>
        <v>34947.880000000005</v>
      </c>
      <c r="O76" s="174">
        <f t="shared" si="49"/>
        <v>0.34083189482820841</v>
      </c>
    </row>
    <row r="77" spans="1:15" ht="16.5" customHeight="1" x14ac:dyDescent="0.25">
      <c r="A77" s="130"/>
      <c r="B77" s="84" t="s">
        <v>59</v>
      </c>
      <c r="C77" s="131">
        <f t="shared" ref="C77:G77" si="60">C33+C66</f>
        <v>159985</v>
      </c>
      <c r="D77" s="131">
        <f t="shared" si="60"/>
        <v>19445</v>
      </c>
      <c r="E77" s="131">
        <f t="shared" si="60"/>
        <v>0</v>
      </c>
      <c r="F77" s="131">
        <f t="shared" si="60"/>
        <v>179430</v>
      </c>
      <c r="G77" s="131">
        <f t="shared" si="60"/>
        <v>158039</v>
      </c>
      <c r="H77" s="131">
        <f t="shared" ref="H77:N77" si="61">H33+H66</f>
        <v>175621</v>
      </c>
      <c r="I77" s="131">
        <f t="shared" si="61"/>
        <v>0</v>
      </c>
      <c r="J77" s="131">
        <f t="shared" si="61"/>
        <v>19489</v>
      </c>
      <c r="K77" s="131">
        <f t="shared" si="61"/>
        <v>3275</v>
      </c>
      <c r="L77" s="131">
        <f t="shared" ref="L77" si="62">L33+L66</f>
        <v>7737.9</v>
      </c>
      <c r="M77" s="131">
        <f t="shared" si="61"/>
        <v>206122.9</v>
      </c>
      <c r="N77" s="131">
        <f t="shared" si="61"/>
        <v>75078.243999999992</v>
      </c>
      <c r="O77" s="175">
        <f t="shared" si="49"/>
        <v>0.36424018874176523</v>
      </c>
    </row>
    <row r="78" spans="1:15" ht="16.5" customHeight="1" x14ac:dyDescent="0.25">
      <c r="A78" s="123"/>
      <c r="B78" s="77" t="s">
        <v>142</v>
      </c>
      <c r="C78" s="125">
        <f t="shared" ref="C78:G78" si="63">C34+C37+C38+C44+C45-C49</f>
        <v>155985</v>
      </c>
      <c r="D78" s="125">
        <f t="shared" si="63"/>
        <v>17130</v>
      </c>
      <c r="E78" s="125">
        <f t="shared" si="63"/>
        <v>0</v>
      </c>
      <c r="F78" s="125">
        <f t="shared" si="63"/>
        <v>173115</v>
      </c>
      <c r="G78" s="125">
        <f t="shared" si="63"/>
        <v>149203</v>
      </c>
      <c r="H78" s="125">
        <f t="shared" ref="H78:N78" si="64">H34+H37+H38+H44+H45-H49</f>
        <v>175621</v>
      </c>
      <c r="I78" s="125">
        <f t="shared" si="64"/>
        <v>0</v>
      </c>
      <c r="J78" s="125">
        <f t="shared" si="64"/>
        <v>12826</v>
      </c>
      <c r="K78" s="125">
        <f t="shared" si="64"/>
        <v>3275</v>
      </c>
      <c r="L78" s="125">
        <f t="shared" ref="L78" si="65">L34+L37+L38+L44+L45-L49</f>
        <v>7737.9</v>
      </c>
      <c r="M78" s="125">
        <f t="shared" si="64"/>
        <v>199459.9</v>
      </c>
      <c r="N78" s="125">
        <f t="shared" si="64"/>
        <v>74580.547999999995</v>
      </c>
      <c r="O78" s="176">
        <f t="shared" si="49"/>
        <v>0.37391249068108423</v>
      </c>
    </row>
    <row r="79" spans="1:15" ht="16.5" customHeight="1" x14ac:dyDescent="0.25">
      <c r="A79" s="123"/>
      <c r="B79" s="77" t="s">
        <v>141</v>
      </c>
      <c r="C79" s="125">
        <f t="shared" ref="C79:G79" si="66">C49+C50+C51+C52</f>
        <v>4000</v>
      </c>
      <c r="D79" s="125">
        <f t="shared" si="66"/>
        <v>2315</v>
      </c>
      <c r="E79" s="125">
        <f t="shared" si="66"/>
        <v>0</v>
      </c>
      <c r="F79" s="125">
        <f t="shared" si="66"/>
        <v>6315</v>
      </c>
      <c r="G79" s="125">
        <f t="shared" si="66"/>
        <v>8836</v>
      </c>
      <c r="H79" s="125">
        <f t="shared" ref="H79:N79" si="67">H49+H50+H51+H52</f>
        <v>0</v>
      </c>
      <c r="I79" s="125">
        <f t="shared" si="67"/>
        <v>0</v>
      </c>
      <c r="J79" s="125">
        <f t="shared" si="67"/>
        <v>6663</v>
      </c>
      <c r="K79" s="125">
        <f t="shared" si="67"/>
        <v>0</v>
      </c>
      <c r="L79" s="125">
        <f t="shared" ref="L79" si="68">L49+L50+L51+L52</f>
        <v>0</v>
      </c>
      <c r="M79" s="125">
        <f t="shared" si="67"/>
        <v>6663</v>
      </c>
      <c r="N79" s="125">
        <f t="shared" si="67"/>
        <v>497.69600000000003</v>
      </c>
      <c r="O79" s="176">
        <f t="shared" si="49"/>
        <v>7.4695482515383466E-2</v>
      </c>
    </row>
    <row r="80" spans="1:15" ht="16.5" customHeight="1" x14ac:dyDescent="0.25">
      <c r="A80" s="123"/>
      <c r="B80" s="77" t="s">
        <v>144</v>
      </c>
      <c r="C80" s="125">
        <f t="shared" ref="C80:G80" si="69">C66</f>
        <v>0</v>
      </c>
      <c r="D80" s="125">
        <f t="shared" si="69"/>
        <v>0</v>
      </c>
      <c r="E80" s="125">
        <f t="shared" si="69"/>
        <v>0</v>
      </c>
      <c r="F80" s="125">
        <f t="shared" si="69"/>
        <v>0</v>
      </c>
      <c r="G80" s="125">
        <f t="shared" si="69"/>
        <v>0</v>
      </c>
      <c r="H80" s="125">
        <f t="shared" ref="H80:N80" si="70">H66</f>
        <v>0</v>
      </c>
      <c r="I80" s="125">
        <f t="shared" si="70"/>
        <v>0</v>
      </c>
      <c r="J80" s="125">
        <f t="shared" si="70"/>
        <v>0</v>
      </c>
      <c r="K80" s="125">
        <f t="shared" si="70"/>
        <v>0</v>
      </c>
      <c r="L80" s="125">
        <f t="shared" ref="L80" si="71">L66</f>
        <v>0</v>
      </c>
      <c r="M80" s="125">
        <f t="shared" si="70"/>
        <v>0</v>
      </c>
      <c r="N80" s="125">
        <f t="shared" si="70"/>
        <v>0</v>
      </c>
      <c r="O80" s="176"/>
    </row>
    <row r="81" spans="1:15" ht="16.5" customHeight="1" x14ac:dyDescent="0.25">
      <c r="A81" s="132"/>
      <c r="B81" s="86" t="s">
        <v>55</v>
      </c>
      <c r="C81" s="133">
        <f t="shared" ref="C81:G84" si="72">C73-C77</f>
        <v>0</v>
      </c>
      <c r="D81" s="133">
        <f t="shared" si="72"/>
        <v>0</v>
      </c>
      <c r="E81" s="133">
        <f t="shared" si="72"/>
        <v>0</v>
      </c>
      <c r="F81" s="133">
        <f t="shared" si="72"/>
        <v>0</v>
      </c>
      <c r="G81" s="133">
        <f t="shared" si="72"/>
        <v>-19572</v>
      </c>
      <c r="H81" s="133">
        <f t="shared" ref="H81:M83" si="73">H73-H77</f>
        <v>0</v>
      </c>
      <c r="I81" s="133">
        <f t="shared" si="73"/>
        <v>0</v>
      </c>
      <c r="J81" s="133">
        <f t="shared" ref="J81:K83" si="74">J73-J77</f>
        <v>0</v>
      </c>
      <c r="K81" s="133">
        <f t="shared" si="74"/>
        <v>0</v>
      </c>
      <c r="L81" s="133">
        <f t="shared" ref="L81" si="75">L73-L77</f>
        <v>0</v>
      </c>
      <c r="M81" s="133">
        <f t="shared" si="73"/>
        <v>0</v>
      </c>
      <c r="N81" s="133">
        <f>N73-N77</f>
        <v>14000.42300000001</v>
      </c>
      <c r="O81" s="177"/>
    </row>
    <row r="82" spans="1:15" ht="16.5" customHeight="1" x14ac:dyDescent="0.25">
      <c r="A82" s="134"/>
      <c r="B82" s="89" t="s">
        <v>140</v>
      </c>
      <c r="C82" s="135">
        <f t="shared" si="72"/>
        <v>-69106</v>
      </c>
      <c r="D82" s="135">
        <f t="shared" si="72"/>
        <v>-16025</v>
      </c>
      <c r="E82" s="135">
        <f t="shared" si="72"/>
        <v>0</v>
      </c>
      <c r="F82" s="135">
        <f t="shared" si="72"/>
        <v>-85131</v>
      </c>
      <c r="G82" s="135">
        <f t="shared" si="72"/>
        <v>-59006</v>
      </c>
      <c r="H82" s="135">
        <f t="shared" si="73"/>
        <v>-81389</v>
      </c>
      <c r="I82" s="135">
        <f t="shared" si="73"/>
        <v>0</v>
      </c>
      <c r="J82" s="135">
        <f t="shared" si="74"/>
        <v>2975</v>
      </c>
      <c r="K82" s="135">
        <f t="shared" si="74"/>
        <v>-3275</v>
      </c>
      <c r="L82" s="135">
        <f t="shared" ref="L82" si="76">L74-L78</f>
        <v>0</v>
      </c>
      <c r="M82" s="135">
        <f t="shared" si="73"/>
        <v>-81689</v>
      </c>
      <c r="N82" s="135">
        <f>N74-N78</f>
        <v>-20449.760999999999</v>
      </c>
      <c r="O82" s="178">
        <f>N82/M82</f>
        <v>0.2503367772894759</v>
      </c>
    </row>
    <row r="83" spans="1:15" ht="16.5" customHeight="1" x14ac:dyDescent="0.25">
      <c r="A83" s="134"/>
      <c r="B83" s="89" t="s">
        <v>143</v>
      </c>
      <c r="C83" s="135">
        <f t="shared" si="72"/>
        <v>-4000</v>
      </c>
      <c r="D83" s="135">
        <f t="shared" si="72"/>
        <v>-1915</v>
      </c>
      <c r="E83" s="135">
        <f t="shared" si="72"/>
        <v>0</v>
      </c>
      <c r="F83" s="135">
        <f t="shared" si="72"/>
        <v>-5915</v>
      </c>
      <c r="G83" s="135">
        <f t="shared" si="72"/>
        <v>-8436</v>
      </c>
      <c r="H83" s="135">
        <f t="shared" si="73"/>
        <v>0</v>
      </c>
      <c r="I83" s="135">
        <f t="shared" si="73"/>
        <v>0</v>
      </c>
      <c r="J83" s="135">
        <f t="shared" si="74"/>
        <v>-6663</v>
      </c>
      <c r="K83" s="135">
        <f t="shared" si="74"/>
        <v>0</v>
      </c>
      <c r="L83" s="135">
        <f t="shared" ref="L83" si="77">L75-L79</f>
        <v>0</v>
      </c>
      <c r="M83" s="135">
        <f t="shared" si="73"/>
        <v>-6663</v>
      </c>
      <c r="N83" s="135">
        <f>N75-N79</f>
        <v>-497.69600000000003</v>
      </c>
      <c r="O83" s="178">
        <f>N83/M83</f>
        <v>7.4695482515383466E-2</v>
      </c>
    </row>
    <row r="84" spans="1:15" ht="16.5" customHeight="1" x14ac:dyDescent="0.25">
      <c r="A84" s="134"/>
      <c r="B84" s="89" t="s">
        <v>144</v>
      </c>
      <c r="C84" s="135">
        <f t="shared" si="72"/>
        <v>73106</v>
      </c>
      <c r="D84" s="135">
        <f t="shared" si="72"/>
        <v>17940</v>
      </c>
      <c r="E84" s="135">
        <f t="shared" si="72"/>
        <v>0</v>
      </c>
      <c r="F84" s="135">
        <f t="shared" si="72"/>
        <v>91046</v>
      </c>
      <c r="G84" s="135">
        <f t="shared" ref="G84" si="78">G72-G61-G62</f>
        <v>47870</v>
      </c>
      <c r="H84" s="135">
        <f t="shared" ref="H84:M84" si="79">H72</f>
        <v>81389</v>
      </c>
      <c r="I84" s="135">
        <f t="shared" si="79"/>
        <v>0</v>
      </c>
      <c r="J84" s="135">
        <f t="shared" si="79"/>
        <v>17873</v>
      </c>
      <c r="K84" s="135">
        <f t="shared" si="79"/>
        <v>3275</v>
      </c>
      <c r="L84" s="135">
        <f t="shared" ref="L84" si="80">L72</f>
        <v>0</v>
      </c>
      <c r="M84" s="135">
        <f t="shared" si="79"/>
        <v>102537</v>
      </c>
      <c r="N84" s="135">
        <f t="shared" ref="N84" si="81">N72</f>
        <v>34947.880000000005</v>
      </c>
      <c r="O84" s="178">
        <f>N84/M84</f>
        <v>0.34083189482820841</v>
      </c>
    </row>
    <row r="88" spans="1:15" x14ac:dyDescent="0.25">
      <c r="H88" s="14"/>
      <c r="I88" s="14"/>
      <c r="J88" s="14"/>
      <c r="K88" s="14"/>
      <c r="L88" s="14"/>
      <c r="M88" s="14"/>
      <c r="N88" s="14"/>
    </row>
    <row r="89" spans="1:15" x14ac:dyDescent="0.25">
      <c r="F89" s="19"/>
      <c r="G89" s="19"/>
      <c r="H89" s="14"/>
      <c r="I89" s="14"/>
      <c r="J89" s="14"/>
      <c r="K89" s="14"/>
      <c r="L89" s="14"/>
      <c r="M89" s="14"/>
      <c r="N89" s="14"/>
    </row>
    <row r="90" spans="1:15" x14ac:dyDescent="0.25">
      <c r="F90" s="20"/>
      <c r="G90" s="20"/>
      <c r="H90" s="14"/>
      <c r="I90" s="14"/>
      <c r="J90" s="14"/>
      <c r="K90" s="14"/>
      <c r="L90" s="14"/>
      <c r="M90" s="14"/>
      <c r="N90" s="14"/>
    </row>
    <row r="91" spans="1:15" x14ac:dyDescent="0.25">
      <c r="F91" s="19"/>
      <c r="G91" s="19"/>
      <c r="H91" s="14"/>
      <c r="I91" s="14"/>
      <c r="J91" s="14"/>
      <c r="K91" s="14"/>
      <c r="L91" s="14"/>
      <c r="M91" s="14"/>
      <c r="N91" s="14"/>
    </row>
    <row r="92" spans="1:15" x14ac:dyDescent="0.25">
      <c r="F92" s="19"/>
      <c r="G92" s="19"/>
      <c r="H92" s="14"/>
      <c r="I92" s="14"/>
      <c r="J92" s="14"/>
      <c r="K92" s="14"/>
      <c r="L92" s="14"/>
      <c r="M92" s="14"/>
      <c r="N92" s="14"/>
    </row>
    <row r="93" spans="1:15" x14ac:dyDescent="0.25">
      <c r="F93" s="19"/>
      <c r="G93" s="19"/>
      <c r="H93" s="14"/>
      <c r="I93" s="14"/>
      <c r="J93" s="14"/>
      <c r="K93" s="14"/>
      <c r="L93" s="14"/>
      <c r="M93" s="14"/>
      <c r="N93" s="14"/>
    </row>
    <row r="94" spans="1:15" x14ac:dyDescent="0.25">
      <c r="F94" s="19"/>
      <c r="G94" s="19"/>
      <c r="H94" s="14"/>
      <c r="I94" s="14"/>
      <c r="J94" s="14"/>
      <c r="K94" s="14"/>
      <c r="L94" s="14"/>
      <c r="M94" s="14"/>
      <c r="N94" s="14"/>
    </row>
    <row r="95" spans="1:15" x14ac:dyDescent="0.25">
      <c r="F95" s="19"/>
      <c r="G95" s="19"/>
      <c r="H95" s="14"/>
      <c r="I95" s="14"/>
      <c r="J95" s="14"/>
      <c r="K95" s="14"/>
      <c r="L95" s="14"/>
      <c r="M95" s="14"/>
      <c r="N95" s="14"/>
    </row>
    <row r="96" spans="1:15" x14ac:dyDescent="0.25">
      <c r="F96" s="19"/>
      <c r="G96" s="19"/>
      <c r="H96" s="14"/>
      <c r="I96" s="14"/>
      <c r="J96" s="14"/>
      <c r="K96" s="14"/>
      <c r="L96" s="14"/>
      <c r="M96" s="14"/>
      <c r="N96" s="14"/>
    </row>
    <row r="97" spans="6:14" x14ac:dyDescent="0.25">
      <c r="F97" s="19"/>
      <c r="G97" s="19"/>
      <c r="H97" s="14"/>
      <c r="I97" s="14"/>
      <c r="J97" s="14"/>
      <c r="K97" s="14"/>
      <c r="L97" s="14"/>
      <c r="M97" s="14"/>
      <c r="N97" s="14"/>
    </row>
    <row r="98" spans="6:14" x14ac:dyDescent="0.25">
      <c r="F98" s="19"/>
      <c r="G98" s="19"/>
      <c r="H98" s="14"/>
      <c r="I98" s="14"/>
      <c r="J98" s="14"/>
      <c r="K98" s="14"/>
      <c r="L98" s="14"/>
      <c r="M98" s="14"/>
      <c r="N98" s="14"/>
    </row>
    <row r="99" spans="6:14" x14ac:dyDescent="0.25">
      <c r="F99" s="19"/>
      <c r="G99" s="19"/>
      <c r="H99" s="14"/>
      <c r="I99" s="14"/>
      <c r="J99" s="14"/>
      <c r="K99" s="14"/>
      <c r="L99" s="14"/>
      <c r="M99" s="14"/>
      <c r="N99" s="14"/>
    </row>
    <row r="100" spans="6:14" x14ac:dyDescent="0.25">
      <c r="F100" s="19"/>
      <c r="G100" s="19"/>
      <c r="H100" s="14"/>
      <c r="I100" s="14"/>
      <c r="J100" s="14"/>
      <c r="K100" s="14"/>
      <c r="L100" s="14"/>
      <c r="M100" s="14"/>
      <c r="N100" s="14"/>
    </row>
    <row r="101" spans="6:14" x14ac:dyDescent="0.25">
      <c r="F101" s="19"/>
      <c r="G101" s="19"/>
      <c r="H101" s="14"/>
      <c r="I101" s="14"/>
      <c r="J101" s="14"/>
      <c r="K101" s="14"/>
      <c r="L101" s="14"/>
      <c r="M101" s="14"/>
      <c r="N101" s="14"/>
    </row>
    <row r="102" spans="6:14" x14ac:dyDescent="0.25">
      <c r="F102" s="19"/>
      <c r="G102" s="19"/>
      <c r="H102" s="14"/>
      <c r="I102" s="14"/>
      <c r="J102" s="14"/>
      <c r="K102" s="14"/>
      <c r="L102" s="14"/>
      <c r="M102" s="14"/>
      <c r="N102" s="14"/>
    </row>
    <row r="103" spans="6:14" x14ac:dyDescent="0.25">
      <c r="F103" s="19"/>
      <c r="G103" s="19"/>
      <c r="H103" s="14"/>
      <c r="I103" s="14"/>
      <c r="J103" s="14"/>
      <c r="K103" s="14"/>
      <c r="L103" s="14"/>
      <c r="M103" s="14"/>
      <c r="N103" s="14"/>
    </row>
    <row r="104" spans="6:14" x14ac:dyDescent="0.25">
      <c r="F104" s="19"/>
      <c r="G104" s="19"/>
      <c r="H104" s="14"/>
      <c r="I104" s="14"/>
      <c r="J104" s="14"/>
      <c r="K104" s="14"/>
      <c r="L104" s="14"/>
      <c r="M104" s="14"/>
      <c r="N104" s="14"/>
    </row>
    <row r="105" spans="6:14" x14ac:dyDescent="0.25">
      <c r="F105" s="19"/>
      <c r="G105" s="19"/>
      <c r="H105" s="14"/>
      <c r="I105" s="14"/>
      <c r="J105" s="14"/>
      <c r="K105" s="14"/>
      <c r="L105" s="14"/>
      <c r="M105" s="14"/>
      <c r="N105" s="14"/>
    </row>
    <row r="106" spans="6:14" x14ac:dyDescent="0.25">
      <c r="F106" s="19"/>
      <c r="G106" s="19"/>
      <c r="H106" s="14"/>
      <c r="I106" s="14"/>
      <c r="J106" s="14"/>
      <c r="K106" s="14"/>
      <c r="L106" s="14"/>
      <c r="M106" s="14"/>
      <c r="N106" s="14"/>
    </row>
    <row r="107" spans="6:14" x14ac:dyDescent="0.25">
      <c r="F107" s="19"/>
      <c r="G107" s="19"/>
      <c r="H107" s="14"/>
      <c r="I107" s="14"/>
      <c r="J107" s="14"/>
      <c r="K107" s="14"/>
      <c r="L107" s="14"/>
      <c r="M107" s="14"/>
      <c r="N107" s="14"/>
    </row>
    <row r="108" spans="6:14" x14ac:dyDescent="0.25">
      <c r="F108" s="19"/>
      <c r="G108" s="19"/>
      <c r="H108" s="14"/>
      <c r="I108" s="14"/>
      <c r="J108" s="14"/>
      <c r="K108" s="14"/>
      <c r="L108" s="14"/>
      <c r="M108" s="14"/>
      <c r="N108" s="14"/>
    </row>
    <row r="109" spans="6:14" x14ac:dyDescent="0.25">
      <c r="F109" s="19"/>
      <c r="G109" s="19"/>
      <c r="H109" s="14"/>
      <c r="I109" s="14"/>
      <c r="J109" s="14"/>
      <c r="K109" s="14"/>
      <c r="L109" s="14"/>
      <c r="M109" s="14"/>
      <c r="N109" s="14"/>
    </row>
    <row r="110" spans="6:14" x14ac:dyDescent="0.25">
      <c r="F110" s="19"/>
      <c r="G110" s="19"/>
      <c r="H110" s="14"/>
      <c r="I110" s="14"/>
      <c r="J110" s="14"/>
      <c r="K110" s="14"/>
      <c r="L110" s="14"/>
      <c r="M110" s="14"/>
      <c r="N110" s="14"/>
    </row>
    <row r="111" spans="6:14" x14ac:dyDescent="0.25">
      <c r="F111" s="19"/>
      <c r="G111" s="19"/>
      <c r="H111" s="14"/>
      <c r="I111" s="14"/>
      <c r="J111" s="14"/>
      <c r="K111" s="14"/>
      <c r="L111" s="14"/>
      <c r="M111" s="14"/>
      <c r="N111" s="14"/>
    </row>
    <row r="112" spans="6:14" x14ac:dyDescent="0.25">
      <c r="F112" s="19"/>
      <c r="G112" s="19"/>
      <c r="H112" s="14"/>
      <c r="I112" s="14"/>
      <c r="J112" s="14"/>
      <c r="K112" s="14"/>
      <c r="L112" s="14"/>
      <c r="M112" s="14"/>
      <c r="N112" s="14"/>
    </row>
    <row r="113" spans="3:14" x14ac:dyDescent="0.25">
      <c r="F113" s="19"/>
      <c r="G113" s="19"/>
      <c r="H113" s="14"/>
      <c r="I113" s="14"/>
      <c r="J113" s="14"/>
      <c r="K113" s="14"/>
      <c r="L113" s="14"/>
      <c r="M113" s="14"/>
      <c r="N113" s="14"/>
    </row>
    <row r="114" spans="3:14" x14ac:dyDescent="0.25">
      <c r="F114" s="19"/>
      <c r="G114" s="19"/>
    </row>
    <row r="120" spans="3:14" ht="12.75" x14ac:dyDescent="0.25">
      <c r="C120" s="14"/>
      <c r="D120" s="14"/>
      <c r="F120" s="14"/>
      <c r="G120" s="14"/>
      <c r="H120" s="14"/>
      <c r="I120" s="14"/>
      <c r="J120" s="14"/>
      <c r="K120" s="14"/>
      <c r="L120" s="14"/>
      <c r="M120" s="14"/>
    </row>
    <row r="121" spans="3:14" x14ac:dyDescent="0.25">
      <c r="N121" s="14"/>
    </row>
  </sheetData>
  <mergeCells count="6">
    <mergeCell ref="N1:O1"/>
    <mergeCell ref="H1:M1"/>
    <mergeCell ref="A1:A2"/>
    <mergeCell ref="B1:B2"/>
    <mergeCell ref="C1:F1"/>
    <mergeCell ref="G1:G2"/>
  </mergeCells>
  <phoneticPr fontId="21" type="noConversion"/>
  <printOptions horizontalCentered="1"/>
  <pageMargins left="3.937007874015748E-2" right="3.937007874015748E-2" top="0.94488188976377963" bottom="0.55118110236220474" header="0.31496062992125984" footer="0.31496062992125984"/>
  <pageSetup paperSize="9" scale="61" orientation="portrait" r:id="rId1"/>
  <headerFooter>
    <oddHeader>&amp;C&amp;"Times New Roman,Félkövér"&amp;10Szentendre Város Önkormányzat összevont bevételei és kiadásai mérlegszerűen 
2016. év&amp;R&amp;"Times New Roman,Normál"&amp;10 1h. sz. melléklet
EFt</oddHeader>
    <oddFooter>&amp;R&amp;D</oddFooter>
  </headerFooter>
  <rowBreaks count="1" manualBreakCount="1">
    <brk id="11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11</vt:i4>
      </vt:variant>
    </vt:vector>
  </HeadingPairs>
  <TitlesOfParts>
    <vt:vector size="20" baseType="lpstr">
      <vt:lpstr>össz 2</vt:lpstr>
      <vt:lpstr>Önk 2a</vt:lpstr>
      <vt:lpstr>PH 2b</vt:lpstr>
      <vt:lpstr>SZEI 2c</vt:lpstr>
      <vt:lpstr>PMK 2d</vt:lpstr>
      <vt:lpstr>FMC 2e</vt:lpstr>
      <vt:lpstr>Óvoda 2f</vt:lpstr>
      <vt:lpstr>Bölcsőde 2g</vt:lpstr>
      <vt:lpstr>Gondozási 2h</vt:lpstr>
      <vt:lpstr>'Önk 2a'!Nyomtatási_cím</vt:lpstr>
      <vt:lpstr>'össz 2'!Nyomtatási_cím</vt:lpstr>
      <vt:lpstr>'Bölcsőde 2g'!Nyomtatási_terület</vt:lpstr>
      <vt:lpstr>'FMC 2e'!Nyomtatási_terület</vt:lpstr>
      <vt:lpstr>'Gondozási 2h'!Nyomtatási_terület</vt:lpstr>
      <vt:lpstr>'Óvoda 2f'!Nyomtatási_terület</vt:lpstr>
      <vt:lpstr>'Önk 2a'!Nyomtatási_terület</vt:lpstr>
      <vt:lpstr>'össz 2'!Nyomtatási_terület</vt:lpstr>
      <vt:lpstr>'PH 2b'!Nyomtatási_terület</vt:lpstr>
      <vt:lpstr>'PMK 2d'!Nyomtatási_terület</vt:lpstr>
      <vt:lpstr>'SZEI 2c'!Nyomtatási_terület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Mónika</dc:creator>
  <cp:lastModifiedBy>Kondacsné Nagy Ágnes</cp:lastModifiedBy>
  <cp:lastPrinted>2016-11-10T16:47:22Z</cp:lastPrinted>
  <dcterms:created xsi:type="dcterms:W3CDTF">2013-01-21T10:18:21Z</dcterms:created>
  <dcterms:modified xsi:type="dcterms:W3CDTF">2016-11-21T09:56:52Z</dcterms:modified>
</cp:coreProperties>
</file>