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5" yWindow="5520" windowWidth="10710" windowHeight="6450" tabRatio="934" activeTab="21"/>
  </bookViews>
  <sheets>
    <sheet name="Összefoglaló " sheetId="179" r:id="rId1"/>
    <sheet name="1.Onbe" sheetId="113" r:id="rId2"/>
    <sheet name="1.A Norm" sheetId="114" state="hidden" r:id="rId3"/>
    <sheet name="2.Onki" sheetId="115" r:id="rId4"/>
    <sheet name="3.Inbe " sheetId="173" r:id="rId5"/>
    <sheet name="3A Inbe" sheetId="153" r:id="rId6"/>
    <sheet name="4.Inki" sheetId="174" r:id="rId7"/>
    <sheet name="5.Infelhki" sheetId="175" r:id="rId8"/>
    <sheet name="6.Önk.műk." sheetId="105" r:id="rId9"/>
    <sheet name="6.A Alapítv" sheetId="106" r:id="rId10"/>
    <sheet name="7.Beruh." sheetId="177" r:id="rId11"/>
    <sheet name="8.Felúj." sheetId="176" state="hidden" r:id="rId12"/>
    <sheet name="8.Projekt" sheetId="144" r:id="rId13"/>
    <sheet name="10.MVP és hazai" sheetId="148" state="hidden" r:id="rId14"/>
    <sheet name="9.EKF" sheetId="149" r:id="rId15"/>
    <sheet name="10.Mérleg" sheetId="178" r:id="rId16"/>
    <sheet name="13.Létszám" sheetId="150" state="hidden" r:id="rId17"/>
    <sheet name="14. Többéves" sheetId="172" state="hidden" r:id="rId18"/>
    <sheet name="15.Hitel" sheetId="49" state="hidden" r:id="rId19"/>
    <sheet name="15.A Beruh.hitel" sheetId="159" state="hidden" r:id="rId20"/>
    <sheet name="15.B Beruh.hitel" sheetId="126" state="hidden" r:id="rId21"/>
    <sheet name="11.EU" sheetId="160" r:id="rId22"/>
    <sheet name="17.Közv.tám." sheetId="151" state="hidden" r:id="rId23"/>
    <sheet name="Diagram_bevetelek" sheetId="167" state="hidden" r:id="rId24"/>
    <sheet name="Diagram_kiadasok" sheetId="168" state="hidden" r:id="rId25"/>
    <sheet name="Diagram_kozponti" sheetId="169" state="hidden" r:id="rId26"/>
    <sheet name="Diagram_lefedettseg" sheetId="170" state="hidden" r:id="rId27"/>
    <sheet name="Diagram_mukodesi" sheetId="171" state="hidden" r:id="rId28"/>
  </sheets>
  <externalReferences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4._sz._sor_részletezése" localSheetId="2">#REF!</definedName>
    <definedName name="_4._sz._sor_részletezése" localSheetId="1">#REF!</definedName>
    <definedName name="_4._sz._sor_részletezése" localSheetId="13">#REF!</definedName>
    <definedName name="_4._sz._sor_részletezése" localSheetId="22">#REF!</definedName>
    <definedName name="_4._sz._sor_részletezése" localSheetId="7">#REF!</definedName>
    <definedName name="_4._sz._sor_részletezése" localSheetId="9">#REF!</definedName>
    <definedName name="_4._sz._sor_részletezése" localSheetId="10">#REF!</definedName>
    <definedName name="_4._sz._sor_részletezése" localSheetId="11">#REF!</definedName>
    <definedName name="_4._sz._sor_részletezése" localSheetId="12">#REF!</definedName>
    <definedName name="_4._sz._sor_részletezése" localSheetId="14">#REF!</definedName>
    <definedName name="_4._sz._sor_részletezése">#REF!</definedName>
    <definedName name="_xlnm.Print_Titles" localSheetId="1">'1.Onbe'!$6:$8</definedName>
    <definedName name="_xlnm.Print_Titles" localSheetId="13">'10.MVP és hazai'!$4:$8</definedName>
    <definedName name="_xlnm.Print_Titles" localSheetId="21">'11.EU'!$7:$11</definedName>
    <definedName name="_xlnm.Print_Titles" localSheetId="16">'13.Létszám'!$5:$5</definedName>
    <definedName name="_xlnm.Print_Titles" localSheetId="17">'14. Többéves'!$5:$8</definedName>
    <definedName name="_xlnm.Print_Titles" localSheetId="3">'2.Onki'!$6:$8</definedName>
    <definedName name="_xlnm.Print_Titles" localSheetId="4">'3.Inbe '!$6:$9</definedName>
    <definedName name="_xlnm.Print_Titles" localSheetId="5">'3A Inbe'!$6:$9</definedName>
    <definedName name="_xlnm.Print_Titles" localSheetId="6">'4.Inki'!$6:$9</definedName>
    <definedName name="_xlnm.Print_Titles" localSheetId="7">'5.Infelhki'!$6:$9</definedName>
    <definedName name="_xlnm.Print_Titles" localSheetId="9">'6.A Alapítv'!$7:$10</definedName>
    <definedName name="_xlnm.Print_Titles" localSheetId="8">'6.Önk.műk.'!$6:$9</definedName>
    <definedName name="_xlnm.Print_Titles" localSheetId="10">'7.Beruh.'!$6:$10</definedName>
    <definedName name="_xlnm.Print_Titles" localSheetId="11">'8.Felúj.'!$4:$8</definedName>
    <definedName name="_xlnm.Print_Titles" localSheetId="12">'8.Projekt'!$6:$10</definedName>
    <definedName name="_xlnm.Print_Titles" localSheetId="14">'9.EKF'!$6:$10</definedName>
    <definedName name="_xlnm.Print_Titles" localSheetId="0">'Összefoglaló '!$4:$6</definedName>
    <definedName name="_xlnm.Print_Area" localSheetId="2">'1.A Norm'!$A$1:$G$36</definedName>
    <definedName name="_xlnm.Print_Area" localSheetId="1">'1.Onbe'!$A$1:$M$65</definedName>
    <definedName name="_xlnm.Print_Area" localSheetId="15">'10.Mérleg'!$A$1:$I$40</definedName>
    <definedName name="_xlnm.Print_Area" localSheetId="13">'10.MVP és hazai'!$A$1:$P$83</definedName>
    <definedName name="_xlnm.Print_Area" localSheetId="16">'13.Létszám'!$A$1:$G$33</definedName>
    <definedName name="_xlnm.Print_Area" localSheetId="17">'14. Többéves'!$A$1:$F$86</definedName>
    <definedName name="_xlnm.Print_Area" localSheetId="19">'15.A Beruh.hitel'!$A$1:$F$33</definedName>
    <definedName name="_xlnm.Print_Area" localSheetId="20">'15.B Beruh.hitel'!$A$1:$C$13</definedName>
    <definedName name="_xlnm.Print_Area" localSheetId="18">'15.Hitel'!$A$1:$U$17</definedName>
    <definedName name="_xlnm.Print_Area" localSheetId="3">'2.Onki'!$A$1:$M$42</definedName>
    <definedName name="_xlnm.Print_Area" localSheetId="4">'3.Inbe '!$A$1:$O$186</definedName>
    <definedName name="_xlnm.Print_Area" localSheetId="5">'3A Inbe'!$A$1:$H$31</definedName>
    <definedName name="_xlnm.Print_Area" localSheetId="6">'4.Inki'!$A$1:$R$356</definedName>
    <definedName name="_xlnm.Print_Area" localSheetId="7">'5.Infelhki'!$A$1:$L$131</definedName>
    <definedName name="_xlnm.Print_Area" localSheetId="9">'6.A Alapítv'!$A$1:$C$64</definedName>
    <definedName name="_xlnm.Print_Area" localSheetId="8">'6.Önk.műk.'!$A$1:$N$996</definedName>
    <definedName name="_xlnm.Print_Area" localSheetId="10">'7.Beruh.'!$A$1:$M$335</definedName>
    <definedName name="_xlnm.Print_Area" localSheetId="11">'8.Felúj.'!$A$1:$L$141</definedName>
    <definedName name="_xlnm.Print_Area" localSheetId="12">'8.Projekt'!$A$1:$P$214</definedName>
    <definedName name="_xlnm.Print_Area" localSheetId="14">'9.EKF'!$A$1:$Q$192</definedName>
    <definedName name="_xlnm.Print_Area" localSheetId="0">'Összefoglaló '!$A$1:$E$237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6" i="149" l="1"/>
  <c r="K992" i="105"/>
  <c r="L992" i="105"/>
  <c r="M992" i="105"/>
  <c r="N992" i="105"/>
  <c r="J992" i="105"/>
  <c r="K982" i="105"/>
  <c r="L982" i="105"/>
  <c r="M982" i="105"/>
  <c r="N982" i="105"/>
  <c r="J982" i="105"/>
  <c r="E237" i="179"/>
  <c r="E236" i="179"/>
  <c r="E54" i="179" l="1"/>
  <c r="M168" i="173"/>
  <c r="M209" i="174"/>
  <c r="E235" i="179" l="1"/>
  <c r="M39" i="174" l="1"/>
  <c r="L39" i="174"/>
  <c r="K39" i="174"/>
  <c r="L28" i="174"/>
  <c r="K28" i="174"/>
  <c r="M18" i="174"/>
  <c r="L18" i="174"/>
  <c r="K18" i="174"/>
  <c r="L78" i="174"/>
  <c r="M78" i="174"/>
  <c r="N78" i="174"/>
  <c r="O78" i="174"/>
  <c r="P78" i="174"/>
  <c r="Q78" i="174"/>
  <c r="R78" i="174"/>
  <c r="K78" i="174"/>
  <c r="J23" i="174"/>
  <c r="L30" i="113" l="1"/>
  <c r="E29" i="179"/>
  <c r="E92" i="179"/>
  <c r="K987" i="105" l="1"/>
  <c r="M987" i="105"/>
  <c r="J987" i="105"/>
  <c r="K200" i="174"/>
  <c r="K183" i="174"/>
  <c r="K138" i="174"/>
  <c r="K113" i="174"/>
  <c r="K108" i="174"/>
  <c r="K99" i="174"/>
  <c r="K88" i="174"/>
  <c r="L509" i="105" l="1"/>
  <c r="E68" i="179"/>
  <c r="L14" i="105"/>
  <c r="L987" i="105" s="1"/>
  <c r="I14" i="105" l="1"/>
  <c r="L15" i="105"/>
  <c r="E22" i="179" l="1"/>
  <c r="E17" i="179"/>
  <c r="E14" i="179"/>
  <c r="E36" i="179"/>
  <c r="E45" i="179"/>
  <c r="E40" i="179"/>
  <c r="E30" i="179"/>
  <c r="J36" i="174"/>
  <c r="M168" i="174"/>
  <c r="L168" i="174"/>
  <c r="K168" i="174"/>
  <c r="M137" i="174"/>
  <c r="M138" i="174" s="1"/>
  <c r="J138" i="174" s="1"/>
  <c r="J331" i="177"/>
  <c r="K331" i="177"/>
  <c r="L15" i="177"/>
  <c r="L125" i="177"/>
  <c r="I331" i="177"/>
  <c r="L324" i="177"/>
  <c r="E322" i="177"/>
  <c r="J324" i="177"/>
  <c r="L323" i="177"/>
  <c r="J330" i="177"/>
  <c r="K330" i="177"/>
  <c r="L330" i="177"/>
  <c r="I330" i="177"/>
  <c r="J321" i="177"/>
  <c r="L321" i="177"/>
  <c r="E318" i="177"/>
  <c r="L319" i="177"/>
  <c r="L115" i="175"/>
  <c r="K115" i="175"/>
  <c r="J115" i="175"/>
  <c r="I115" i="175"/>
  <c r="H115" i="175"/>
  <c r="G115" i="175"/>
  <c r="F115" i="175"/>
  <c r="L114" i="175"/>
  <c r="I170" i="173"/>
  <c r="P211" i="174"/>
  <c r="M211" i="174"/>
  <c r="J211" i="174" s="1"/>
  <c r="L211" i="174"/>
  <c r="K211" i="174"/>
  <c r="J210" i="174"/>
  <c r="M170" i="173"/>
  <c r="N170" i="173"/>
  <c r="L170" i="173"/>
  <c r="F170" i="173"/>
  <c r="O169" i="173"/>
  <c r="L113" i="174"/>
  <c r="M113" i="174"/>
  <c r="N113" i="174"/>
  <c r="O113" i="174"/>
  <c r="P113" i="174"/>
  <c r="Q113" i="174"/>
  <c r="R113" i="174"/>
  <c r="L88" i="174"/>
  <c r="M88" i="174"/>
  <c r="P88" i="174"/>
  <c r="J87" i="174"/>
  <c r="G71" i="173"/>
  <c r="H71" i="173"/>
  <c r="I71" i="173"/>
  <c r="J71" i="173"/>
  <c r="K71" i="173"/>
  <c r="L71" i="173"/>
  <c r="M71" i="173"/>
  <c r="N71" i="173"/>
  <c r="F71" i="173"/>
  <c r="O71" i="173" s="1"/>
  <c r="F54" i="173"/>
  <c r="J49" i="174"/>
  <c r="M46" i="173"/>
  <c r="N46" i="173"/>
  <c r="L46" i="173"/>
  <c r="F46" i="173"/>
  <c r="O44" i="173"/>
  <c r="O45" i="173"/>
  <c r="M35" i="173"/>
  <c r="F35" i="173"/>
  <c r="O35" i="173" s="1"/>
  <c r="O33" i="173"/>
  <c r="F26" i="173"/>
  <c r="O26" i="173" s="1"/>
  <c r="O23" i="173"/>
  <c r="M28" i="174"/>
  <c r="P28" i="174"/>
  <c r="Q28" i="174"/>
  <c r="J26" i="174"/>
  <c r="J27" i="174"/>
  <c r="E234" i="179"/>
  <c r="E186" i="179"/>
  <c r="E221" i="179"/>
  <c r="E223" i="179"/>
  <c r="K111" i="175"/>
  <c r="L111" i="175"/>
  <c r="K107" i="175"/>
  <c r="L110" i="175"/>
  <c r="L112" i="175"/>
  <c r="M199" i="174"/>
  <c r="J199" i="174" s="1"/>
  <c r="J198" i="174"/>
  <c r="G163" i="173"/>
  <c r="H163" i="173"/>
  <c r="I163" i="173"/>
  <c r="J163" i="173"/>
  <c r="K163" i="173"/>
  <c r="L163" i="173"/>
  <c r="M163" i="173"/>
  <c r="N163" i="173"/>
  <c r="F163" i="173"/>
  <c r="O158" i="173"/>
  <c r="G159" i="173"/>
  <c r="L159" i="173"/>
  <c r="M159" i="173"/>
  <c r="N159" i="173"/>
  <c r="F159" i="173"/>
  <c r="K222" i="174"/>
  <c r="L222" i="174"/>
  <c r="E193" i="179"/>
  <c r="I78" i="148"/>
  <c r="E81" i="179"/>
  <c r="E98" i="179"/>
  <c r="P80" i="149"/>
  <c r="J80" i="149"/>
  <c r="K80" i="149"/>
  <c r="L80" i="149"/>
  <c r="M80" i="149"/>
  <c r="N80" i="149"/>
  <c r="O80" i="149"/>
  <c r="I80" i="149"/>
  <c r="P35" i="149"/>
  <c r="P19" i="149"/>
  <c r="J19" i="149"/>
  <c r="K19" i="149"/>
  <c r="L19" i="149"/>
  <c r="O19" i="149"/>
  <c r="I19" i="149"/>
  <c r="P17" i="149"/>
  <c r="P18" i="149"/>
  <c r="E33" i="144"/>
  <c r="N36" i="144"/>
  <c r="L36" i="144"/>
  <c r="T29" i="160"/>
  <c r="M29" i="160"/>
  <c r="M180" i="173"/>
  <c r="M181" i="173" s="1"/>
  <c r="E195" i="179"/>
  <c r="N96" i="144"/>
  <c r="L96" i="144"/>
  <c r="K346" i="174"/>
  <c r="N204" i="174"/>
  <c r="O204" i="174"/>
  <c r="P204" i="174"/>
  <c r="Q204" i="174"/>
  <c r="R204" i="174"/>
  <c r="L120" i="174"/>
  <c r="M120" i="174"/>
  <c r="P120" i="174"/>
  <c r="K120" i="174"/>
  <c r="J119" i="174"/>
  <c r="N106" i="173"/>
  <c r="M106" i="173"/>
  <c r="L106" i="173"/>
  <c r="F106" i="173"/>
  <c r="O105" i="173"/>
  <c r="L16" i="175"/>
  <c r="E173" i="179"/>
  <c r="L150" i="174"/>
  <c r="M150" i="174"/>
  <c r="M204" i="174" s="1"/>
  <c r="K150" i="174"/>
  <c r="K152" i="174" s="1"/>
  <c r="L152" i="174"/>
  <c r="P152" i="174"/>
  <c r="J151" i="174"/>
  <c r="L138" i="174"/>
  <c r="P138" i="174"/>
  <c r="M119" i="173"/>
  <c r="N119" i="173"/>
  <c r="L119" i="173"/>
  <c r="G119" i="173"/>
  <c r="H119" i="173"/>
  <c r="F119" i="173"/>
  <c r="O118" i="173"/>
  <c r="L69" i="175"/>
  <c r="J106" i="174"/>
  <c r="L60" i="174"/>
  <c r="M60" i="174"/>
  <c r="P60" i="174"/>
  <c r="K60" i="174"/>
  <c r="J58" i="174"/>
  <c r="J59" i="174"/>
  <c r="J14" i="174"/>
  <c r="J15" i="174"/>
  <c r="J16" i="174"/>
  <c r="K20" i="175"/>
  <c r="K23" i="175"/>
  <c r="L69" i="174"/>
  <c r="M69" i="174"/>
  <c r="O69" i="174"/>
  <c r="P69" i="174"/>
  <c r="K69" i="174"/>
  <c r="J66" i="174"/>
  <c r="J67" i="174"/>
  <c r="J68" i="174"/>
  <c r="E120" i="179"/>
  <c r="J39" i="174"/>
  <c r="P39" i="174"/>
  <c r="J34" i="174"/>
  <c r="J35" i="174"/>
  <c r="J37" i="174"/>
  <c r="J38" i="174"/>
  <c r="E131" i="179"/>
  <c r="M48" i="174"/>
  <c r="J50" i="174"/>
  <c r="L45" i="174"/>
  <c r="P52" i="174"/>
  <c r="K45" i="174"/>
  <c r="J45" i="174" s="1"/>
  <c r="J47" i="174"/>
  <c r="J44" i="174"/>
  <c r="J46" i="174"/>
  <c r="P15" i="149"/>
  <c r="P33" i="149"/>
  <c r="M79" i="149"/>
  <c r="J79" i="149"/>
  <c r="I79" i="149"/>
  <c r="K79" i="149"/>
  <c r="L79" i="149"/>
  <c r="N79" i="149"/>
  <c r="O79" i="149"/>
  <c r="P38" i="149"/>
  <c r="M40" i="149"/>
  <c r="K44" i="148"/>
  <c r="E108" i="144"/>
  <c r="J136" i="176"/>
  <c r="I136" i="176"/>
  <c r="K131" i="176"/>
  <c r="J133" i="176"/>
  <c r="J327" i="177"/>
  <c r="J317" i="177"/>
  <c r="L315" i="177"/>
  <c r="L311" i="177"/>
  <c r="J313" i="177"/>
  <c r="J309" i="177"/>
  <c r="L307" i="177"/>
  <c r="L149" i="105"/>
  <c r="N33" i="105"/>
  <c r="L328" i="174"/>
  <c r="M328" i="174"/>
  <c r="N328" i="174"/>
  <c r="O328" i="174"/>
  <c r="P328" i="174"/>
  <c r="Q328" i="174"/>
  <c r="R328" i="174"/>
  <c r="K328" i="174"/>
  <c r="L321" i="174"/>
  <c r="K321" i="174"/>
  <c r="J319" i="174"/>
  <c r="K11" i="113"/>
  <c r="M19" i="160"/>
  <c r="T19" i="160"/>
  <c r="C16" i="106"/>
  <c r="T30" i="160"/>
  <c r="M30" i="160"/>
  <c r="V27" i="160"/>
  <c r="G27" i="160"/>
  <c r="T27" i="160"/>
  <c r="O20" i="160"/>
  <c r="T38" i="160"/>
  <c r="N111" i="144"/>
  <c r="L111" i="144"/>
  <c r="P26" i="148"/>
  <c r="L186" i="144"/>
  <c r="L313" i="177"/>
  <c r="E310" i="177"/>
  <c r="L312" i="177"/>
  <c r="L308" i="177"/>
  <c r="L309" i="177"/>
  <c r="E306" i="177"/>
  <c r="F179" i="149"/>
  <c r="G179" i="149"/>
  <c r="E66" i="148"/>
  <c r="E202" i="144"/>
  <c r="E198" i="144"/>
  <c r="E193" i="144"/>
  <c r="E188" i="144"/>
  <c r="E178" i="144"/>
  <c r="E173" i="144"/>
  <c r="E168" i="144"/>
  <c r="E163" i="144"/>
  <c r="E143" i="144"/>
  <c r="E138" i="144"/>
  <c r="E128" i="144"/>
  <c r="E123" i="144"/>
  <c r="E118" i="144"/>
  <c r="E113" i="144"/>
  <c r="E98" i="144"/>
  <c r="E88" i="144"/>
  <c r="E83" i="144"/>
  <c r="E73" i="144"/>
  <c r="E68" i="144"/>
  <c r="E63" i="144"/>
  <c r="E58" i="144"/>
  <c r="E53" i="144"/>
  <c r="E48" i="144"/>
  <c r="E43" i="144"/>
  <c r="E38" i="144"/>
  <c r="E28" i="144"/>
  <c r="E23" i="144"/>
  <c r="E18" i="144"/>
  <c r="L316" i="177"/>
  <c r="L317" i="177"/>
  <c r="E314" i="177"/>
  <c r="L326" i="177"/>
  <c r="L327" i="177"/>
  <c r="E325" i="177" s="1"/>
  <c r="L99" i="175"/>
  <c r="L346" i="174"/>
  <c r="M346" i="174"/>
  <c r="N346" i="174"/>
  <c r="O346" i="174"/>
  <c r="P346" i="174"/>
  <c r="Q346" i="174"/>
  <c r="R346" i="174"/>
  <c r="H25" i="153"/>
  <c r="L96" i="175"/>
  <c r="L97" i="175"/>
  <c r="L98" i="175"/>
  <c r="L170" i="174"/>
  <c r="O170" i="174"/>
  <c r="J169" i="174"/>
  <c r="L109" i="175"/>
  <c r="M13" i="113"/>
  <c r="M12" i="113"/>
  <c r="L11" i="113"/>
  <c r="P170" i="174"/>
  <c r="M170" i="174"/>
  <c r="M11" i="113"/>
  <c r="P41" i="148"/>
  <c r="I182" i="149"/>
  <c r="P39" i="149"/>
  <c r="P40" i="149"/>
  <c r="E38" i="149"/>
  <c r="L80" i="175"/>
  <c r="L103" i="175"/>
  <c r="L104" i="175"/>
  <c r="L105" i="175"/>
  <c r="J143" i="173"/>
  <c r="J168" i="174"/>
  <c r="G138" i="173"/>
  <c r="I138" i="173"/>
  <c r="O137" i="173"/>
  <c r="M138" i="173"/>
  <c r="N138" i="173"/>
  <c r="L138" i="173"/>
  <c r="F138" i="173"/>
  <c r="I135" i="176"/>
  <c r="J129" i="176"/>
  <c r="J135" i="176"/>
  <c r="K127" i="176"/>
  <c r="K129" i="176"/>
  <c r="E125" i="176"/>
  <c r="K126" i="176"/>
  <c r="L40" i="175"/>
  <c r="L329" i="174"/>
  <c r="M329" i="174"/>
  <c r="N329" i="174"/>
  <c r="O329" i="174"/>
  <c r="P329" i="174"/>
  <c r="Q329" i="174"/>
  <c r="R329" i="174"/>
  <c r="K329" i="174"/>
  <c r="J320" i="174"/>
  <c r="L24" i="175"/>
  <c r="J321" i="174"/>
  <c r="G99" i="173"/>
  <c r="O99" i="173" s="1"/>
  <c r="H99" i="173"/>
  <c r="I99" i="173"/>
  <c r="J99" i="173"/>
  <c r="K99" i="173"/>
  <c r="L99" i="173"/>
  <c r="M99" i="173"/>
  <c r="F99" i="173"/>
  <c r="I81" i="173"/>
  <c r="M81" i="173"/>
  <c r="N81" i="173"/>
  <c r="L81" i="173"/>
  <c r="G81" i="173"/>
  <c r="F81" i="173"/>
  <c r="M127" i="173"/>
  <c r="N127" i="173"/>
  <c r="L127" i="173"/>
  <c r="G127" i="173"/>
  <c r="F127" i="173"/>
  <c r="O127" i="173" s="1"/>
  <c r="O125" i="173"/>
  <c r="O126" i="173"/>
  <c r="L87" i="175"/>
  <c r="L88" i="175"/>
  <c r="P148" i="144"/>
  <c r="O40" i="160"/>
  <c r="V40" i="160"/>
  <c r="G40" i="160"/>
  <c r="L136" i="144"/>
  <c r="L68" i="175"/>
  <c r="P18" i="174"/>
  <c r="Q18" i="174"/>
  <c r="J17" i="174"/>
  <c r="L27" i="175"/>
  <c r="N454" i="105"/>
  <c r="L454" i="105"/>
  <c r="O80" i="173"/>
  <c r="M95" i="173"/>
  <c r="L95" i="173"/>
  <c r="F95" i="173"/>
  <c r="O94" i="173"/>
  <c r="O43" i="173"/>
  <c r="M26" i="173"/>
  <c r="N26" i="173"/>
  <c r="L26" i="173"/>
  <c r="O25" i="173"/>
  <c r="I387" i="105"/>
  <c r="O46" i="173"/>
  <c r="O77" i="173"/>
  <c r="O51" i="173"/>
  <c r="O60" i="173"/>
  <c r="O52" i="173"/>
  <c r="O41" i="173"/>
  <c r="O32" i="173"/>
  <c r="O15" i="173"/>
  <c r="N95" i="173"/>
  <c r="O53" i="173"/>
  <c r="M54" i="173"/>
  <c r="N54" i="173"/>
  <c r="L54" i="173"/>
  <c r="O61" i="173"/>
  <c r="M62" i="173"/>
  <c r="N62" i="173"/>
  <c r="L62" i="173"/>
  <c r="F62" i="173"/>
  <c r="O34" i="173"/>
  <c r="N35" i="173"/>
  <c r="L35" i="173"/>
  <c r="M17" i="173"/>
  <c r="N17" i="173"/>
  <c r="L17" i="173"/>
  <c r="F17" i="173"/>
  <c r="O16" i="173"/>
  <c r="N389" i="105"/>
  <c r="I389" i="105" s="1"/>
  <c r="N99" i="173"/>
  <c r="M37" i="160"/>
  <c r="M18" i="160"/>
  <c r="C15" i="106"/>
  <c r="C18" i="106"/>
  <c r="L256" i="105"/>
  <c r="L251" i="105" s="1"/>
  <c r="N256" i="105"/>
  <c r="N101" i="105"/>
  <c r="N103" i="105" s="1"/>
  <c r="I103" i="105" s="1"/>
  <c r="L47" i="105"/>
  <c r="N261" i="105"/>
  <c r="N251" i="105" s="1"/>
  <c r="L554" i="105"/>
  <c r="L241" i="105"/>
  <c r="I241" i="105" s="1"/>
  <c r="J536" i="105"/>
  <c r="N191" i="105"/>
  <c r="L191" i="105"/>
  <c r="L986" i="105"/>
  <c r="L988" i="105" s="1"/>
  <c r="K29" i="148"/>
  <c r="M27" i="148"/>
  <c r="K840" i="105"/>
  <c r="J840" i="105"/>
  <c r="L827" i="105"/>
  <c r="L797" i="105"/>
  <c r="I797" i="105" s="1"/>
  <c r="L536" i="105"/>
  <c r="K536" i="105"/>
  <c r="K11" i="115"/>
  <c r="H143" i="173"/>
  <c r="G143" i="173"/>
  <c r="J182" i="149"/>
  <c r="K182" i="149"/>
  <c r="L182" i="149"/>
  <c r="M182" i="149"/>
  <c r="N182" i="149"/>
  <c r="O182" i="149"/>
  <c r="J181" i="149"/>
  <c r="K181" i="149"/>
  <c r="L181" i="149"/>
  <c r="M181" i="149"/>
  <c r="N181" i="149"/>
  <c r="O181" i="149"/>
  <c r="I181" i="149"/>
  <c r="P181" i="149"/>
  <c r="P183" i="149"/>
  <c r="K112" i="149"/>
  <c r="N107" i="149"/>
  <c r="N103" i="149"/>
  <c r="N99" i="149"/>
  <c r="N95" i="149"/>
  <c r="N91" i="149"/>
  <c r="J208" i="144"/>
  <c r="K208" i="144"/>
  <c r="L208" i="144"/>
  <c r="M208" i="144"/>
  <c r="N208" i="144"/>
  <c r="I208" i="144"/>
  <c r="M205" i="144"/>
  <c r="K205" i="144"/>
  <c r="O203" i="144"/>
  <c r="L181" i="144"/>
  <c r="J136" i="144"/>
  <c r="M56" i="144"/>
  <c r="N56" i="144"/>
  <c r="L56" i="144"/>
  <c r="L51" i="144"/>
  <c r="L21" i="144"/>
  <c r="K305" i="177"/>
  <c r="L303" i="177"/>
  <c r="J301" i="177"/>
  <c r="L301" i="177" s="1"/>
  <c r="E298" i="177" s="1"/>
  <c r="L299" i="177"/>
  <c r="J297" i="177"/>
  <c r="L295" i="177"/>
  <c r="J289" i="177"/>
  <c r="L287" i="177"/>
  <c r="J293" i="177"/>
  <c r="L291" i="177"/>
  <c r="J285" i="177"/>
  <c r="L283" i="177"/>
  <c r="J281" i="177"/>
  <c r="L279" i="177"/>
  <c r="P106" i="149"/>
  <c r="P102" i="149"/>
  <c r="P98" i="149"/>
  <c r="P101" i="149"/>
  <c r="P94" i="149"/>
  <c r="P90" i="149"/>
  <c r="P107" i="149"/>
  <c r="E104" i="149"/>
  <c r="P103" i="149"/>
  <c r="E100" i="149"/>
  <c r="P99" i="149"/>
  <c r="E96" i="149"/>
  <c r="P95" i="149"/>
  <c r="E92" i="149"/>
  <c r="P91" i="149"/>
  <c r="E88" i="149"/>
  <c r="S21" i="160"/>
  <c r="R21" i="160"/>
  <c r="J49" i="113"/>
  <c r="N181" i="173"/>
  <c r="O22" i="173"/>
  <c r="O204" i="144"/>
  <c r="J209" i="144"/>
  <c r="K209" i="144"/>
  <c r="L209" i="144"/>
  <c r="M209" i="144"/>
  <c r="N209" i="144"/>
  <c r="I209" i="144"/>
  <c r="I210" i="144"/>
  <c r="M25" i="115"/>
  <c r="M35" i="113"/>
  <c r="E71" i="148"/>
  <c r="E61" i="148"/>
  <c r="E56" i="148"/>
  <c r="E51" i="148"/>
  <c r="E46" i="148"/>
  <c r="E36" i="148"/>
  <c r="E31" i="148"/>
  <c r="E21" i="148"/>
  <c r="E16" i="148"/>
  <c r="C14" i="106"/>
  <c r="C13" i="106"/>
  <c r="C12" i="106"/>
  <c r="C17" i="106"/>
  <c r="L108" i="174"/>
  <c r="M108" i="174"/>
  <c r="P108" i="174"/>
  <c r="J107" i="174"/>
  <c r="L300" i="177"/>
  <c r="L99" i="174"/>
  <c r="M99" i="174"/>
  <c r="P99" i="174"/>
  <c r="J98" i="174"/>
  <c r="L88" i="173"/>
  <c r="M88" i="173"/>
  <c r="N88" i="173"/>
  <c r="F88" i="173"/>
  <c r="O88" i="173" s="1"/>
  <c r="O87" i="173"/>
  <c r="N93" i="105"/>
  <c r="J61" i="176"/>
  <c r="K43" i="176"/>
  <c r="K252" i="105"/>
  <c r="L252" i="105"/>
  <c r="M252" i="105"/>
  <c r="N252" i="105"/>
  <c r="J252" i="105"/>
  <c r="J251" i="105"/>
  <c r="L297" i="177"/>
  <c r="E294" i="177"/>
  <c r="L296" i="177"/>
  <c r="L293" i="177"/>
  <c r="E290" i="177"/>
  <c r="L292" i="177"/>
  <c r="P173" i="144"/>
  <c r="L87" i="149"/>
  <c r="K87" i="149"/>
  <c r="F8" i="114"/>
  <c r="G32" i="114"/>
  <c r="G30" i="114"/>
  <c r="G31" i="114"/>
  <c r="G34" i="114"/>
  <c r="G29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15" i="114"/>
  <c r="G14" i="114"/>
  <c r="G11" i="114"/>
  <c r="G13" i="114"/>
  <c r="G10" i="114"/>
  <c r="K352" i="174"/>
  <c r="L840" i="105"/>
  <c r="L288" i="177"/>
  <c r="L289" i="177"/>
  <c r="E286" i="177"/>
  <c r="T35" i="160"/>
  <c r="T22" i="160"/>
  <c r="R22" i="160"/>
  <c r="V22" i="160"/>
  <c r="O22" i="160"/>
  <c r="F202" i="144"/>
  <c r="G18" i="144"/>
  <c r="T21" i="160"/>
  <c r="J207" i="144"/>
  <c r="L207" i="144"/>
  <c r="N207" i="144"/>
  <c r="I207" i="144"/>
  <c r="O200" i="144"/>
  <c r="O199" i="144"/>
  <c r="O198" i="144"/>
  <c r="M201" i="144"/>
  <c r="O201" i="144"/>
  <c r="E76" i="179"/>
  <c r="O20" i="144"/>
  <c r="T14" i="160"/>
  <c r="G22" i="160"/>
  <c r="O79" i="173"/>
  <c r="S14" i="160"/>
  <c r="L285" i="177"/>
  <c r="E282" i="177"/>
  <c r="L284" i="177"/>
  <c r="M247" i="174"/>
  <c r="J247" i="174"/>
  <c r="E69" i="179"/>
  <c r="I131" i="177"/>
  <c r="L281" i="177"/>
  <c r="E278" i="177"/>
  <c r="L280" i="177"/>
  <c r="L108" i="175"/>
  <c r="L183" i="174"/>
  <c r="M183" i="174"/>
  <c r="P183" i="174"/>
  <c r="L143" i="173"/>
  <c r="N143" i="173"/>
  <c r="F143" i="173"/>
  <c r="L78" i="175"/>
  <c r="L79" i="175"/>
  <c r="L86" i="175"/>
  <c r="L57" i="175"/>
  <c r="O78" i="173"/>
  <c r="L29" i="175"/>
  <c r="H28" i="178"/>
  <c r="H25" i="178"/>
  <c r="H19" i="178"/>
  <c r="H18" i="178"/>
  <c r="H17" i="178"/>
  <c r="D26" i="178"/>
  <c r="D12" i="178"/>
  <c r="J36" i="115"/>
  <c r="K36" i="115"/>
  <c r="J23" i="115"/>
  <c r="H20" i="178"/>
  <c r="J17" i="115"/>
  <c r="H14" i="178"/>
  <c r="J11" i="115"/>
  <c r="J9" i="115"/>
  <c r="J32" i="115"/>
  <c r="J28" i="115"/>
  <c r="J61" i="113"/>
  <c r="D28" i="178"/>
  <c r="J57" i="113"/>
  <c r="D30" i="178"/>
  <c r="J53" i="113"/>
  <c r="D25" i="178"/>
  <c r="J46" i="113"/>
  <c r="J41" i="113"/>
  <c r="D18" i="178"/>
  <c r="J37" i="113"/>
  <c r="D17" i="178"/>
  <c r="J27" i="113"/>
  <c r="D11" i="178"/>
  <c r="J18" i="113"/>
  <c r="J17" i="113"/>
  <c r="D10" i="178"/>
  <c r="J11" i="113"/>
  <c r="J10" i="113"/>
  <c r="D9" i="178"/>
  <c r="I127" i="175"/>
  <c r="I122" i="175"/>
  <c r="I123" i="175"/>
  <c r="I128" i="175"/>
  <c r="J16" i="115"/>
  <c r="J14" i="115"/>
  <c r="J35" i="115"/>
  <c r="J42" i="115"/>
  <c r="J52" i="113"/>
  <c r="J50" i="113"/>
  <c r="J36" i="113"/>
  <c r="J9" i="113"/>
  <c r="J48" i="113"/>
  <c r="J65" i="113"/>
  <c r="F181" i="173"/>
  <c r="G181" i="173"/>
  <c r="H181" i="173"/>
  <c r="I181" i="173"/>
  <c r="L304" i="177"/>
  <c r="L305" i="177"/>
  <c r="E302" i="177"/>
  <c r="M986" i="105"/>
  <c r="M988" i="105" s="1"/>
  <c r="J986" i="105"/>
  <c r="K986" i="105"/>
  <c r="K988" i="105" s="1"/>
  <c r="I838" i="105"/>
  <c r="N835" i="105"/>
  <c r="I835" i="105" s="1"/>
  <c r="I833" i="105"/>
  <c r="N831" i="105"/>
  <c r="L831" i="105"/>
  <c r="I829" i="105"/>
  <c r="I825" i="105"/>
  <c r="L822" i="105"/>
  <c r="I822" i="105" s="1"/>
  <c r="I820" i="105"/>
  <c r="L817" i="105"/>
  <c r="I815" i="105"/>
  <c r="L812" i="105"/>
  <c r="I812" i="105" s="1"/>
  <c r="L807" i="105"/>
  <c r="I807" i="105" s="1"/>
  <c r="I805" i="105"/>
  <c r="I810" i="105"/>
  <c r="L802" i="105"/>
  <c r="I802" i="105" s="1"/>
  <c r="I800" i="105"/>
  <c r="I795" i="105"/>
  <c r="L792" i="105"/>
  <c r="I792" i="105" s="1"/>
  <c r="I790" i="105"/>
  <c r="L787" i="105"/>
  <c r="I787" i="105" s="1"/>
  <c r="I785" i="105"/>
  <c r="L782" i="105"/>
  <c r="I782" i="105"/>
  <c r="I780" i="105"/>
  <c r="L777" i="105"/>
  <c r="I777" i="105" s="1"/>
  <c r="I775" i="105"/>
  <c r="L772" i="105"/>
  <c r="I772" i="105" s="1"/>
  <c r="I770" i="105"/>
  <c r="L767" i="105"/>
  <c r="I767" i="105" s="1"/>
  <c r="I765" i="105"/>
  <c r="L762" i="105"/>
  <c r="I762" i="105" s="1"/>
  <c r="I760" i="105"/>
  <c r="L757" i="105"/>
  <c r="I757" i="105" s="1"/>
  <c r="I755" i="105"/>
  <c r="N752" i="105"/>
  <c r="I752" i="105" s="1"/>
  <c r="I750" i="105"/>
  <c r="L747" i="105"/>
  <c r="I747" i="105" s="1"/>
  <c r="I745" i="105"/>
  <c r="L742" i="105"/>
  <c r="I742" i="105" s="1"/>
  <c r="I740" i="105"/>
  <c r="L737" i="105"/>
  <c r="I737" i="105" s="1"/>
  <c r="I735" i="105"/>
  <c r="L732" i="105"/>
  <c r="I732" i="105" s="1"/>
  <c r="I730" i="105"/>
  <c r="L727" i="105"/>
  <c r="I727" i="105" s="1"/>
  <c r="I725" i="105"/>
  <c r="N695" i="105"/>
  <c r="N986" i="105" s="1"/>
  <c r="N696" i="105"/>
  <c r="N722" i="105"/>
  <c r="I722" i="105" s="1"/>
  <c r="N717" i="105"/>
  <c r="N712" i="105"/>
  <c r="I712" i="105" s="1"/>
  <c r="N707" i="105"/>
  <c r="N702" i="105"/>
  <c r="I702" i="105" s="1"/>
  <c r="I720" i="105"/>
  <c r="I715" i="105"/>
  <c r="I710" i="105"/>
  <c r="I705" i="105"/>
  <c r="I700" i="105"/>
  <c r="L692" i="105"/>
  <c r="I692" i="105" s="1"/>
  <c r="I690" i="105"/>
  <c r="L688" i="105"/>
  <c r="I688" i="105" s="1"/>
  <c r="I686" i="105"/>
  <c r="L683" i="105"/>
  <c r="I681" i="105"/>
  <c r="L678" i="105"/>
  <c r="I676" i="105"/>
  <c r="L673" i="105"/>
  <c r="I673" i="105" s="1"/>
  <c r="I671" i="105"/>
  <c r="L668" i="105"/>
  <c r="I668" i="105" s="1"/>
  <c r="I666" i="105"/>
  <c r="L663" i="105"/>
  <c r="I663" i="105" s="1"/>
  <c r="I661" i="105"/>
  <c r="L658" i="105"/>
  <c r="I656" i="105"/>
  <c r="L653" i="105"/>
  <c r="I653" i="105" s="1"/>
  <c r="I651" i="105"/>
  <c r="L648" i="105"/>
  <c r="I646" i="105"/>
  <c r="L643" i="105"/>
  <c r="I641" i="105"/>
  <c r="L638" i="105"/>
  <c r="I638" i="105" s="1"/>
  <c r="I636" i="105"/>
  <c r="L633" i="105"/>
  <c r="I631" i="105"/>
  <c r="L628" i="105"/>
  <c r="I628" i="105" s="1"/>
  <c r="I626" i="105"/>
  <c r="L623" i="105"/>
  <c r="I621" i="105"/>
  <c r="L618" i="105"/>
  <c r="I618" i="105" s="1"/>
  <c r="I616" i="105"/>
  <c r="L613" i="105"/>
  <c r="I611" i="105"/>
  <c r="L608" i="105"/>
  <c r="N603" i="105"/>
  <c r="N598" i="105"/>
  <c r="I598" i="105" s="1"/>
  <c r="N592" i="105"/>
  <c r="N587" i="105"/>
  <c r="N582" i="105"/>
  <c r="I606" i="105"/>
  <c r="I601" i="105"/>
  <c r="I596" i="105"/>
  <c r="I590" i="105"/>
  <c r="I585" i="105"/>
  <c r="I580" i="105"/>
  <c r="N577" i="105"/>
  <c r="L577" i="105"/>
  <c r="I575" i="105"/>
  <c r="L571" i="105"/>
  <c r="I571" i="105" s="1"/>
  <c r="I569" i="105"/>
  <c r="N566" i="105"/>
  <c r="I566" i="105" s="1"/>
  <c r="I564" i="105"/>
  <c r="N561" i="105"/>
  <c r="I559" i="105"/>
  <c r="L556" i="105"/>
  <c r="I556" i="105" s="1"/>
  <c r="I554" i="105"/>
  <c r="L551" i="105"/>
  <c r="I551" i="105" s="1"/>
  <c r="I549" i="105"/>
  <c r="L546" i="105"/>
  <c r="I546" i="105" s="1"/>
  <c r="I544" i="105"/>
  <c r="L541" i="105"/>
  <c r="I541" i="105" s="1"/>
  <c r="I539" i="105"/>
  <c r="I534" i="105"/>
  <c r="N530" i="105"/>
  <c r="I530" i="105" s="1"/>
  <c r="I528" i="105"/>
  <c r="N525" i="105"/>
  <c r="I525" i="105" s="1"/>
  <c r="L520" i="105"/>
  <c r="I520" i="105" s="1"/>
  <c r="I518" i="105"/>
  <c r="L515" i="105"/>
  <c r="I513" i="105"/>
  <c r="L510" i="105"/>
  <c r="I510" i="105" s="1"/>
  <c r="I508" i="105"/>
  <c r="L506" i="105"/>
  <c r="I504" i="105"/>
  <c r="L499" i="105"/>
  <c r="I499" i="105" s="1"/>
  <c r="I497" i="105"/>
  <c r="L494" i="105"/>
  <c r="I494" i="105" s="1"/>
  <c r="I492" i="105"/>
  <c r="N489" i="105"/>
  <c r="I489" i="105" s="1"/>
  <c r="I487" i="105"/>
  <c r="N484" i="105"/>
  <c r="I482" i="105"/>
  <c r="N479" i="105"/>
  <c r="I479" i="105" s="1"/>
  <c r="I477" i="105"/>
  <c r="N474" i="105"/>
  <c r="I472" i="105"/>
  <c r="N469" i="105"/>
  <c r="I467" i="105"/>
  <c r="L464" i="105"/>
  <c r="I464" i="105" s="1"/>
  <c r="I462" i="105"/>
  <c r="L459" i="105"/>
  <c r="I457" i="105"/>
  <c r="I452" i="105"/>
  <c r="L449" i="105"/>
  <c r="I449" i="105" s="1"/>
  <c r="I447" i="105"/>
  <c r="K444" i="105"/>
  <c r="L444" i="105"/>
  <c r="J444" i="105"/>
  <c r="I444" i="105" s="1"/>
  <c r="I442" i="105"/>
  <c r="L439" i="105"/>
  <c r="I439" i="105" s="1"/>
  <c r="I437" i="105"/>
  <c r="L434" i="105"/>
  <c r="I434" i="105" s="1"/>
  <c r="I432" i="105"/>
  <c r="L429" i="105"/>
  <c r="I429" i="105" s="1"/>
  <c r="I427" i="105"/>
  <c r="N424" i="105"/>
  <c r="I424" i="105" s="1"/>
  <c r="I422" i="105"/>
  <c r="L419" i="105"/>
  <c r="I417" i="105"/>
  <c r="L414" i="105"/>
  <c r="I414" i="105" s="1"/>
  <c r="I412" i="105"/>
  <c r="L409" i="105"/>
  <c r="I407" i="105"/>
  <c r="N404" i="105"/>
  <c r="I404" i="105" s="1"/>
  <c r="I402" i="105"/>
  <c r="N399" i="105"/>
  <c r="L399" i="105"/>
  <c r="I397" i="105"/>
  <c r="L394" i="105"/>
  <c r="I392" i="105"/>
  <c r="I385" i="105"/>
  <c r="N382" i="105"/>
  <c r="I382" i="105" s="1"/>
  <c r="I380" i="105"/>
  <c r="N377" i="105"/>
  <c r="I377" i="105" s="1"/>
  <c r="I375" i="105"/>
  <c r="L372" i="105"/>
  <c r="I370" i="105"/>
  <c r="M367" i="105"/>
  <c r="I367" i="105" s="1"/>
  <c r="I365" i="105"/>
  <c r="K362" i="105"/>
  <c r="J362" i="105"/>
  <c r="I360" i="105"/>
  <c r="K357" i="105"/>
  <c r="L357" i="105"/>
  <c r="N357" i="105"/>
  <c r="J357" i="105"/>
  <c r="I355" i="105"/>
  <c r="I354" i="105"/>
  <c r="M352" i="105"/>
  <c r="I352" i="105" s="1"/>
  <c r="I350" i="105"/>
  <c r="J296" i="105"/>
  <c r="K296" i="105"/>
  <c r="L296" i="105"/>
  <c r="N296" i="105"/>
  <c r="M296" i="105"/>
  <c r="M347" i="105"/>
  <c r="M342" i="105"/>
  <c r="I342" i="105" s="1"/>
  <c r="M337" i="105"/>
  <c r="M332" i="105"/>
  <c r="I332" i="105" s="1"/>
  <c r="M327" i="105"/>
  <c r="M322" i="105"/>
  <c r="I322" i="105" s="1"/>
  <c r="M317" i="105"/>
  <c r="I317" i="105" s="1"/>
  <c r="M312" i="105"/>
  <c r="I312" i="105" s="1"/>
  <c r="M307" i="105"/>
  <c r="I307" i="105" s="1"/>
  <c r="M303" i="105"/>
  <c r="I303" i="105" s="1"/>
  <c r="I345" i="105"/>
  <c r="I340" i="105"/>
  <c r="I335" i="105"/>
  <c r="I330" i="105"/>
  <c r="I325" i="105"/>
  <c r="I320" i="105"/>
  <c r="I315" i="105"/>
  <c r="I310" i="105"/>
  <c r="I305" i="105"/>
  <c r="I301" i="105"/>
  <c r="L293" i="105"/>
  <c r="I291" i="105"/>
  <c r="M288" i="105"/>
  <c r="I288" i="105" s="1"/>
  <c r="I286" i="105"/>
  <c r="M283" i="105"/>
  <c r="I281" i="105"/>
  <c r="N278" i="105"/>
  <c r="I278" i="105" s="1"/>
  <c r="I276" i="105"/>
  <c r="M251" i="105"/>
  <c r="K251" i="105"/>
  <c r="N273" i="105"/>
  <c r="L268" i="105"/>
  <c r="I268" i="105" s="1"/>
  <c r="N258" i="105"/>
  <c r="I271" i="105"/>
  <c r="I266" i="105"/>
  <c r="I261" i="105"/>
  <c r="N248" i="105"/>
  <c r="I248" i="105" s="1"/>
  <c r="I246" i="105"/>
  <c r="L243" i="105"/>
  <c r="I243" i="105" s="1"/>
  <c r="N238" i="105"/>
  <c r="I236" i="105"/>
  <c r="N233" i="105"/>
  <c r="I233" i="105" s="1"/>
  <c r="I231" i="105"/>
  <c r="N226" i="105"/>
  <c r="M226" i="105"/>
  <c r="K226" i="105"/>
  <c r="J226" i="105"/>
  <c r="L213" i="105"/>
  <c r="I213" i="105" s="1"/>
  <c r="I211" i="105"/>
  <c r="L223" i="105"/>
  <c r="I223" i="105" s="1"/>
  <c r="I221" i="105"/>
  <c r="L218" i="105"/>
  <c r="I216" i="105"/>
  <c r="L208" i="105"/>
  <c r="I206" i="105"/>
  <c r="L198" i="105"/>
  <c r="I198" i="105" s="1"/>
  <c r="I196" i="105"/>
  <c r="N193" i="105"/>
  <c r="L193" i="105"/>
  <c r="I191" i="105"/>
  <c r="N188" i="105"/>
  <c r="I188" i="105" s="1"/>
  <c r="I186" i="105"/>
  <c r="N182" i="105"/>
  <c r="I182" i="105" s="1"/>
  <c r="I180" i="105"/>
  <c r="N176" i="105"/>
  <c r="L176" i="105"/>
  <c r="I174" i="105"/>
  <c r="N171" i="105"/>
  <c r="I169" i="105"/>
  <c r="N166" i="105"/>
  <c r="I164" i="105"/>
  <c r="N159" i="105"/>
  <c r="L154" i="105"/>
  <c r="I154" i="105" s="1"/>
  <c r="N149" i="105"/>
  <c r="L144" i="105"/>
  <c r="I144" i="105" s="1"/>
  <c r="I157" i="105"/>
  <c r="I152" i="105"/>
  <c r="I147" i="105"/>
  <c r="I142" i="105"/>
  <c r="J111" i="105"/>
  <c r="N134" i="105"/>
  <c r="N139" i="105"/>
  <c r="I139" i="105" s="1"/>
  <c r="N129" i="105"/>
  <c r="I129" i="105" s="1"/>
  <c r="N124" i="105"/>
  <c r="N119" i="105"/>
  <c r="N112" i="105"/>
  <c r="N111" i="105"/>
  <c r="M112" i="105"/>
  <c r="L112" i="105"/>
  <c r="K112" i="105"/>
  <c r="J112" i="105"/>
  <c r="I137" i="105"/>
  <c r="I132" i="105"/>
  <c r="I127" i="105"/>
  <c r="I122" i="105"/>
  <c r="I117" i="105"/>
  <c r="L108" i="105"/>
  <c r="I108" i="105" s="1"/>
  <c r="I106" i="105"/>
  <c r="I101" i="105"/>
  <c r="N98" i="105"/>
  <c r="I98" i="105" s="1"/>
  <c r="N88" i="105"/>
  <c r="I96" i="105"/>
  <c r="I91" i="105"/>
  <c r="I86" i="105"/>
  <c r="N79" i="105"/>
  <c r="I79" i="105" s="1"/>
  <c r="N74" i="105"/>
  <c r="I74" i="105" s="1"/>
  <c r="N69" i="105"/>
  <c r="I69" i="105" s="1"/>
  <c r="I77" i="105"/>
  <c r="I72" i="105"/>
  <c r="I67" i="105"/>
  <c r="J62" i="105"/>
  <c r="N62" i="105"/>
  <c r="M62" i="105"/>
  <c r="L62" i="105"/>
  <c r="K62" i="105"/>
  <c r="L59" i="105"/>
  <c r="I57" i="105"/>
  <c r="L54" i="105"/>
  <c r="I54" i="105" s="1"/>
  <c r="I52" i="105"/>
  <c r="L49" i="105"/>
  <c r="I49" i="105" s="1"/>
  <c r="I47" i="105"/>
  <c r="L45" i="105"/>
  <c r="I45" i="105" s="1"/>
  <c r="I43" i="105"/>
  <c r="K33" i="105"/>
  <c r="L33" i="105"/>
  <c r="J33" i="105"/>
  <c r="I31" i="105"/>
  <c r="L28" i="105"/>
  <c r="I28" i="105" s="1"/>
  <c r="I26" i="105"/>
  <c r="K24" i="105"/>
  <c r="L24" i="105"/>
  <c r="J24" i="105"/>
  <c r="I22" i="105"/>
  <c r="K19" i="105"/>
  <c r="L19" i="105"/>
  <c r="J19" i="105"/>
  <c r="I15" i="105"/>
  <c r="I17" i="105"/>
  <c r="I12" i="105"/>
  <c r="M166" i="144"/>
  <c r="O194" i="144"/>
  <c r="K196" i="144"/>
  <c r="O196" i="144"/>
  <c r="O189" i="144"/>
  <c r="L191" i="144"/>
  <c r="K191" i="144"/>
  <c r="K186" i="144"/>
  <c r="K181" i="144"/>
  <c r="K176" i="144"/>
  <c r="K171" i="144"/>
  <c r="O184" i="144"/>
  <c r="O179" i="144"/>
  <c r="O174" i="144"/>
  <c r="O169" i="144"/>
  <c r="O164" i="144"/>
  <c r="K166" i="144"/>
  <c r="O166" i="144"/>
  <c r="K161" i="144"/>
  <c r="K156" i="144"/>
  <c r="O159" i="144"/>
  <c r="O154" i="144"/>
  <c r="K151" i="144"/>
  <c r="O151" i="144"/>
  <c r="E148" i="144"/>
  <c r="J146" i="144"/>
  <c r="K146" i="144"/>
  <c r="I146" i="144"/>
  <c r="O149" i="144"/>
  <c r="O144" i="144"/>
  <c r="L141" i="144"/>
  <c r="O141" i="144"/>
  <c r="O139" i="144"/>
  <c r="K136" i="144"/>
  <c r="I136" i="144"/>
  <c r="K131" i="144"/>
  <c r="O134" i="144"/>
  <c r="O129" i="144"/>
  <c r="M126" i="144"/>
  <c r="K126" i="144"/>
  <c r="O124" i="144"/>
  <c r="K121" i="144"/>
  <c r="M116" i="144"/>
  <c r="K116" i="144"/>
  <c r="M111" i="144"/>
  <c r="O111" i="144"/>
  <c r="K111" i="144"/>
  <c r="O119" i="144"/>
  <c r="O114" i="144"/>
  <c r="O109" i="144"/>
  <c r="N106" i="144"/>
  <c r="O106" i="144"/>
  <c r="E103" i="144"/>
  <c r="M101" i="144"/>
  <c r="O101" i="144"/>
  <c r="O99" i="144"/>
  <c r="M96" i="144"/>
  <c r="K96" i="144"/>
  <c r="O104" i="144"/>
  <c r="O94" i="144"/>
  <c r="M91" i="144"/>
  <c r="K91" i="144"/>
  <c r="O89" i="144"/>
  <c r="M86" i="144"/>
  <c r="O84" i="144"/>
  <c r="K81" i="144"/>
  <c r="O79" i="144"/>
  <c r="M76" i="144"/>
  <c r="K76" i="144"/>
  <c r="O74" i="144"/>
  <c r="M71" i="144"/>
  <c r="K71" i="144"/>
  <c r="O69" i="144"/>
  <c r="M66" i="144"/>
  <c r="K66" i="144"/>
  <c r="O64" i="144"/>
  <c r="M61" i="144"/>
  <c r="K61" i="144"/>
  <c r="O59" i="144"/>
  <c r="K56" i="144"/>
  <c r="O54" i="144"/>
  <c r="K51" i="144"/>
  <c r="O49" i="144"/>
  <c r="M46" i="144"/>
  <c r="K46" i="144"/>
  <c r="O44" i="144"/>
  <c r="M41" i="144"/>
  <c r="K41" i="144"/>
  <c r="O39" i="144"/>
  <c r="M36" i="144"/>
  <c r="K36" i="144"/>
  <c r="O34" i="144"/>
  <c r="M31" i="144"/>
  <c r="K31" i="144"/>
  <c r="O29" i="144"/>
  <c r="M26" i="144"/>
  <c r="K26" i="144"/>
  <c r="O24" i="144"/>
  <c r="J21" i="144"/>
  <c r="K21" i="144"/>
  <c r="I21" i="144"/>
  <c r="O19" i="144"/>
  <c r="M16" i="144"/>
  <c r="K16" i="144"/>
  <c r="O14" i="144"/>
  <c r="K332" i="177"/>
  <c r="I332" i="177"/>
  <c r="J277" i="177"/>
  <c r="L277" i="177"/>
  <c r="E274" i="177"/>
  <c r="J273" i="177"/>
  <c r="L273" i="177"/>
  <c r="E270" i="177"/>
  <c r="K269" i="177"/>
  <c r="L269" i="177"/>
  <c r="E266" i="177"/>
  <c r="K265" i="177"/>
  <c r="K261" i="177"/>
  <c r="K256" i="177"/>
  <c r="K251" i="177"/>
  <c r="J251" i="177"/>
  <c r="K246" i="177"/>
  <c r="J246" i="177"/>
  <c r="K241" i="177"/>
  <c r="J241" i="177"/>
  <c r="K236" i="177"/>
  <c r="J236" i="177"/>
  <c r="K231" i="177"/>
  <c r="J231" i="177"/>
  <c r="K226" i="177"/>
  <c r="J226" i="177"/>
  <c r="K221" i="177"/>
  <c r="J221" i="177"/>
  <c r="K216" i="177"/>
  <c r="J216" i="177"/>
  <c r="K211" i="177"/>
  <c r="J211" i="177"/>
  <c r="K206" i="177"/>
  <c r="J206" i="177"/>
  <c r="K201" i="177"/>
  <c r="J201" i="177"/>
  <c r="K196" i="177"/>
  <c r="J196" i="177"/>
  <c r="K191" i="177"/>
  <c r="J191" i="177"/>
  <c r="J186" i="177"/>
  <c r="K186" i="177"/>
  <c r="I186" i="177"/>
  <c r="J181" i="177"/>
  <c r="J176" i="177"/>
  <c r="K171" i="177"/>
  <c r="J171" i="177"/>
  <c r="K166" i="177"/>
  <c r="J166" i="177"/>
  <c r="K161" i="177"/>
  <c r="J161" i="177"/>
  <c r="K156" i="177"/>
  <c r="J156" i="177"/>
  <c r="K151" i="177"/>
  <c r="J151" i="177"/>
  <c r="K146" i="177"/>
  <c r="J146" i="177"/>
  <c r="K141" i="177"/>
  <c r="J141" i="177"/>
  <c r="K136" i="177"/>
  <c r="J136" i="177"/>
  <c r="K131" i="177"/>
  <c r="J131" i="177"/>
  <c r="J126" i="177"/>
  <c r="I126" i="177"/>
  <c r="K121" i="177"/>
  <c r="J121" i="177"/>
  <c r="K116" i="177"/>
  <c r="J116" i="177"/>
  <c r="K111" i="177"/>
  <c r="J111" i="177"/>
  <c r="K106" i="177"/>
  <c r="J106" i="177"/>
  <c r="K101" i="177"/>
  <c r="J101" i="177"/>
  <c r="L101" i="177"/>
  <c r="L275" i="177"/>
  <c r="L271" i="177"/>
  <c r="L267" i="177"/>
  <c r="L263" i="177"/>
  <c r="L259" i="177"/>
  <c r="L254" i="177"/>
  <c r="L249" i="177"/>
  <c r="L244" i="177"/>
  <c r="L239" i="177"/>
  <c r="L234" i="177"/>
  <c r="L229" i="177"/>
  <c r="L224" i="177"/>
  <c r="L219" i="177"/>
  <c r="L214" i="177"/>
  <c r="L209" i="177"/>
  <c r="L204" i="177"/>
  <c r="L199" i="177"/>
  <c r="L194" i="177"/>
  <c r="L189" i="177"/>
  <c r="L184" i="177"/>
  <c r="L179" i="177"/>
  <c r="L174" i="177"/>
  <c r="L169" i="177"/>
  <c r="L164" i="177"/>
  <c r="L159" i="177"/>
  <c r="L154" i="177"/>
  <c r="L149" i="177"/>
  <c r="L144" i="177"/>
  <c r="L139" i="177"/>
  <c r="L134" i="177"/>
  <c r="L129" i="177"/>
  <c r="L124" i="177"/>
  <c r="L119" i="177"/>
  <c r="L114" i="177"/>
  <c r="L109" i="177"/>
  <c r="L104" i="177"/>
  <c r="L99" i="177"/>
  <c r="J96" i="177"/>
  <c r="K91" i="177"/>
  <c r="J91" i="177"/>
  <c r="K86" i="177"/>
  <c r="J86" i="177"/>
  <c r="K76" i="177"/>
  <c r="K81" i="177"/>
  <c r="J81" i="177"/>
  <c r="J76" i="177"/>
  <c r="K71" i="177"/>
  <c r="J71" i="177"/>
  <c r="K66" i="177"/>
  <c r="J66" i="177"/>
  <c r="K61" i="177"/>
  <c r="J61" i="177"/>
  <c r="K56" i="177"/>
  <c r="J56" i="177"/>
  <c r="K51" i="177"/>
  <c r="J51" i="177"/>
  <c r="K46" i="177"/>
  <c r="J46" i="177"/>
  <c r="K41" i="177"/>
  <c r="J41" i="177"/>
  <c r="K36" i="177"/>
  <c r="J36" i="177"/>
  <c r="K31" i="177"/>
  <c r="J31" i="177"/>
  <c r="J26" i="177"/>
  <c r="K26" i="177"/>
  <c r="I26" i="177"/>
  <c r="L94" i="177"/>
  <c r="L89" i="177"/>
  <c r="L84" i="177"/>
  <c r="L79" i="177"/>
  <c r="L74" i="177"/>
  <c r="L69" i="177"/>
  <c r="L64" i="177"/>
  <c r="L59" i="177"/>
  <c r="L54" i="177"/>
  <c r="L49" i="177"/>
  <c r="L44" i="177"/>
  <c r="L39" i="177"/>
  <c r="L34" i="177"/>
  <c r="L29" i="177"/>
  <c r="L24" i="177"/>
  <c r="L19" i="177"/>
  <c r="J21" i="177"/>
  <c r="K21" i="177"/>
  <c r="I21" i="177"/>
  <c r="L21" i="177"/>
  <c r="O26" i="144"/>
  <c r="O76" i="144"/>
  <c r="O191" i="144"/>
  <c r="O66" i="144"/>
  <c r="O96" i="144"/>
  <c r="E93" i="144"/>
  <c r="O31" i="144"/>
  <c r="O126" i="144"/>
  <c r="O146" i="144"/>
  <c r="O56" i="144"/>
  <c r="O46" i="144"/>
  <c r="O41" i="144"/>
  <c r="J16" i="177"/>
  <c r="L14" i="177"/>
  <c r="N77" i="148"/>
  <c r="M77" i="148"/>
  <c r="L77" i="148"/>
  <c r="K77" i="148"/>
  <c r="J77" i="148"/>
  <c r="I77" i="148"/>
  <c r="I79" i="148"/>
  <c r="M74" i="148"/>
  <c r="O72" i="148"/>
  <c r="M69" i="148"/>
  <c r="K69" i="148"/>
  <c r="O67" i="148"/>
  <c r="M64" i="148"/>
  <c r="O62" i="148"/>
  <c r="M59" i="148"/>
  <c r="O57" i="148"/>
  <c r="K54" i="148"/>
  <c r="O52" i="148"/>
  <c r="M49" i="148"/>
  <c r="O47" i="148"/>
  <c r="M44" i="148"/>
  <c r="O44" i="148"/>
  <c r="E41" i="148"/>
  <c r="O42" i="148"/>
  <c r="O77" i="148"/>
  <c r="M39" i="148"/>
  <c r="K39" i="148"/>
  <c r="O37" i="148"/>
  <c r="N34" i="148"/>
  <c r="O32" i="148"/>
  <c r="M29" i="148"/>
  <c r="O27" i="148"/>
  <c r="M24" i="148"/>
  <c r="K24" i="148"/>
  <c r="O22" i="148"/>
  <c r="M19" i="148"/>
  <c r="K19" i="148"/>
  <c r="O17" i="148"/>
  <c r="M14" i="148"/>
  <c r="K14" i="148"/>
  <c r="O12" i="148"/>
  <c r="J183" i="149"/>
  <c r="I183" i="149"/>
  <c r="M178" i="149"/>
  <c r="P176" i="149"/>
  <c r="M173" i="149"/>
  <c r="P171" i="149"/>
  <c r="M168" i="149"/>
  <c r="P166" i="149"/>
  <c r="M163" i="149"/>
  <c r="P161" i="149"/>
  <c r="M158" i="149"/>
  <c r="P156" i="149"/>
  <c r="M153" i="149"/>
  <c r="P151" i="149"/>
  <c r="M148" i="149"/>
  <c r="P146" i="149"/>
  <c r="M143" i="149"/>
  <c r="P141" i="149"/>
  <c r="M138" i="149"/>
  <c r="P136" i="149"/>
  <c r="M133" i="149"/>
  <c r="P131" i="149"/>
  <c r="M128" i="149"/>
  <c r="P128" i="149"/>
  <c r="P126" i="149"/>
  <c r="M123" i="149"/>
  <c r="P121" i="149"/>
  <c r="M118" i="149"/>
  <c r="P116" i="149"/>
  <c r="P110" i="149"/>
  <c r="P85" i="149"/>
  <c r="K186" i="149"/>
  <c r="L186" i="149"/>
  <c r="O186" i="149"/>
  <c r="M76" i="149"/>
  <c r="M72" i="149"/>
  <c r="M68" i="149"/>
  <c r="P68" i="149"/>
  <c r="E66" i="149"/>
  <c r="M64" i="149"/>
  <c r="M60" i="149"/>
  <c r="M56" i="149"/>
  <c r="P74" i="149"/>
  <c r="P70" i="149"/>
  <c r="P66" i="149"/>
  <c r="P62" i="149"/>
  <c r="P58" i="149"/>
  <c r="P54" i="149"/>
  <c r="P50" i="149"/>
  <c r="M52" i="149"/>
  <c r="M48" i="149"/>
  <c r="P46" i="149"/>
  <c r="P42" i="149"/>
  <c r="M44" i="149"/>
  <c r="P36" i="149"/>
  <c r="E32" i="149" s="1"/>
  <c r="E77" i="149" s="1"/>
  <c r="M30" i="149"/>
  <c r="P30" i="149"/>
  <c r="E27" i="149"/>
  <c r="P28" i="149"/>
  <c r="P79" i="149"/>
  <c r="P23" i="149"/>
  <c r="N25" i="149"/>
  <c r="J186" i="149"/>
  <c r="N186" i="149"/>
  <c r="I186" i="149"/>
  <c r="I81" i="149"/>
  <c r="K136" i="176"/>
  <c r="J124" i="176"/>
  <c r="K122" i="176"/>
  <c r="J118" i="176"/>
  <c r="K116" i="176"/>
  <c r="J111" i="176"/>
  <c r="K109" i="176"/>
  <c r="J104" i="176"/>
  <c r="K104" i="176"/>
  <c r="E100" i="176"/>
  <c r="K102" i="176"/>
  <c r="J99" i="176"/>
  <c r="K97" i="176"/>
  <c r="J92" i="176"/>
  <c r="K90" i="176"/>
  <c r="J87" i="176"/>
  <c r="K85" i="176"/>
  <c r="J80" i="176"/>
  <c r="K78" i="176"/>
  <c r="J74" i="176"/>
  <c r="K72" i="176"/>
  <c r="J67" i="176"/>
  <c r="K65" i="176"/>
  <c r="K59" i="176"/>
  <c r="J55" i="176"/>
  <c r="K53" i="176"/>
  <c r="J49" i="176"/>
  <c r="I49" i="176"/>
  <c r="K47" i="176"/>
  <c r="J44" i="176"/>
  <c r="K42" i="176"/>
  <c r="J39" i="176"/>
  <c r="K37" i="176"/>
  <c r="J34" i="176"/>
  <c r="K32" i="176"/>
  <c r="J29" i="176"/>
  <c r="I29" i="176"/>
  <c r="K27" i="176"/>
  <c r="J24" i="176"/>
  <c r="J19" i="176"/>
  <c r="K19" i="176"/>
  <c r="E15" i="176"/>
  <c r="K17" i="176"/>
  <c r="J14" i="176"/>
  <c r="K12" i="176"/>
  <c r="J127" i="175"/>
  <c r="R345" i="174"/>
  <c r="Q345" i="174"/>
  <c r="P345" i="174"/>
  <c r="P347" i="174" s="1"/>
  <c r="O345" i="174"/>
  <c r="O347" i="174" s="1"/>
  <c r="N345" i="174"/>
  <c r="N347" i="174" s="1"/>
  <c r="M345" i="174"/>
  <c r="M347" i="174" s="1"/>
  <c r="L345" i="174"/>
  <c r="L347" i="174" s="1"/>
  <c r="K345" i="174"/>
  <c r="K347" i="174" s="1"/>
  <c r="Q203" i="174"/>
  <c r="Q205" i="174" s="1"/>
  <c r="Q112" i="174"/>
  <c r="Q114" i="174" s="1"/>
  <c r="Q77" i="174"/>
  <c r="R203" i="174"/>
  <c r="R205" i="174" s="1"/>
  <c r="R112" i="174"/>
  <c r="R114" i="174" s="1"/>
  <c r="R77" i="174"/>
  <c r="R79" i="174" s="1"/>
  <c r="L203" i="174"/>
  <c r="L112" i="174"/>
  <c r="L114" i="174" s="1"/>
  <c r="L77" i="174"/>
  <c r="M203" i="174"/>
  <c r="M112" i="174"/>
  <c r="M77" i="174"/>
  <c r="O203" i="174"/>
  <c r="O205" i="174" s="1"/>
  <c r="O112" i="174"/>
  <c r="O114" i="174" s="1"/>
  <c r="O77" i="174"/>
  <c r="P203" i="174"/>
  <c r="P205" i="174" s="1"/>
  <c r="P112" i="174"/>
  <c r="P114" i="174" s="1"/>
  <c r="P77" i="174"/>
  <c r="P79" i="174" s="1"/>
  <c r="K203" i="174"/>
  <c r="K112" i="174"/>
  <c r="K77" i="174"/>
  <c r="L351" i="174"/>
  <c r="M330" i="174"/>
  <c r="N351" i="174"/>
  <c r="O351" i="174"/>
  <c r="P351" i="174"/>
  <c r="Q351" i="174"/>
  <c r="R351" i="174"/>
  <c r="K351" i="174"/>
  <c r="L317" i="174"/>
  <c r="M317" i="174"/>
  <c r="K317" i="174"/>
  <c r="J315" i="174"/>
  <c r="P313" i="174"/>
  <c r="M313" i="174"/>
  <c r="J313" i="174"/>
  <c r="J311" i="174"/>
  <c r="M305" i="174"/>
  <c r="J305" i="174" s="1"/>
  <c r="J303" i="174"/>
  <c r="L309" i="174"/>
  <c r="K309" i="174"/>
  <c r="J307" i="174"/>
  <c r="L299" i="174"/>
  <c r="M299" i="174"/>
  <c r="K299" i="174"/>
  <c r="J297" i="174"/>
  <c r="L294" i="174"/>
  <c r="K294" i="174"/>
  <c r="J292" i="174"/>
  <c r="L288" i="174"/>
  <c r="K288" i="174"/>
  <c r="J286" i="174"/>
  <c r="L283" i="174"/>
  <c r="K283" i="174"/>
  <c r="J281" i="174"/>
  <c r="L277" i="174"/>
  <c r="K277" i="174"/>
  <c r="J277" i="174" s="1"/>
  <c r="J275" i="174"/>
  <c r="L272" i="174"/>
  <c r="K272" i="174"/>
  <c r="J270" i="174"/>
  <c r="L264" i="174"/>
  <c r="K264" i="174"/>
  <c r="J262" i="174"/>
  <c r="L259" i="174"/>
  <c r="K259" i="174"/>
  <c r="J257" i="174"/>
  <c r="L254" i="174"/>
  <c r="J254" i="174"/>
  <c r="K254" i="174"/>
  <c r="J252" i="174"/>
  <c r="J245" i="174"/>
  <c r="P242" i="174"/>
  <c r="M242" i="174"/>
  <c r="J240" i="174"/>
  <c r="L237" i="174"/>
  <c r="M237" i="174"/>
  <c r="P237" i="174"/>
  <c r="K237" i="174"/>
  <c r="J237" i="174" s="1"/>
  <c r="J235" i="174"/>
  <c r="L232" i="174"/>
  <c r="K232" i="174"/>
  <c r="J230" i="174"/>
  <c r="L227" i="174"/>
  <c r="K227" i="174"/>
  <c r="J227" i="174" s="1"/>
  <c r="J225" i="174"/>
  <c r="M222" i="174"/>
  <c r="L219" i="174"/>
  <c r="L327" i="174" s="1"/>
  <c r="J220" i="174"/>
  <c r="N203" i="174"/>
  <c r="N205" i="174"/>
  <c r="N112" i="174"/>
  <c r="N114" i="174"/>
  <c r="N77" i="174"/>
  <c r="N79" i="174" s="1"/>
  <c r="J208" i="174"/>
  <c r="L200" i="174"/>
  <c r="M200" i="174"/>
  <c r="P200" i="174"/>
  <c r="J196" i="174"/>
  <c r="M193" i="174"/>
  <c r="P193" i="174"/>
  <c r="K193" i="174"/>
  <c r="J193" i="174" s="1"/>
  <c r="J191" i="174"/>
  <c r="L188" i="174"/>
  <c r="K188" i="174"/>
  <c r="J188" i="174"/>
  <c r="J186" i="174"/>
  <c r="J180" i="174"/>
  <c r="L175" i="174"/>
  <c r="K175" i="174"/>
  <c r="J173" i="174"/>
  <c r="J166" i="174"/>
  <c r="L163" i="174"/>
  <c r="M163" i="174"/>
  <c r="P163" i="174"/>
  <c r="K163" i="174"/>
  <c r="J163" i="174" s="1"/>
  <c r="J161" i="174"/>
  <c r="L157" i="174"/>
  <c r="K157" i="174"/>
  <c r="J157" i="174" s="1"/>
  <c r="J155" i="174"/>
  <c r="J146" i="174"/>
  <c r="L143" i="174"/>
  <c r="K143" i="174"/>
  <c r="J141" i="174"/>
  <c r="J133" i="174"/>
  <c r="L130" i="174"/>
  <c r="M130" i="174"/>
  <c r="P130" i="174"/>
  <c r="K130" i="174"/>
  <c r="J128" i="174"/>
  <c r="L125" i="174"/>
  <c r="K125" i="174"/>
  <c r="J123" i="174"/>
  <c r="J117" i="174"/>
  <c r="J103" i="174"/>
  <c r="J95" i="174"/>
  <c r="J90" i="174"/>
  <c r="J82" i="174"/>
  <c r="L74" i="174"/>
  <c r="M74" i="174"/>
  <c r="K74" i="174"/>
  <c r="L52" i="174"/>
  <c r="J72" i="174"/>
  <c r="J64" i="174"/>
  <c r="J56" i="174"/>
  <c r="J43" i="174"/>
  <c r="J32" i="174"/>
  <c r="J22" i="174"/>
  <c r="J13" i="174"/>
  <c r="O178" i="173"/>
  <c r="L181" i="173"/>
  <c r="G162" i="173"/>
  <c r="G164" i="173" s="1"/>
  <c r="G98" i="173"/>
  <c r="G70" i="173"/>
  <c r="G72" i="173" s="1"/>
  <c r="H162" i="173"/>
  <c r="H98" i="173"/>
  <c r="H100" i="173" s="1"/>
  <c r="H70" i="173"/>
  <c r="I162" i="173"/>
  <c r="I173" i="173" s="1"/>
  <c r="I184" i="173" s="1"/>
  <c r="I98" i="173"/>
  <c r="I70" i="173"/>
  <c r="I72" i="173" s="1"/>
  <c r="J162" i="173"/>
  <c r="J98" i="173"/>
  <c r="J100" i="173" s="1"/>
  <c r="J70" i="173"/>
  <c r="K162" i="173"/>
  <c r="K98" i="173"/>
  <c r="K70" i="173"/>
  <c r="L162" i="173"/>
  <c r="L164" i="173" s="1"/>
  <c r="L98" i="173"/>
  <c r="L100" i="173" s="1"/>
  <c r="L70" i="173"/>
  <c r="M162" i="173"/>
  <c r="M164" i="173" s="1"/>
  <c r="M98" i="173"/>
  <c r="M70" i="173"/>
  <c r="M72" i="173" s="1"/>
  <c r="N162" i="173"/>
  <c r="N164" i="173" s="1"/>
  <c r="N98" i="173"/>
  <c r="N100" i="173" s="1"/>
  <c r="N70" i="173"/>
  <c r="F162" i="173"/>
  <c r="F164" i="173" s="1"/>
  <c r="F98" i="173"/>
  <c r="F100" i="173" s="1"/>
  <c r="O167" i="173"/>
  <c r="O156" i="173"/>
  <c r="O151" i="173"/>
  <c r="L153" i="173"/>
  <c r="O146" i="173"/>
  <c r="G148" i="173"/>
  <c r="O141" i="173"/>
  <c r="O135" i="173"/>
  <c r="O130" i="173"/>
  <c r="L132" i="173"/>
  <c r="G132" i="173"/>
  <c r="O132" i="173" s="1"/>
  <c r="O122" i="173"/>
  <c r="O114" i="173"/>
  <c r="O109" i="173"/>
  <c r="L111" i="173"/>
  <c r="J111" i="173"/>
  <c r="O111" i="173" s="1"/>
  <c r="G111" i="173"/>
  <c r="O103" i="173"/>
  <c r="O91" i="173"/>
  <c r="O84" i="173"/>
  <c r="O75" i="173"/>
  <c r="F70" i="173"/>
  <c r="O65" i="173"/>
  <c r="G67" i="173"/>
  <c r="O67" i="173" s="1"/>
  <c r="O58" i="173"/>
  <c r="O62" i="173"/>
  <c r="O50" i="173"/>
  <c r="O39" i="173"/>
  <c r="O30" i="173"/>
  <c r="O21" i="173"/>
  <c r="O13" i="173"/>
  <c r="M58" i="113"/>
  <c r="M59" i="113"/>
  <c r="M60" i="113"/>
  <c r="M63" i="113"/>
  <c r="K297" i="105"/>
  <c r="L297" i="105"/>
  <c r="M297" i="105"/>
  <c r="N297" i="105"/>
  <c r="J297" i="105"/>
  <c r="I306" i="105"/>
  <c r="L265" i="177"/>
  <c r="E262" i="177"/>
  <c r="L264" i="177"/>
  <c r="N451" i="105"/>
  <c r="I451" i="105"/>
  <c r="J988" i="105"/>
  <c r="K227" i="105"/>
  <c r="K113" i="105"/>
  <c r="K63" i="105"/>
  <c r="L227" i="105"/>
  <c r="L113" i="105"/>
  <c r="L63" i="105"/>
  <c r="M227" i="105"/>
  <c r="M113" i="105"/>
  <c r="M114" i="105"/>
  <c r="M63" i="105"/>
  <c r="M64" i="105"/>
  <c r="N227" i="105"/>
  <c r="N113" i="105"/>
  <c r="N114" i="105" s="1"/>
  <c r="N63" i="105"/>
  <c r="J227" i="105"/>
  <c r="I227" i="105" s="1"/>
  <c r="J113" i="105"/>
  <c r="J63" i="105"/>
  <c r="J64" i="105" s="1"/>
  <c r="N190" i="105"/>
  <c r="I190" i="105" s="1"/>
  <c r="G128" i="144"/>
  <c r="S34" i="160"/>
  <c r="T34" i="160"/>
  <c r="L53" i="177"/>
  <c r="F89" i="175"/>
  <c r="H81" i="175"/>
  <c r="L91" i="175"/>
  <c r="L92" i="175"/>
  <c r="L93" i="175"/>
  <c r="L107" i="175"/>
  <c r="L12" i="175"/>
  <c r="L15" i="175"/>
  <c r="L13" i="175"/>
  <c r="L18" i="175"/>
  <c r="L19" i="175"/>
  <c r="L20" i="175"/>
  <c r="L22" i="175"/>
  <c r="L23" i="175"/>
  <c r="L26" i="175"/>
  <c r="L28" i="175"/>
  <c r="L30" i="175"/>
  <c r="L31" i="175"/>
  <c r="L32" i="175"/>
  <c r="L33" i="175"/>
  <c r="L34" i="175"/>
  <c r="L35" i="175"/>
  <c r="L36" i="175"/>
  <c r="L37" i="175"/>
  <c r="L38" i="175"/>
  <c r="L39" i="175"/>
  <c r="L41" i="175"/>
  <c r="L42" i="175"/>
  <c r="L45" i="175"/>
  <c r="L46" i="175"/>
  <c r="L48" i="175"/>
  <c r="L50" i="175"/>
  <c r="L52" i="175"/>
  <c r="L54" i="175"/>
  <c r="L59" i="175"/>
  <c r="L61" i="175"/>
  <c r="L62" i="175"/>
  <c r="L64" i="175"/>
  <c r="L65" i="175"/>
  <c r="L66" i="175"/>
  <c r="L67" i="175"/>
  <c r="L72" i="175"/>
  <c r="L73" i="175"/>
  <c r="L74" i="175"/>
  <c r="L76" i="175"/>
  <c r="L77" i="175"/>
  <c r="L83" i="175"/>
  <c r="L84" i="175"/>
  <c r="L85" i="175"/>
  <c r="L90" i="175"/>
  <c r="L94" i="175"/>
  <c r="L95" i="175"/>
  <c r="L101" i="175"/>
  <c r="L102" i="175"/>
  <c r="J123" i="175"/>
  <c r="J128" i="175"/>
  <c r="F122" i="175"/>
  <c r="T32" i="160"/>
  <c r="V32" i="160"/>
  <c r="M32" i="160"/>
  <c r="O32" i="160"/>
  <c r="K81" i="149"/>
  <c r="L81" i="149"/>
  <c r="N81" i="149"/>
  <c r="O81" i="149"/>
  <c r="P72" i="149"/>
  <c r="E70" i="149"/>
  <c r="P71" i="149"/>
  <c r="P67" i="149"/>
  <c r="P60" i="149"/>
  <c r="E58" i="149"/>
  <c r="P64" i="149"/>
  <c r="E62" i="149"/>
  <c r="P63" i="149"/>
  <c r="P59" i="149"/>
  <c r="P55" i="149"/>
  <c r="P56" i="149"/>
  <c r="E54" i="149"/>
  <c r="P76" i="149"/>
  <c r="E74" i="149"/>
  <c r="P48" i="149"/>
  <c r="E46" i="149"/>
  <c r="P51" i="149"/>
  <c r="P47" i="149"/>
  <c r="P43" i="149"/>
  <c r="P75" i="149"/>
  <c r="P44" i="149"/>
  <c r="E42" i="149"/>
  <c r="L258" i="177"/>
  <c r="L253" i="177"/>
  <c r="L248" i="177"/>
  <c r="L243" i="177"/>
  <c r="L238" i="177"/>
  <c r="L233" i="177"/>
  <c r="L228" i="177"/>
  <c r="L223" i="177"/>
  <c r="L218" i="177"/>
  <c r="L213" i="177"/>
  <c r="L208" i="177"/>
  <c r="L203" i="177"/>
  <c r="L198" i="177"/>
  <c r="L193" i="177"/>
  <c r="L188" i="177"/>
  <c r="L183" i="177"/>
  <c r="L178" i="177"/>
  <c r="L173" i="177"/>
  <c r="L168" i="177"/>
  <c r="L163" i="177"/>
  <c r="L158" i="177"/>
  <c r="L153" i="177"/>
  <c r="L148" i="177"/>
  <c r="L143" i="177"/>
  <c r="L138" i="177"/>
  <c r="L133" i="177"/>
  <c r="L128" i="177"/>
  <c r="L123" i="177"/>
  <c r="L113" i="177"/>
  <c r="L108" i="177"/>
  <c r="L103" i="177"/>
  <c r="L98" i="177"/>
  <c r="L93" i="177"/>
  <c r="L88" i="177"/>
  <c r="L83" i="177"/>
  <c r="L78" i="177"/>
  <c r="L68" i="177"/>
  <c r="L63" i="177"/>
  <c r="L58" i="177"/>
  <c r="L48" i="177"/>
  <c r="L38" i="177"/>
  <c r="L33" i="177"/>
  <c r="L28" i="177"/>
  <c r="L23" i="177"/>
  <c r="L18" i="177"/>
  <c r="L13" i="177"/>
  <c r="L330" i="174"/>
  <c r="M352" i="174"/>
  <c r="N352" i="174"/>
  <c r="O352" i="174"/>
  <c r="P352" i="174"/>
  <c r="Q352" i="174"/>
  <c r="R352" i="174"/>
  <c r="J316" i="174"/>
  <c r="J164" i="173"/>
  <c r="N72" i="173"/>
  <c r="L268" i="177"/>
  <c r="L17" i="115"/>
  <c r="K17" i="115"/>
  <c r="M34" i="113"/>
  <c r="M33" i="113"/>
  <c r="E12" i="178"/>
  <c r="H31" i="178"/>
  <c r="K57" i="113"/>
  <c r="E26" i="178"/>
  <c r="K53" i="113"/>
  <c r="K52" i="113"/>
  <c r="K37" i="113"/>
  <c r="K27" i="113"/>
  <c r="K18" i="113"/>
  <c r="K17" i="113"/>
  <c r="K10" i="113"/>
  <c r="F52" i="177"/>
  <c r="F60" i="105"/>
  <c r="G60" i="105"/>
  <c r="G35" i="105"/>
  <c r="K61" i="105"/>
  <c r="L61" i="105"/>
  <c r="M61" i="105"/>
  <c r="N61" i="105"/>
  <c r="J61" i="105"/>
  <c r="G122" i="175"/>
  <c r="H122" i="175"/>
  <c r="J122" i="175"/>
  <c r="K122" i="175"/>
  <c r="L120" i="175"/>
  <c r="J312" i="174"/>
  <c r="J210" i="144"/>
  <c r="M210" i="144"/>
  <c r="V39" i="160"/>
  <c r="O39" i="160"/>
  <c r="G39" i="160"/>
  <c r="L276" i="177"/>
  <c r="L272" i="177"/>
  <c r="L260" i="177"/>
  <c r="C30" i="106"/>
  <c r="C28" i="106"/>
  <c r="C29" i="106"/>
  <c r="I109" i="174"/>
  <c r="I101" i="174"/>
  <c r="L125" i="175"/>
  <c r="K127" i="175"/>
  <c r="I453" i="105"/>
  <c r="L391" i="105"/>
  <c r="I391" i="105"/>
  <c r="L491" i="105"/>
  <c r="I491" i="105"/>
  <c r="I834" i="105"/>
  <c r="I830" i="105"/>
  <c r="I837" i="105"/>
  <c r="I134" i="105"/>
  <c r="I133" i="105"/>
  <c r="I128" i="105"/>
  <c r="O92" i="173"/>
  <c r="I388" i="105"/>
  <c r="I839" i="105"/>
  <c r="H42" i="160"/>
  <c r="J86" i="174"/>
  <c r="L126" i="175"/>
  <c r="O31" i="160"/>
  <c r="O42" i="160"/>
  <c r="I326" i="174"/>
  <c r="I349" i="174" s="1"/>
  <c r="H326" i="174"/>
  <c r="H349" i="174" s="1"/>
  <c r="G326" i="174"/>
  <c r="G349" i="174" s="1"/>
  <c r="J308" i="174"/>
  <c r="I386" i="105"/>
  <c r="F30" i="114"/>
  <c r="F31" i="114"/>
  <c r="F32" i="114"/>
  <c r="F33" i="114"/>
  <c r="G33" i="114"/>
  <c r="F34" i="114"/>
  <c r="F29" i="114"/>
  <c r="E28" i="114"/>
  <c r="F16" i="114"/>
  <c r="F17" i="114"/>
  <c r="F18" i="114"/>
  <c r="F19" i="114"/>
  <c r="F20" i="114"/>
  <c r="F21" i="114"/>
  <c r="F22" i="114"/>
  <c r="F23" i="114"/>
  <c r="F25" i="114"/>
  <c r="F26" i="114"/>
  <c r="F27" i="114"/>
  <c r="F15" i="114"/>
  <c r="E14" i="114"/>
  <c r="E9" i="114"/>
  <c r="D9" i="114"/>
  <c r="F10" i="114"/>
  <c r="F11" i="114"/>
  <c r="F12" i="114"/>
  <c r="G12" i="114"/>
  <c r="F13" i="114"/>
  <c r="O195" i="144"/>
  <c r="O190" i="144"/>
  <c r="O185" i="144"/>
  <c r="O180" i="144"/>
  <c r="O175" i="144"/>
  <c r="O170" i="144"/>
  <c r="O165" i="144"/>
  <c r="O160" i="144"/>
  <c r="O155" i="144"/>
  <c r="O150" i="144"/>
  <c r="O145" i="144"/>
  <c r="O140" i="144"/>
  <c r="O135" i="144"/>
  <c r="O130" i="144"/>
  <c r="O125" i="144"/>
  <c r="O120" i="144"/>
  <c r="O115" i="144"/>
  <c r="O110" i="144"/>
  <c r="O105" i="144"/>
  <c r="O100" i="144"/>
  <c r="O95" i="144"/>
  <c r="O90" i="144"/>
  <c r="O85" i="144"/>
  <c r="O80" i="144"/>
  <c r="O75" i="144"/>
  <c r="O70" i="144"/>
  <c r="O65" i="144"/>
  <c r="O60" i="144"/>
  <c r="O55" i="144"/>
  <c r="O50" i="144"/>
  <c r="O45" i="144"/>
  <c r="O40" i="144"/>
  <c r="O35" i="144"/>
  <c r="O30" i="144"/>
  <c r="O25" i="144"/>
  <c r="O15" i="144"/>
  <c r="O205" i="144"/>
  <c r="O186" i="144"/>
  <c r="E183" i="144"/>
  <c r="O181" i="144"/>
  <c r="O176" i="144"/>
  <c r="O171" i="144"/>
  <c r="O161" i="144"/>
  <c r="E158" i="144"/>
  <c r="O156" i="144"/>
  <c r="E153" i="144"/>
  <c r="O131" i="144"/>
  <c r="O121" i="144"/>
  <c r="O103" i="144"/>
  <c r="O86" i="144"/>
  <c r="O81" i="144"/>
  <c r="E78" i="144"/>
  <c r="O51" i="144"/>
  <c r="D38" i="178"/>
  <c r="D37" i="178"/>
  <c r="D15" i="178"/>
  <c r="K329" i="177"/>
  <c r="J329" i="177"/>
  <c r="I329" i="177"/>
  <c r="L261" i="177"/>
  <c r="E257" i="177"/>
  <c r="L255" i="177"/>
  <c r="L251" i="177"/>
  <c r="E247" i="177"/>
  <c r="L250" i="177"/>
  <c r="L246" i="177"/>
  <c r="E242" i="177"/>
  <c r="L245" i="177"/>
  <c r="L241" i="177"/>
  <c r="E237" i="177"/>
  <c r="L240" i="177"/>
  <c r="L236" i="177"/>
  <c r="E232" i="177"/>
  <c r="L235" i="177"/>
  <c r="L231" i="177"/>
  <c r="E227" i="177"/>
  <c r="L230" i="177"/>
  <c r="L226" i="177"/>
  <c r="E222" i="177"/>
  <c r="L225" i="177"/>
  <c r="L221" i="177"/>
  <c r="E217" i="177"/>
  <c r="L220" i="177"/>
  <c r="L216" i="177"/>
  <c r="E212" i="177"/>
  <c r="L215" i="177"/>
  <c r="L211" i="177"/>
  <c r="E207" i="177"/>
  <c r="L210" i="177"/>
  <c r="L205" i="177"/>
  <c r="L201" i="177"/>
  <c r="E197" i="177"/>
  <c r="L200" i="177"/>
  <c r="L195" i="177"/>
  <c r="L191" i="177"/>
  <c r="E187" i="177"/>
  <c r="L190" i="177"/>
  <c r="L185" i="177"/>
  <c r="G182" i="177"/>
  <c r="K181" i="177"/>
  <c r="L181" i="177"/>
  <c r="E177" i="177"/>
  <c r="L180" i="177"/>
  <c r="K176" i="177"/>
  <c r="L176" i="177"/>
  <c r="E172" i="177"/>
  <c r="L175" i="177"/>
  <c r="L170" i="177"/>
  <c r="L165" i="177"/>
  <c r="L160" i="177"/>
  <c r="L156" i="177"/>
  <c r="E152" i="177"/>
  <c r="L155" i="177"/>
  <c r="L151" i="177"/>
  <c r="E147" i="177"/>
  <c r="L150" i="177"/>
  <c r="L146" i="177"/>
  <c r="E142" i="177"/>
  <c r="L145" i="177"/>
  <c r="L141" i="177"/>
  <c r="E137" i="177"/>
  <c r="L140" i="177"/>
  <c r="L135" i="177"/>
  <c r="L131" i="177"/>
  <c r="E127" i="177"/>
  <c r="L130" i="177"/>
  <c r="K126" i="177"/>
  <c r="L120" i="177"/>
  <c r="L118" i="177"/>
  <c r="L115" i="177"/>
  <c r="L111" i="177"/>
  <c r="E107" i="177"/>
  <c r="L110" i="177"/>
  <c r="L105" i="177"/>
  <c r="F102" i="177"/>
  <c r="L100" i="177"/>
  <c r="F97" i="177"/>
  <c r="K96" i="177"/>
  <c r="L96" i="177"/>
  <c r="E92" i="177"/>
  <c r="L95" i="177"/>
  <c r="L91" i="177"/>
  <c r="L90" i="177"/>
  <c r="F87" i="177"/>
  <c r="L85" i="177"/>
  <c r="L80" i="177"/>
  <c r="L75" i="177"/>
  <c r="L73" i="177"/>
  <c r="L70" i="177"/>
  <c r="F67" i="177"/>
  <c r="L65" i="177"/>
  <c r="F62" i="177"/>
  <c r="L60" i="177"/>
  <c r="F57" i="177"/>
  <c r="L56" i="177"/>
  <c r="E52" i="177"/>
  <c r="L55" i="177"/>
  <c r="L51" i="177"/>
  <c r="E47" i="177"/>
  <c r="L50" i="177"/>
  <c r="L46" i="177"/>
  <c r="E42" i="177"/>
  <c r="L45" i="177"/>
  <c r="L43" i="177"/>
  <c r="L41" i="177"/>
  <c r="E37" i="177"/>
  <c r="L40" i="177"/>
  <c r="L35" i="177"/>
  <c r="L30" i="177"/>
  <c r="L25" i="177"/>
  <c r="G22" i="177"/>
  <c r="L20" i="177"/>
  <c r="G17" i="177"/>
  <c r="F17" i="177"/>
  <c r="K16" i="177"/>
  <c r="L16" i="177"/>
  <c r="E12" i="177"/>
  <c r="L61" i="177"/>
  <c r="E57" i="177"/>
  <c r="L26" i="177"/>
  <c r="E22" i="177"/>
  <c r="L36" i="177"/>
  <c r="E32" i="177"/>
  <c r="L76" i="177"/>
  <c r="E72" i="177"/>
  <c r="L86" i="177"/>
  <c r="E82" i="177"/>
  <c r="L121" i="177"/>
  <c r="E117" i="177"/>
  <c r="L161" i="177"/>
  <c r="E157" i="177"/>
  <c r="L171" i="177"/>
  <c r="E167" i="177"/>
  <c r="L31" i="177"/>
  <c r="E27" i="177"/>
  <c r="L81" i="177"/>
  <c r="E77" i="177"/>
  <c r="L106" i="177"/>
  <c r="E102" i="177"/>
  <c r="L116" i="177"/>
  <c r="E112" i="177"/>
  <c r="L136" i="177"/>
  <c r="E132" i="177"/>
  <c r="L166" i="177"/>
  <c r="E162" i="177"/>
  <c r="L71" i="177"/>
  <c r="E67" i="177"/>
  <c r="L66" i="177"/>
  <c r="E62" i="177"/>
  <c r="L186" i="177"/>
  <c r="E182" i="177"/>
  <c r="L196" i="177"/>
  <c r="E192" i="177"/>
  <c r="L206" i="177"/>
  <c r="E202" i="177"/>
  <c r="L256" i="177"/>
  <c r="E252" i="177"/>
  <c r="M183" i="149"/>
  <c r="J78" i="148"/>
  <c r="J79" i="148"/>
  <c r="K78" i="148"/>
  <c r="K79" i="148"/>
  <c r="L78" i="148"/>
  <c r="L79" i="148"/>
  <c r="M78" i="148"/>
  <c r="N78" i="148"/>
  <c r="N79" i="148"/>
  <c r="J180" i="149"/>
  <c r="L180" i="149"/>
  <c r="N180" i="149"/>
  <c r="O180" i="149"/>
  <c r="I180" i="149"/>
  <c r="P177" i="149"/>
  <c r="P178" i="149"/>
  <c r="P172" i="149"/>
  <c r="P167" i="149"/>
  <c r="P168" i="149"/>
  <c r="P162" i="149"/>
  <c r="P163" i="149"/>
  <c r="P157" i="149"/>
  <c r="P158" i="149"/>
  <c r="P152" i="149"/>
  <c r="P153" i="149"/>
  <c r="P147" i="149"/>
  <c r="P148" i="149"/>
  <c r="P142" i="149"/>
  <c r="P143" i="149"/>
  <c r="P137" i="149"/>
  <c r="P138" i="149"/>
  <c r="P132" i="149"/>
  <c r="P133" i="149"/>
  <c r="P127" i="149"/>
  <c r="P122" i="149"/>
  <c r="P123" i="149"/>
  <c r="P118" i="149"/>
  <c r="P117" i="149"/>
  <c r="P111" i="149"/>
  <c r="P86" i="149"/>
  <c r="J78" i="149"/>
  <c r="L78" i="149"/>
  <c r="L185" i="149"/>
  <c r="M78" i="149"/>
  <c r="N78" i="149"/>
  <c r="O78" i="149"/>
  <c r="I78" i="149"/>
  <c r="I185" i="149"/>
  <c r="P34" i="149"/>
  <c r="P29" i="149"/>
  <c r="P24" i="149"/>
  <c r="P25" i="149"/>
  <c r="E22" i="149"/>
  <c r="P16" i="149"/>
  <c r="P76" i="148"/>
  <c r="J76" i="148"/>
  <c r="L76" i="148"/>
  <c r="N76" i="148"/>
  <c r="I76" i="148"/>
  <c r="O73" i="148"/>
  <c r="O68" i="148"/>
  <c r="O63" i="148"/>
  <c r="O58" i="148"/>
  <c r="O53" i="148"/>
  <c r="O48" i="148"/>
  <c r="O43" i="148"/>
  <c r="O38" i="148"/>
  <c r="O33" i="148"/>
  <c r="O28" i="148"/>
  <c r="O23" i="148"/>
  <c r="O18" i="148"/>
  <c r="O13" i="148"/>
  <c r="O69" i="148"/>
  <c r="O64" i="148"/>
  <c r="O49" i="148"/>
  <c r="O39" i="148"/>
  <c r="O19" i="148"/>
  <c r="O74" i="148"/>
  <c r="O59" i="148"/>
  <c r="O34" i="148"/>
  <c r="J137" i="176"/>
  <c r="I137" i="176"/>
  <c r="K132" i="176"/>
  <c r="K123" i="176"/>
  <c r="K121" i="176"/>
  <c r="K117" i="176"/>
  <c r="K115" i="176"/>
  <c r="K111" i="176"/>
  <c r="E107" i="176"/>
  <c r="K110" i="176"/>
  <c r="K108" i="176"/>
  <c r="K103" i="176"/>
  <c r="K101" i="176"/>
  <c r="K99" i="176"/>
  <c r="E95" i="176"/>
  <c r="K98" i="176"/>
  <c r="K96" i="176"/>
  <c r="K92" i="176"/>
  <c r="E88" i="176"/>
  <c r="K91" i="176"/>
  <c r="K89" i="176"/>
  <c r="K86" i="176"/>
  <c r="K84" i="176"/>
  <c r="K79" i="176"/>
  <c r="K77" i="176"/>
  <c r="K74" i="176"/>
  <c r="E70" i="176"/>
  <c r="K73" i="176"/>
  <c r="K71" i="176"/>
  <c r="K67" i="176"/>
  <c r="E63" i="176"/>
  <c r="K66" i="176"/>
  <c r="K64" i="176"/>
  <c r="K61" i="176"/>
  <c r="E57" i="176"/>
  <c r="K60" i="176"/>
  <c r="K58" i="176"/>
  <c r="K55" i="176"/>
  <c r="E51" i="176"/>
  <c r="K54" i="176"/>
  <c r="K52" i="176"/>
  <c r="K49" i="176"/>
  <c r="E45" i="176"/>
  <c r="K48" i="176"/>
  <c r="K46" i="176"/>
  <c r="K44" i="176"/>
  <c r="E40" i="176"/>
  <c r="K41" i="176"/>
  <c r="K38" i="176"/>
  <c r="K36" i="176"/>
  <c r="K34" i="176"/>
  <c r="E30" i="176"/>
  <c r="K31" i="176"/>
  <c r="K29" i="176"/>
  <c r="E25" i="176"/>
  <c r="K28" i="176"/>
  <c r="K26" i="176"/>
  <c r="K24" i="176"/>
  <c r="E20" i="176"/>
  <c r="K23" i="176"/>
  <c r="K21" i="176"/>
  <c r="K18" i="176"/>
  <c r="K16" i="176"/>
  <c r="K13" i="176"/>
  <c r="K11" i="176"/>
  <c r="K133" i="176"/>
  <c r="E130" i="176"/>
  <c r="K39" i="176"/>
  <c r="E35" i="176"/>
  <c r="K80" i="176"/>
  <c r="E76" i="176"/>
  <c r="K14" i="176"/>
  <c r="E10" i="176"/>
  <c r="K87" i="176"/>
  <c r="E83" i="176"/>
  <c r="K118" i="176"/>
  <c r="E114" i="176"/>
  <c r="K124" i="176"/>
  <c r="E120" i="176"/>
  <c r="L121" i="175"/>
  <c r="L119" i="175"/>
  <c r="L118" i="175"/>
  <c r="L117" i="175"/>
  <c r="R344" i="174"/>
  <c r="Q344" i="174"/>
  <c r="P344" i="174"/>
  <c r="O344" i="174"/>
  <c r="N344" i="174"/>
  <c r="M344" i="174"/>
  <c r="L344" i="174"/>
  <c r="J344" i="174"/>
  <c r="K344" i="174"/>
  <c r="I343" i="174"/>
  <c r="H343" i="174"/>
  <c r="G343" i="174"/>
  <c r="R327" i="174"/>
  <c r="R350" i="174"/>
  <c r="Q327" i="174"/>
  <c r="Q350" i="174"/>
  <c r="P327" i="174"/>
  <c r="P350" i="174"/>
  <c r="O327" i="174"/>
  <c r="O350" i="174"/>
  <c r="N327" i="174"/>
  <c r="N350" i="174" s="1"/>
  <c r="M327" i="174"/>
  <c r="M350" i="174" s="1"/>
  <c r="J304" i="174"/>
  <c r="J298" i="174"/>
  <c r="J296" i="174"/>
  <c r="J293" i="174"/>
  <c r="J291" i="174"/>
  <c r="J287" i="174"/>
  <c r="J285" i="174"/>
  <c r="J282" i="174"/>
  <c r="J280" i="174"/>
  <c r="J276" i="174"/>
  <c r="J274" i="174"/>
  <c r="J271" i="174"/>
  <c r="J269" i="174"/>
  <c r="J263" i="174"/>
  <c r="J261" i="174"/>
  <c r="J258" i="174"/>
  <c r="J256" i="174"/>
  <c r="J253" i="174"/>
  <c r="J251" i="174"/>
  <c r="J246" i="174"/>
  <c r="J244" i="174"/>
  <c r="J241" i="174"/>
  <c r="J239" i="174"/>
  <c r="J236" i="174"/>
  <c r="J234" i="174"/>
  <c r="J231" i="174"/>
  <c r="J229" i="174"/>
  <c r="J226" i="174"/>
  <c r="J224" i="174"/>
  <c r="J221" i="174"/>
  <c r="K219" i="174"/>
  <c r="J209" i="174"/>
  <c r="J207" i="174"/>
  <c r="R202" i="174"/>
  <c r="Q202" i="174"/>
  <c r="P202" i="174"/>
  <c r="O202" i="174"/>
  <c r="N202" i="174"/>
  <c r="M202" i="174"/>
  <c r="I201" i="174"/>
  <c r="H201" i="174"/>
  <c r="G201" i="174"/>
  <c r="J197" i="174"/>
  <c r="J195" i="174"/>
  <c r="J192" i="174"/>
  <c r="J190" i="174"/>
  <c r="J187" i="174"/>
  <c r="J185" i="174"/>
  <c r="J182" i="174"/>
  <c r="J181" i="174"/>
  <c r="J179" i="174"/>
  <c r="J174" i="174"/>
  <c r="J172" i="174"/>
  <c r="J167" i="174"/>
  <c r="L165" i="174"/>
  <c r="J165" i="174"/>
  <c r="K165" i="174"/>
  <c r="J162" i="174"/>
  <c r="J160" i="174"/>
  <c r="J156" i="174"/>
  <c r="J154" i="174"/>
  <c r="J149" i="174"/>
  <c r="J148" i="174"/>
  <c r="J147" i="174"/>
  <c r="L145" i="174"/>
  <c r="K145" i="174"/>
  <c r="J142" i="174"/>
  <c r="J140" i="174"/>
  <c r="J136" i="174"/>
  <c r="J135" i="174"/>
  <c r="J134" i="174"/>
  <c r="L132" i="174"/>
  <c r="K132" i="174"/>
  <c r="J129" i="174"/>
  <c r="J127" i="174"/>
  <c r="J124" i="174"/>
  <c r="J122" i="174"/>
  <c r="J118" i="174"/>
  <c r="L116" i="174"/>
  <c r="K116" i="174"/>
  <c r="J116" i="174" s="1"/>
  <c r="R111" i="174"/>
  <c r="Q111" i="174"/>
  <c r="P111" i="174"/>
  <c r="O111" i="174"/>
  <c r="N111" i="174"/>
  <c r="M111" i="174"/>
  <c r="L111" i="174"/>
  <c r="K111" i="174"/>
  <c r="H110" i="174"/>
  <c r="G110" i="174"/>
  <c r="J105" i="174"/>
  <c r="J104" i="174"/>
  <c r="J102" i="174"/>
  <c r="J97" i="174"/>
  <c r="J96" i="174"/>
  <c r="J94" i="174"/>
  <c r="J91" i="174"/>
  <c r="J85" i="174"/>
  <c r="J84" i="174"/>
  <c r="J83" i="174"/>
  <c r="J81" i="174"/>
  <c r="R76" i="174"/>
  <c r="R338" i="174" s="1"/>
  <c r="Q76" i="174"/>
  <c r="P76" i="174"/>
  <c r="P213" i="174" s="1"/>
  <c r="P332" i="174" s="1"/>
  <c r="O76" i="174"/>
  <c r="N76" i="174"/>
  <c r="M76" i="174"/>
  <c r="L76" i="174"/>
  <c r="L338" i="174" s="1"/>
  <c r="K76" i="174"/>
  <c r="I75" i="174"/>
  <c r="H75" i="174"/>
  <c r="G75" i="174"/>
  <c r="J73" i="174"/>
  <c r="J71" i="174"/>
  <c r="J65" i="174"/>
  <c r="J63" i="174"/>
  <c r="J57" i="174"/>
  <c r="J55" i="174"/>
  <c r="J51" i="174"/>
  <c r="J42" i="174"/>
  <c r="J33" i="174"/>
  <c r="J31" i="174"/>
  <c r="J25" i="174"/>
  <c r="J24" i="174"/>
  <c r="J21" i="174"/>
  <c r="J12" i="174"/>
  <c r="O180" i="173"/>
  <c r="O179" i="173"/>
  <c r="O177" i="173"/>
  <c r="O168" i="173"/>
  <c r="O166" i="173"/>
  <c r="H164" i="173"/>
  <c r="N161" i="173"/>
  <c r="M161" i="173"/>
  <c r="K161" i="173"/>
  <c r="J161" i="173"/>
  <c r="J172" i="173" s="1"/>
  <c r="J183" i="173" s="1"/>
  <c r="I161" i="173"/>
  <c r="H161" i="173"/>
  <c r="G161" i="173"/>
  <c r="F161" i="173"/>
  <c r="O157" i="173"/>
  <c r="O155" i="173"/>
  <c r="F153" i="173"/>
  <c r="O152" i="173"/>
  <c r="O150" i="173"/>
  <c r="O147" i="173"/>
  <c r="O145" i="173"/>
  <c r="O142" i="173"/>
  <c r="O140" i="173"/>
  <c r="O136" i="173"/>
  <c r="O134" i="173"/>
  <c r="O131" i="173"/>
  <c r="L129" i="173"/>
  <c r="O124" i="173"/>
  <c r="O123" i="173"/>
  <c r="O121" i="173"/>
  <c r="O117" i="173"/>
  <c r="O116" i="173"/>
  <c r="O115" i="173"/>
  <c r="O113" i="173"/>
  <c r="O110" i="173"/>
  <c r="O108" i="173"/>
  <c r="O104" i="173"/>
  <c r="O102" i="173"/>
  <c r="N97" i="173"/>
  <c r="M97" i="173"/>
  <c r="L97" i="173"/>
  <c r="K97" i="173"/>
  <c r="K172" i="173" s="1"/>
  <c r="K183" i="173" s="1"/>
  <c r="J97" i="173"/>
  <c r="I97" i="173"/>
  <c r="H97" i="173"/>
  <c r="G97" i="173"/>
  <c r="F97" i="173"/>
  <c r="O93" i="173"/>
  <c r="O90" i="173"/>
  <c r="O86" i="173"/>
  <c r="O85" i="173"/>
  <c r="O83" i="173"/>
  <c r="O76" i="173"/>
  <c r="O74" i="173"/>
  <c r="N69" i="173"/>
  <c r="M69" i="173"/>
  <c r="L69" i="173"/>
  <c r="K69" i="173"/>
  <c r="J69" i="173"/>
  <c r="I69" i="173"/>
  <c r="H69" i="173"/>
  <c r="G69" i="173"/>
  <c r="F69" i="173"/>
  <c r="O66" i="173"/>
  <c r="O64" i="173"/>
  <c r="O59" i="173"/>
  <c r="O57" i="173"/>
  <c r="O49" i="173"/>
  <c r="O42" i="173"/>
  <c r="O40" i="173"/>
  <c r="O38" i="173"/>
  <c r="O31" i="173"/>
  <c r="O29" i="173"/>
  <c r="O24" i="173"/>
  <c r="O20" i="173"/>
  <c r="O14" i="173"/>
  <c r="O12" i="173"/>
  <c r="J92" i="174"/>
  <c r="M12" i="115"/>
  <c r="M13" i="115"/>
  <c r="I506" i="105"/>
  <c r="I505" i="105"/>
  <c r="I44" i="105"/>
  <c r="I78" i="105"/>
  <c r="I107" i="105"/>
  <c r="I124" i="105"/>
  <c r="I123" i="105"/>
  <c r="I159" i="105"/>
  <c r="I158" i="105"/>
  <c r="I175" i="105"/>
  <c r="I181" i="105"/>
  <c r="I529" i="105"/>
  <c r="I687" i="105"/>
  <c r="I498" i="105"/>
  <c r="I32" i="105"/>
  <c r="I18" i="105"/>
  <c r="I13" i="105"/>
  <c r="I23" i="105"/>
  <c r="I990" i="105"/>
  <c r="I985" i="105"/>
  <c r="I827" i="105"/>
  <c r="I817" i="105"/>
  <c r="I826" i="105"/>
  <c r="I821" i="105"/>
  <c r="I816" i="105"/>
  <c r="I811" i="105"/>
  <c r="I806" i="105"/>
  <c r="I801" i="105"/>
  <c r="I796" i="105"/>
  <c r="I824" i="105"/>
  <c r="I791" i="105"/>
  <c r="I786" i="105"/>
  <c r="I781" i="105"/>
  <c r="I776" i="105"/>
  <c r="I771" i="105"/>
  <c r="I766" i="105"/>
  <c r="I761" i="105"/>
  <c r="I756" i="105"/>
  <c r="I751" i="105"/>
  <c r="I746" i="105"/>
  <c r="I741" i="105"/>
  <c r="I736" i="105"/>
  <c r="I731" i="105"/>
  <c r="I726" i="105"/>
  <c r="I717" i="105"/>
  <c r="I707" i="105"/>
  <c r="I721" i="105"/>
  <c r="I716" i="105"/>
  <c r="I711" i="105"/>
  <c r="I706" i="105"/>
  <c r="I701" i="105"/>
  <c r="I691" i="105"/>
  <c r="I678" i="105"/>
  <c r="I658" i="105"/>
  <c r="I648" i="105"/>
  <c r="I683" i="105"/>
  <c r="I682" i="105"/>
  <c r="I677" i="105"/>
  <c r="I672" i="105"/>
  <c r="I667" i="105"/>
  <c r="I662" i="105"/>
  <c r="I657" i="105"/>
  <c r="I652" i="105"/>
  <c r="I647" i="105"/>
  <c r="I643" i="105"/>
  <c r="I633" i="105"/>
  <c r="I623" i="105"/>
  <c r="I613" i="105"/>
  <c r="I642" i="105"/>
  <c r="I637" i="105"/>
  <c r="I632" i="105"/>
  <c r="I627" i="105"/>
  <c r="I622" i="105"/>
  <c r="I617" i="105"/>
  <c r="I612" i="105"/>
  <c r="I608" i="105"/>
  <c r="I603" i="105"/>
  <c r="I607" i="105"/>
  <c r="I602" i="105"/>
  <c r="I597" i="105"/>
  <c r="I592" i="105"/>
  <c r="I587" i="105"/>
  <c r="I582" i="105"/>
  <c r="I591" i="105"/>
  <c r="I586" i="105"/>
  <c r="I581" i="105"/>
  <c r="I576" i="105"/>
  <c r="I561" i="105"/>
  <c r="I570" i="105"/>
  <c r="I565" i="105"/>
  <c r="I560" i="105"/>
  <c r="I555" i="105"/>
  <c r="I550" i="105"/>
  <c r="I545" i="105"/>
  <c r="I540" i="105"/>
  <c r="I535" i="105"/>
  <c r="I515" i="105"/>
  <c r="I484" i="105"/>
  <c r="I478" i="105"/>
  <c r="I524" i="105"/>
  <c r="I519" i="105"/>
  <c r="I514" i="105"/>
  <c r="I509" i="105"/>
  <c r="I493" i="105"/>
  <c r="I488" i="105"/>
  <c r="I483" i="105"/>
  <c r="I474" i="105"/>
  <c r="I473" i="105"/>
  <c r="I469" i="105"/>
  <c r="I459" i="105"/>
  <c r="I468" i="105"/>
  <c r="I463" i="105"/>
  <c r="I458" i="105"/>
  <c r="I448" i="105"/>
  <c r="I443" i="105"/>
  <c r="I438" i="105"/>
  <c r="I433" i="105"/>
  <c r="I428" i="105"/>
  <c r="I419" i="105"/>
  <c r="I409" i="105"/>
  <c r="I394" i="105"/>
  <c r="I423" i="105"/>
  <c r="I418" i="105"/>
  <c r="I413" i="105"/>
  <c r="I408" i="105"/>
  <c r="I403" i="105"/>
  <c r="I398" i="105"/>
  <c r="I393" i="105"/>
  <c r="I381" i="105"/>
  <c r="I372" i="105"/>
  <c r="I376" i="105"/>
  <c r="I371" i="105"/>
  <c r="I366" i="105"/>
  <c r="I361" i="105"/>
  <c r="I356" i="105"/>
  <c r="I351" i="105"/>
  <c r="I347" i="105"/>
  <c r="I337" i="105"/>
  <c r="I327" i="105"/>
  <c r="I346" i="105"/>
  <c r="I341" i="105"/>
  <c r="I336" i="105"/>
  <c r="I331" i="105"/>
  <c r="I326" i="105"/>
  <c r="I321" i="105"/>
  <c r="I316" i="105"/>
  <c r="I311" i="105"/>
  <c r="I302" i="105"/>
  <c r="I293" i="105"/>
  <c r="I283" i="105"/>
  <c r="I292" i="105"/>
  <c r="I287" i="105"/>
  <c r="I282" i="105"/>
  <c r="I277" i="105"/>
  <c r="I273" i="105"/>
  <c r="I272" i="105"/>
  <c r="I267" i="105"/>
  <c r="I262" i="105"/>
  <c r="I257" i="105"/>
  <c r="I238" i="105"/>
  <c r="I247" i="105"/>
  <c r="I242" i="105"/>
  <c r="I237" i="105"/>
  <c r="I232" i="105"/>
  <c r="I218" i="105"/>
  <c r="I208" i="105"/>
  <c r="I222" i="105"/>
  <c r="I217" i="105"/>
  <c r="I212" i="105"/>
  <c r="I207" i="105"/>
  <c r="I202" i="105"/>
  <c r="I197" i="105"/>
  <c r="I171" i="105"/>
  <c r="I192" i="105"/>
  <c r="I187" i="105"/>
  <c r="I170" i="105"/>
  <c r="I166" i="105"/>
  <c r="I165" i="105"/>
  <c r="I153" i="105"/>
  <c r="I148" i="105"/>
  <c r="I143" i="105"/>
  <c r="I119" i="105"/>
  <c r="I126" i="105"/>
  <c r="I131" i="105"/>
  <c r="I136" i="105"/>
  <c r="I138" i="105"/>
  <c r="I118" i="105"/>
  <c r="I59" i="105"/>
  <c r="I88" i="105"/>
  <c r="I93" i="105"/>
  <c r="I102" i="105"/>
  <c r="I97" i="105"/>
  <c r="I92" i="105"/>
  <c r="I87" i="105"/>
  <c r="I73" i="105"/>
  <c r="I68" i="105"/>
  <c r="I58" i="105"/>
  <c r="I53" i="105"/>
  <c r="I48" i="105"/>
  <c r="I27" i="105"/>
  <c r="M40" i="115"/>
  <c r="I28" i="178"/>
  <c r="M38" i="115"/>
  <c r="I25" i="178"/>
  <c r="I31" i="178" s="1"/>
  <c r="L36" i="115"/>
  <c r="L32" i="115"/>
  <c r="M32" i="115"/>
  <c r="M27" i="115"/>
  <c r="M26" i="115"/>
  <c r="M23" i="115"/>
  <c r="L23" i="115"/>
  <c r="M18" i="115"/>
  <c r="M19" i="115"/>
  <c r="M20" i="115"/>
  <c r="M21" i="115"/>
  <c r="M22" i="115"/>
  <c r="L11" i="115"/>
  <c r="L9" i="115"/>
  <c r="M10" i="115"/>
  <c r="M14" i="113"/>
  <c r="M64" i="113"/>
  <c r="L61" i="113"/>
  <c r="K61" i="113"/>
  <c r="L57" i="113"/>
  <c r="M55" i="113"/>
  <c r="M56" i="113"/>
  <c r="L53" i="113"/>
  <c r="L46" i="113"/>
  <c r="M46" i="113"/>
  <c r="E19" i="178"/>
  <c r="M43" i="113"/>
  <c r="M42" i="113"/>
  <c r="M41" i="113" s="1"/>
  <c r="L41" i="113"/>
  <c r="M40" i="113"/>
  <c r="M39" i="113"/>
  <c r="M37" i="113" s="1"/>
  <c r="L37" i="113"/>
  <c r="M32" i="113"/>
  <c r="M29" i="113"/>
  <c r="M31" i="113"/>
  <c r="M28" i="113"/>
  <c r="L27" i="113"/>
  <c r="L10" i="113"/>
  <c r="L18" i="113"/>
  <c r="L17" i="113"/>
  <c r="M20" i="113"/>
  <c r="M24" i="113"/>
  <c r="M21" i="113"/>
  <c r="M22" i="113"/>
  <c r="M23" i="113"/>
  <c r="M25" i="113"/>
  <c r="M26" i="113"/>
  <c r="M19" i="113"/>
  <c r="M15" i="113"/>
  <c r="M10" i="113"/>
  <c r="I696" i="105"/>
  <c r="D28" i="114"/>
  <c r="G86" i="172"/>
  <c r="C20" i="172"/>
  <c r="G82" i="172"/>
  <c r="C82" i="172"/>
  <c r="E80" i="172"/>
  <c r="D80" i="172"/>
  <c r="C80" i="172"/>
  <c r="D76" i="172"/>
  <c r="C76" i="172"/>
  <c r="G75" i="172"/>
  <c r="C75" i="172"/>
  <c r="F73" i="172"/>
  <c r="E73" i="172"/>
  <c r="D73" i="172"/>
  <c r="C73" i="172"/>
  <c r="C69" i="172"/>
  <c r="C55" i="172"/>
  <c r="F54" i="172"/>
  <c r="F85" i="172"/>
  <c r="E54" i="172"/>
  <c r="D54" i="172"/>
  <c r="C54" i="172"/>
  <c r="D50" i="172"/>
  <c r="C50" i="172"/>
  <c r="C31" i="172"/>
  <c r="D23" i="172"/>
  <c r="C23" i="172"/>
  <c r="F21" i="172"/>
  <c r="E21" i="172"/>
  <c r="D21" i="172"/>
  <c r="C21" i="172"/>
  <c r="E85" i="172"/>
  <c r="L441" i="105"/>
  <c r="I441" i="105" s="1"/>
  <c r="U43" i="160"/>
  <c r="R43" i="160"/>
  <c r="Q43" i="160"/>
  <c r="P43" i="160"/>
  <c r="N43" i="160"/>
  <c r="K43" i="160"/>
  <c r="J43" i="160"/>
  <c r="I43" i="160"/>
  <c r="V42" i="160"/>
  <c r="V38" i="160"/>
  <c r="O38" i="160"/>
  <c r="T37" i="160"/>
  <c r="V37" i="160"/>
  <c r="G37" i="160"/>
  <c r="O37" i="160"/>
  <c r="V36" i="160"/>
  <c r="O36" i="160"/>
  <c r="V35" i="160"/>
  <c r="G35" i="160"/>
  <c r="O35" i="160"/>
  <c r="M34" i="160"/>
  <c r="L34" i="160"/>
  <c r="L43" i="160"/>
  <c r="V33" i="160"/>
  <c r="O33" i="160"/>
  <c r="V31" i="160"/>
  <c r="G31" i="160"/>
  <c r="V30" i="160"/>
  <c r="G30" i="160"/>
  <c r="O30" i="160"/>
  <c r="V29" i="160"/>
  <c r="O29" i="160"/>
  <c r="G29" i="160"/>
  <c r="T28" i="160"/>
  <c r="V28" i="160"/>
  <c r="O28" i="160"/>
  <c r="S27" i="160"/>
  <c r="O27" i="160"/>
  <c r="T26" i="160"/>
  <c r="V26" i="160"/>
  <c r="O26" i="160"/>
  <c r="G26" i="160"/>
  <c r="T25" i="160"/>
  <c r="V25" i="160"/>
  <c r="G25" i="160"/>
  <c r="M25" i="160"/>
  <c r="O25" i="160"/>
  <c r="V24" i="160"/>
  <c r="O24" i="160"/>
  <c r="V23" i="160"/>
  <c r="G23" i="160"/>
  <c r="O23" i="160"/>
  <c r="V21" i="160"/>
  <c r="O21" i="160"/>
  <c r="V20" i="160"/>
  <c r="V19" i="160"/>
  <c r="G19" i="160"/>
  <c r="O19" i="160"/>
  <c r="V18" i="160"/>
  <c r="O18" i="160"/>
  <c r="G18" i="160"/>
  <c r="T17" i="160"/>
  <c r="V17" i="160"/>
  <c r="G17" i="160"/>
  <c r="O17" i="160"/>
  <c r="V16" i="160"/>
  <c r="G16" i="160"/>
  <c r="O16" i="160"/>
  <c r="V15" i="160"/>
  <c r="G15" i="160"/>
  <c r="O15" i="160"/>
  <c r="O14" i="160"/>
  <c r="V13" i="160"/>
  <c r="O13" i="160"/>
  <c r="F18" i="144"/>
  <c r="G28" i="144"/>
  <c r="G78" i="144"/>
  <c r="K14" i="149"/>
  <c r="K78" i="149"/>
  <c r="I471" i="105"/>
  <c r="I396" i="105"/>
  <c r="I401" i="105"/>
  <c r="I406" i="105"/>
  <c r="I411" i="105"/>
  <c r="I416" i="105"/>
  <c r="I421" i="105"/>
  <c r="I845" i="105"/>
  <c r="I426" i="105"/>
  <c r="I431" i="105"/>
  <c r="I436" i="105"/>
  <c r="I446" i="105"/>
  <c r="I456" i="105"/>
  <c r="I461" i="105"/>
  <c r="I466" i="105"/>
  <c r="I853" i="105"/>
  <c r="I476" i="105"/>
  <c r="I481" i="105"/>
  <c r="I486" i="105"/>
  <c r="I496" i="105"/>
  <c r="I855" i="105"/>
  <c r="I503" i="105"/>
  <c r="I512" i="105"/>
  <c r="I517" i="105"/>
  <c r="I849" i="105"/>
  <c r="I857" i="105"/>
  <c r="I522" i="105"/>
  <c r="I527" i="105"/>
  <c r="I533" i="105"/>
  <c r="I859" i="105"/>
  <c r="I538" i="105"/>
  <c r="I543" i="105"/>
  <c r="I548" i="105"/>
  <c r="I553" i="105"/>
  <c r="I869" i="105"/>
  <c r="I558" i="105"/>
  <c r="I563" i="105"/>
  <c r="I568" i="105"/>
  <c r="N574" i="105"/>
  <c r="I579" i="105"/>
  <c r="I584" i="105"/>
  <c r="I589" i="105"/>
  <c r="F594" i="105"/>
  <c r="N595" i="105"/>
  <c r="I595" i="105" s="1"/>
  <c r="I600" i="105"/>
  <c r="I605" i="105"/>
  <c r="I847" i="105"/>
  <c r="I610" i="105"/>
  <c r="I615" i="105"/>
  <c r="I620" i="105"/>
  <c r="I625" i="105"/>
  <c r="I630" i="105"/>
  <c r="I635" i="105"/>
  <c r="I640" i="105"/>
  <c r="I645" i="105"/>
  <c r="I650" i="105"/>
  <c r="I655" i="105"/>
  <c r="I660" i="105"/>
  <c r="I665" i="105"/>
  <c r="I670" i="105"/>
  <c r="I675" i="105"/>
  <c r="I680" i="105"/>
  <c r="I685" i="105"/>
  <c r="I861" i="105"/>
  <c r="I863" i="105"/>
  <c r="I865" i="105"/>
  <c r="I867" i="105"/>
  <c r="I871" i="105"/>
  <c r="E693" i="105"/>
  <c r="F693" i="105"/>
  <c r="G693" i="105"/>
  <c r="N694" i="105"/>
  <c r="I694" i="105" s="1"/>
  <c r="I699" i="105"/>
  <c r="I704" i="105"/>
  <c r="I709" i="105"/>
  <c r="I714" i="105"/>
  <c r="I719" i="105"/>
  <c r="L724" i="105"/>
  <c r="I724" i="105" s="1"/>
  <c r="I729" i="105"/>
  <c r="I734" i="105"/>
  <c r="I739" i="105"/>
  <c r="L744" i="105"/>
  <c r="N749" i="105"/>
  <c r="I754" i="105"/>
  <c r="I759" i="105"/>
  <c r="I764" i="105"/>
  <c r="I769" i="105"/>
  <c r="I774" i="105"/>
  <c r="I779" i="105"/>
  <c r="I784" i="105"/>
  <c r="I789" i="105"/>
  <c r="I794" i="105"/>
  <c r="I799" i="105"/>
  <c r="I804" i="105"/>
  <c r="I809" i="105"/>
  <c r="I814" i="105"/>
  <c r="I819" i="105"/>
  <c r="I744" i="105"/>
  <c r="I749" i="105"/>
  <c r="I574" i="105"/>
  <c r="M170" i="149"/>
  <c r="M180" i="149"/>
  <c r="M185" i="149"/>
  <c r="P173" i="149"/>
  <c r="C13" i="126"/>
  <c r="U17" i="49"/>
  <c r="T17" i="49"/>
  <c r="S17" i="49"/>
  <c r="Q17" i="49"/>
  <c r="P17" i="49"/>
  <c r="O17" i="49"/>
  <c r="L17" i="49"/>
  <c r="K17" i="49"/>
  <c r="J17" i="49"/>
  <c r="I17" i="49"/>
  <c r="H17" i="49"/>
  <c r="R16" i="49"/>
  <c r="M15" i="49"/>
  <c r="R15" i="49"/>
  <c r="M14" i="49"/>
  <c r="R14" i="49"/>
  <c r="M13" i="49"/>
  <c r="R13" i="49"/>
  <c r="M12" i="49"/>
  <c r="R12" i="49"/>
  <c r="M11" i="49"/>
  <c r="R11" i="49"/>
  <c r="M10" i="49"/>
  <c r="M9" i="49"/>
  <c r="R9" i="49"/>
  <c r="N8" i="49"/>
  <c r="N17" i="49"/>
  <c r="M8" i="49"/>
  <c r="G294" i="105"/>
  <c r="F294" i="105"/>
  <c r="F77" i="149"/>
  <c r="G14" i="149"/>
  <c r="E14" i="149"/>
  <c r="E60" i="105"/>
  <c r="G77" i="149"/>
  <c r="O56" i="148"/>
  <c r="K51" i="148"/>
  <c r="O51" i="148"/>
  <c r="M30" i="113"/>
  <c r="K76" i="148"/>
  <c r="O54" i="148"/>
  <c r="M54" i="113"/>
  <c r="O71" i="148"/>
  <c r="O66" i="148"/>
  <c r="O61" i="148"/>
  <c r="I151" i="105"/>
  <c r="I156" i="105"/>
  <c r="I146" i="105"/>
  <c r="I141" i="105"/>
  <c r="I95" i="105"/>
  <c r="I90" i="105"/>
  <c r="I85" i="105"/>
  <c r="M16" i="113"/>
  <c r="H27" i="153"/>
  <c r="G27" i="153"/>
  <c r="E27" i="153"/>
  <c r="F24" i="153"/>
  <c r="F27" i="153"/>
  <c r="H20" i="153"/>
  <c r="G20" i="153"/>
  <c r="F20" i="153"/>
  <c r="E20" i="153"/>
  <c r="H16" i="153"/>
  <c r="G16" i="153"/>
  <c r="F16" i="153"/>
  <c r="E16" i="153"/>
  <c r="D15" i="151"/>
  <c r="D20" i="151"/>
  <c r="F6" i="150"/>
  <c r="F7" i="150"/>
  <c r="F8" i="150"/>
  <c r="F9" i="150"/>
  <c r="F10" i="150"/>
  <c r="F11" i="150"/>
  <c r="F12" i="150"/>
  <c r="F13" i="150"/>
  <c r="F14" i="150"/>
  <c r="F15" i="150"/>
  <c r="F16" i="150"/>
  <c r="F17" i="150"/>
  <c r="F18" i="150"/>
  <c r="F19" i="150"/>
  <c r="F20" i="150"/>
  <c r="F21" i="150"/>
  <c r="F22" i="150"/>
  <c r="F23" i="150"/>
  <c r="F24" i="150"/>
  <c r="F25" i="150"/>
  <c r="D26" i="150"/>
  <c r="D31" i="150"/>
  <c r="E26" i="150"/>
  <c r="E31" i="150"/>
  <c r="F27" i="150"/>
  <c r="F28" i="150"/>
  <c r="F29" i="150"/>
  <c r="F30" i="150"/>
  <c r="D33" i="150"/>
  <c r="E33" i="150"/>
  <c r="K84" i="149"/>
  <c r="P84" i="149"/>
  <c r="P175" i="149"/>
  <c r="K180" i="149"/>
  <c r="K185" i="149"/>
  <c r="P115" i="149"/>
  <c r="P109" i="149"/>
  <c r="P27" i="149"/>
  <c r="P22" i="149"/>
  <c r="M26" i="148"/>
  <c r="O26" i="148"/>
  <c r="O29" i="148"/>
  <c r="E26" i="148"/>
  <c r="O193" i="144"/>
  <c r="O188" i="144"/>
  <c r="O183" i="144"/>
  <c r="G183" i="144"/>
  <c r="G48" i="144"/>
  <c r="O48" i="144"/>
  <c r="F78" i="144"/>
  <c r="O78" i="144"/>
  <c r="P165" i="149"/>
  <c r="P160" i="149"/>
  <c r="P155" i="149"/>
  <c r="P150" i="149"/>
  <c r="P145" i="149"/>
  <c r="P140" i="149"/>
  <c r="P135" i="149"/>
  <c r="P130" i="149"/>
  <c r="P125" i="149"/>
  <c r="P120" i="149"/>
  <c r="P170" i="149"/>
  <c r="P180" i="149"/>
  <c r="P185" i="149"/>
  <c r="K143" i="144"/>
  <c r="G143" i="144"/>
  <c r="K133" i="144"/>
  <c r="G133" i="144"/>
  <c r="G123" i="144"/>
  <c r="G113" i="144"/>
  <c r="M113" i="144"/>
  <c r="G108" i="144"/>
  <c r="M108" i="144"/>
  <c r="O108" i="144"/>
  <c r="M93" i="144"/>
  <c r="O93" i="144"/>
  <c r="G93" i="144"/>
  <c r="G88" i="144"/>
  <c r="G73" i="144"/>
  <c r="G68" i="144"/>
  <c r="M68" i="144"/>
  <c r="O68" i="144"/>
  <c r="G63" i="144"/>
  <c r="M63" i="144"/>
  <c r="O63" i="144"/>
  <c r="M58" i="144"/>
  <c r="M53" i="144"/>
  <c r="O53" i="144"/>
  <c r="M43" i="144"/>
  <c r="O43" i="144"/>
  <c r="M38" i="144"/>
  <c r="O38" i="144"/>
  <c r="M33" i="144"/>
  <c r="M23" i="144"/>
  <c r="O23" i="144"/>
  <c r="M13" i="144"/>
  <c r="O13" i="144"/>
  <c r="G26" i="148"/>
  <c r="G21" i="148"/>
  <c r="G11" i="148"/>
  <c r="G16" i="148"/>
  <c r="M21" i="148"/>
  <c r="O46" i="148"/>
  <c r="O41" i="148"/>
  <c r="O36" i="148"/>
  <c r="O31" i="148"/>
  <c r="P206" i="144"/>
  <c r="O98" i="144"/>
  <c r="O24" i="148"/>
  <c r="O178" i="144"/>
  <c r="O173" i="144"/>
  <c r="O168" i="144"/>
  <c r="O163" i="144"/>
  <c r="O158" i="144"/>
  <c r="O153" i="144"/>
  <c r="O148" i="144"/>
  <c r="O138" i="144"/>
  <c r="O128" i="144"/>
  <c r="O123" i="144"/>
  <c r="O118" i="144"/>
  <c r="O88" i="144"/>
  <c r="O83" i="144"/>
  <c r="O73" i="144"/>
  <c r="H21" i="178"/>
  <c r="P32" i="149"/>
  <c r="O16" i="148"/>
  <c r="O11" i="148"/>
  <c r="D24" i="114"/>
  <c r="F24" i="114"/>
  <c r="O28" i="144"/>
  <c r="O18" i="144"/>
  <c r="M295" i="105"/>
  <c r="I309" i="105"/>
  <c r="I887" i="105"/>
  <c r="I889" i="105"/>
  <c r="I885" i="105"/>
  <c r="I883" i="105"/>
  <c r="I881" i="105"/>
  <c r="I879" i="105"/>
  <c r="I17" i="115"/>
  <c r="I16" i="115"/>
  <c r="I100" i="105"/>
  <c r="E224" i="105"/>
  <c r="I875" i="105"/>
  <c r="I873" i="105"/>
  <c r="I877" i="105"/>
  <c r="I179" i="105"/>
  <c r="C14" i="114"/>
  <c r="C9" i="114"/>
  <c r="N295" i="105"/>
  <c r="L295" i="105"/>
  <c r="K295" i="105"/>
  <c r="J295" i="105"/>
  <c r="E294" i="105"/>
  <c r="N250" i="105"/>
  <c r="M250" i="105"/>
  <c r="L250" i="105"/>
  <c r="K250" i="105"/>
  <c r="J250" i="105"/>
  <c r="G249" i="105"/>
  <c r="F249" i="105"/>
  <c r="E249" i="105"/>
  <c r="N225" i="105"/>
  <c r="M225" i="105"/>
  <c r="L225" i="105"/>
  <c r="K225" i="105"/>
  <c r="J225" i="105"/>
  <c r="J228" i="105" s="1"/>
  <c r="G224" i="105"/>
  <c r="F224" i="105"/>
  <c r="M111" i="105"/>
  <c r="L111" i="105"/>
  <c r="K111" i="105"/>
  <c r="G110" i="105"/>
  <c r="F110" i="105"/>
  <c r="E110" i="105"/>
  <c r="F35" i="105"/>
  <c r="E35" i="105"/>
  <c r="K23" i="115"/>
  <c r="H23" i="115"/>
  <c r="G23" i="115"/>
  <c r="H17" i="115"/>
  <c r="H16" i="115"/>
  <c r="G17" i="115"/>
  <c r="G16" i="115"/>
  <c r="K28" i="115"/>
  <c r="I275" i="105"/>
  <c r="G11" i="115"/>
  <c r="G9" i="115"/>
  <c r="I37" i="113"/>
  <c r="H37" i="113"/>
  <c r="G37" i="113"/>
  <c r="I76" i="105"/>
  <c r="I851" i="105"/>
  <c r="I384" i="105"/>
  <c r="I379" i="105"/>
  <c r="I374" i="105"/>
  <c r="I369" i="105"/>
  <c r="I843" i="105"/>
  <c r="I364" i="105"/>
  <c r="I359" i="105"/>
  <c r="I349" i="105"/>
  <c r="I344" i="105"/>
  <c r="I339" i="105"/>
  <c r="I334" i="105"/>
  <c r="I329" i="105"/>
  <c r="I324" i="105"/>
  <c r="I319" i="105"/>
  <c r="I314" i="105"/>
  <c r="I300" i="105"/>
  <c r="I290" i="105"/>
  <c r="I285" i="105"/>
  <c r="I280" i="105"/>
  <c r="I270" i="105"/>
  <c r="I265" i="105"/>
  <c r="I260" i="105"/>
  <c r="I255" i="105"/>
  <c r="I245" i="105"/>
  <c r="I240" i="105"/>
  <c r="I235" i="105"/>
  <c r="I230" i="105"/>
  <c r="I220" i="105"/>
  <c r="I215" i="105"/>
  <c r="I210" i="105"/>
  <c r="I205" i="105"/>
  <c r="I200" i="105"/>
  <c r="I195" i="105"/>
  <c r="I185" i="105"/>
  <c r="I173" i="105"/>
  <c r="I168" i="105"/>
  <c r="I163" i="105"/>
  <c r="I121" i="105"/>
  <c r="I116" i="105"/>
  <c r="I105" i="105"/>
  <c r="I71" i="105"/>
  <c r="I66" i="105"/>
  <c r="I56" i="105"/>
  <c r="I51" i="105"/>
  <c r="I30" i="105"/>
  <c r="I21" i="105"/>
  <c r="I36" i="115"/>
  <c r="H36" i="115"/>
  <c r="G36" i="115"/>
  <c r="K32" i="115"/>
  <c r="I32" i="115"/>
  <c r="H32" i="115"/>
  <c r="G32" i="115"/>
  <c r="I28" i="115"/>
  <c r="H28" i="115"/>
  <c r="G28" i="115"/>
  <c r="K9" i="115"/>
  <c r="I11" i="115"/>
  <c r="I9" i="115"/>
  <c r="H11" i="115"/>
  <c r="H9" i="115"/>
  <c r="C28" i="114"/>
  <c r="I61" i="113"/>
  <c r="H61" i="113"/>
  <c r="G61" i="113"/>
  <c r="I57" i="113"/>
  <c r="H57" i="113"/>
  <c r="G57" i="113"/>
  <c r="I53" i="113"/>
  <c r="H53" i="113"/>
  <c r="G53" i="113"/>
  <c r="K46" i="113"/>
  <c r="D19" i="178"/>
  <c r="D21" i="178" s="1"/>
  <c r="I46" i="113"/>
  <c r="H46" i="113"/>
  <c r="G46" i="113"/>
  <c r="K41" i="113"/>
  <c r="I41" i="113"/>
  <c r="H41" i="113"/>
  <c r="G41" i="113"/>
  <c r="I27" i="113"/>
  <c r="H27" i="113"/>
  <c r="G27" i="113"/>
  <c r="I18" i="113"/>
  <c r="I17" i="113"/>
  <c r="H18" i="113"/>
  <c r="H17" i="113"/>
  <c r="G18" i="113"/>
  <c r="G17" i="113"/>
  <c r="I11" i="113"/>
  <c r="I10" i="113"/>
  <c r="H11" i="113"/>
  <c r="G11" i="113"/>
  <c r="G10" i="113"/>
  <c r="H10" i="113"/>
  <c r="J997" i="105"/>
  <c r="M997" i="105"/>
  <c r="K997" i="105"/>
  <c r="N997" i="105"/>
  <c r="L997" i="105"/>
  <c r="I997" i="105"/>
  <c r="O153" i="173"/>
  <c r="O133" i="144"/>
  <c r="G42" i="160"/>
  <c r="H337" i="174"/>
  <c r="G36" i="113"/>
  <c r="M11" i="115"/>
  <c r="L16" i="115"/>
  <c r="E28" i="178"/>
  <c r="E38" i="178" s="1"/>
  <c r="H36" i="113"/>
  <c r="M53" i="113"/>
  <c r="E25" i="178"/>
  <c r="O148" i="173"/>
  <c r="L187" i="149"/>
  <c r="G123" i="175"/>
  <c r="G128" i="175"/>
  <c r="I14" i="115"/>
  <c r="I35" i="115"/>
  <c r="F14" i="114"/>
  <c r="M17" i="115"/>
  <c r="I14" i="178"/>
  <c r="S43" i="160"/>
  <c r="K16" i="115"/>
  <c r="K14" i="115"/>
  <c r="K35" i="115"/>
  <c r="K42" i="115"/>
  <c r="P14" i="149"/>
  <c r="V14" i="160"/>
  <c r="G14" i="160"/>
  <c r="L36" i="113"/>
  <c r="L202" i="174"/>
  <c r="L72" i="173"/>
  <c r="G14" i="115"/>
  <c r="G52" i="113"/>
  <c r="G50" i="113"/>
  <c r="I52" i="113"/>
  <c r="I50" i="113"/>
  <c r="H52" i="113"/>
  <c r="H50" i="113"/>
  <c r="D14" i="114"/>
  <c r="C35" i="114"/>
  <c r="K50" i="113"/>
  <c r="L122" i="175"/>
  <c r="L329" i="177"/>
  <c r="V34" i="160"/>
  <c r="J317" i="174"/>
  <c r="G28" i="160"/>
  <c r="O54" i="173"/>
  <c r="O138" i="173"/>
  <c r="H14" i="115"/>
  <c r="H35" i="115"/>
  <c r="H42" i="115"/>
  <c r="L161" i="173"/>
  <c r="O161" i="173" s="1"/>
  <c r="O129" i="173"/>
  <c r="I164" i="173"/>
  <c r="K187" i="149"/>
  <c r="M76" i="148"/>
  <c r="G212" i="174"/>
  <c r="G331" i="174" s="1"/>
  <c r="K327" i="174"/>
  <c r="K350" i="174" s="1"/>
  <c r="O187" i="149"/>
  <c r="L30" i="115"/>
  <c r="M30" i="115" s="1"/>
  <c r="I18" i="178" s="1"/>
  <c r="I187" i="149"/>
  <c r="I188" i="149"/>
  <c r="N183" i="149"/>
  <c r="N187" i="149"/>
  <c r="J187" i="149"/>
  <c r="J188" i="149"/>
  <c r="K164" i="173"/>
  <c r="K135" i="176"/>
  <c r="N185" i="149"/>
  <c r="O21" i="148"/>
  <c r="I20" i="178"/>
  <c r="G35" i="115"/>
  <c r="G42" i="115"/>
  <c r="I36" i="113"/>
  <c r="F26" i="150"/>
  <c r="F31" i="150"/>
  <c r="R17" i="49"/>
  <c r="G13" i="160"/>
  <c r="G21" i="160"/>
  <c r="G33" i="160"/>
  <c r="E86" i="172"/>
  <c r="M36" i="115"/>
  <c r="L127" i="175"/>
  <c r="K173" i="173"/>
  <c r="K184" i="173" s="1"/>
  <c r="F29" i="153"/>
  <c r="F31" i="153"/>
  <c r="F32" i="153"/>
  <c r="M57" i="113"/>
  <c r="E30" i="178"/>
  <c r="N173" i="173"/>
  <c r="N184" i="173" s="1"/>
  <c r="G29" i="153"/>
  <c r="G31" i="153"/>
  <c r="G32" i="153"/>
  <c r="M17" i="49"/>
  <c r="M43" i="160"/>
  <c r="G36" i="160"/>
  <c r="C85" i="172"/>
  <c r="D85" i="172"/>
  <c r="D86" i="172"/>
  <c r="F86" i="172"/>
  <c r="G85" i="172"/>
  <c r="E35" i="114"/>
  <c r="F28" i="114"/>
  <c r="G28" i="114"/>
  <c r="O162" i="173"/>
  <c r="J18" i="174"/>
  <c r="I9" i="113"/>
  <c r="C86" i="172"/>
  <c r="M18" i="113"/>
  <c r="M17" i="113" s="1"/>
  <c r="L52" i="113"/>
  <c r="L50" i="113"/>
  <c r="L173" i="173"/>
  <c r="L184" i="173" s="1"/>
  <c r="H173" i="173"/>
  <c r="H184" i="173" s="1"/>
  <c r="R347" i="174"/>
  <c r="H9" i="113"/>
  <c r="H48" i="113"/>
  <c r="G9" i="113"/>
  <c r="E29" i="153"/>
  <c r="E31" i="153"/>
  <c r="E32" i="153"/>
  <c r="H29" i="153"/>
  <c r="H31" i="153" s="1"/>
  <c r="H32" i="153" s="1"/>
  <c r="T43" i="160"/>
  <c r="G24" i="160"/>
  <c r="G32" i="160"/>
  <c r="O34" i="160"/>
  <c r="F9" i="114"/>
  <c r="G9" i="114"/>
  <c r="Q347" i="174"/>
  <c r="M61" i="113"/>
  <c r="F33" i="150"/>
  <c r="K36" i="113"/>
  <c r="F123" i="175"/>
  <c r="F128" i="175"/>
  <c r="F173" i="173"/>
  <c r="F184" i="173" s="1"/>
  <c r="J328" i="174"/>
  <c r="M351" i="174"/>
  <c r="O97" i="173"/>
  <c r="O70" i="173"/>
  <c r="J72" i="173"/>
  <c r="H72" i="173"/>
  <c r="F72" i="173"/>
  <c r="O72" i="173" s="1"/>
  <c r="I24" i="105"/>
  <c r="O116" i="144"/>
  <c r="O91" i="144"/>
  <c r="O71" i="144"/>
  <c r="O61" i="144"/>
  <c r="O36" i="144"/>
  <c r="O33" i="144"/>
  <c r="O58" i="144"/>
  <c r="O14" i="148"/>
  <c r="E11" i="148"/>
  <c r="J81" i="149"/>
  <c r="G48" i="113"/>
  <c r="G65" i="113"/>
  <c r="G43" i="115"/>
  <c r="I42" i="115"/>
  <c r="H65" i="113"/>
  <c r="H43" i="115"/>
  <c r="G34" i="160"/>
  <c r="E31" i="178"/>
  <c r="P78" i="149"/>
  <c r="D35" i="114"/>
  <c r="M52" i="113"/>
  <c r="M50" i="113"/>
  <c r="O76" i="148"/>
  <c r="I48" i="113"/>
  <c r="E37" i="178"/>
  <c r="F35" i="114"/>
  <c r="G35" i="114"/>
  <c r="H49" i="113"/>
  <c r="G49" i="113"/>
  <c r="I49" i="113"/>
  <c r="I65" i="113"/>
  <c r="I43" i="115"/>
  <c r="N188" i="149"/>
  <c r="O183" i="149"/>
  <c r="K183" i="149"/>
  <c r="L298" i="105"/>
  <c r="I113" i="105"/>
  <c r="M298" i="105"/>
  <c r="I695" i="105"/>
  <c r="M207" i="144"/>
  <c r="K207" i="144"/>
  <c r="M79" i="148"/>
  <c r="L183" i="149"/>
  <c r="I110" i="174"/>
  <c r="I337" i="174"/>
  <c r="J60" i="174"/>
  <c r="J74" i="174"/>
  <c r="J145" i="174"/>
  <c r="J143" i="174"/>
  <c r="J175" i="174"/>
  <c r="H212" i="174"/>
  <c r="J120" i="174"/>
  <c r="Q79" i="174"/>
  <c r="J346" i="174"/>
  <c r="I212" i="174"/>
  <c r="I331" i="174" s="1"/>
  <c r="G337" i="174"/>
  <c r="P330" i="174"/>
  <c r="Q330" i="174"/>
  <c r="N330" i="174"/>
  <c r="R330" i="174"/>
  <c r="L352" i="174"/>
  <c r="J283" i="174"/>
  <c r="J232" i="174"/>
  <c r="J272" i="174"/>
  <c r="J288" i="174"/>
  <c r="J309" i="174"/>
  <c r="J264" i="174"/>
  <c r="J242" i="174"/>
  <c r="J299" i="174"/>
  <c r="M353" i="174"/>
  <c r="N172" i="173"/>
  <c r="N183" i="173" s="1"/>
  <c r="O69" i="173"/>
  <c r="O163" i="173"/>
  <c r="K72" i="173"/>
  <c r="M143" i="173"/>
  <c r="O113" i="144"/>
  <c r="O143" i="144"/>
  <c r="O207" i="144"/>
  <c r="O21" i="144"/>
  <c r="G172" i="173"/>
  <c r="G183" i="173" s="1"/>
  <c r="I252" i="105"/>
  <c r="N64" i="105"/>
  <c r="M16" i="115"/>
  <c r="L9" i="113"/>
  <c r="L48" i="113" s="1"/>
  <c r="L65" i="113" s="1"/>
  <c r="K9" i="113"/>
  <c r="K48" i="113"/>
  <c r="M173" i="173"/>
  <c r="M184" i="173" s="1"/>
  <c r="O188" i="149"/>
  <c r="O185" i="149"/>
  <c r="J185" i="149"/>
  <c r="P52" i="149"/>
  <c r="E50" i="149"/>
  <c r="P97" i="149"/>
  <c r="P105" i="149"/>
  <c r="M187" i="149"/>
  <c r="L29" i="115"/>
  <c r="M29" i="115" s="1"/>
  <c r="I17" i="178" s="1"/>
  <c r="P112" i="149"/>
  <c r="M186" i="149"/>
  <c r="L188" i="149"/>
  <c r="P182" i="149"/>
  <c r="P87" i="149"/>
  <c r="E83" i="149"/>
  <c r="M81" i="149"/>
  <c r="J332" i="177"/>
  <c r="L332" i="177" s="1"/>
  <c r="E17" i="177"/>
  <c r="E87" i="177"/>
  <c r="E97" i="177"/>
  <c r="L126" i="177"/>
  <c r="E122" i="177"/>
  <c r="F172" i="173"/>
  <c r="F183" i="173" s="1"/>
  <c r="L172" i="173"/>
  <c r="L183" i="173" s="1"/>
  <c r="J200" i="174"/>
  <c r="P89" i="149"/>
  <c r="E179" i="149"/>
  <c r="P93" i="149"/>
  <c r="C64" i="106"/>
  <c r="P214" i="174"/>
  <c r="P333" i="174" s="1"/>
  <c r="Q339" i="174"/>
  <c r="N213" i="174"/>
  <c r="N332" i="174" s="1"/>
  <c r="O338" i="174"/>
  <c r="N210" i="144"/>
  <c r="L210" i="144"/>
  <c r="O208" i="144"/>
  <c r="O16" i="144"/>
  <c r="E13" i="144"/>
  <c r="K210" i="144"/>
  <c r="J69" i="174"/>
  <c r="K49" i="113"/>
  <c r="K65" i="113"/>
  <c r="K43" i="115"/>
  <c r="G20" i="160"/>
  <c r="G38" i="160"/>
  <c r="G43" i="160"/>
  <c r="J294" i="174"/>
  <c r="O209" i="144"/>
  <c r="K188" i="149"/>
  <c r="P186" i="149"/>
  <c r="P81" i="149"/>
  <c r="L64" i="105"/>
  <c r="N298" i="105"/>
  <c r="K981" i="105"/>
  <c r="I362" i="105"/>
  <c r="K253" i="105"/>
  <c r="I176" i="105"/>
  <c r="N228" i="105"/>
  <c r="I831" i="105"/>
  <c r="K980" i="105"/>
  <c r="L980" i="105"/>
  <c r="I201" i="105"/>
  <c r="L203" i="105"/>
  <c r="I203" i="105" s="1"/>
  <c r="I840" i="105"/>
  <c r="M188" i="149"/>
  <c r="H123" i="175"/>
  <c r="H128" i="175"/>
  <c r="J130" i="174"/>
  <c r="L353" i="174"/>
  <c r="N338" i="174"/>
  <c r="H331" i="174"/>
  <c r="O330" i="174"/>
  <c r="J219" i="174"/>
  <c r="O339" i="174"/>
  <c r="L339" i="174"/>
  <c r="K202" i="174"/>
  <c r="K213" i="174" s="1"/>
  <c r="K332" i="174" s="1"/>
  <c r="K338" i="174"/>
  <c r="J351" i="174"/>
  <c r="Q353" i="174"/>
  <c r="O353" i="174"/>
  <c r="R353" i="174"/>
  <c r="P353" i="174"/>
  <c r="N353" i="174"/>
  <c r="I172" i="173"/>
  <c r="I183" i="173" s="1"/>
  <c r="G173" i="173"/>
  <c r="Q213" i="174"/>
  <c r="Q332" i="174"/>
  <c r="Q357" i="174" s="1"/>
  <c r="J203" i="174"/>
  <c r="E9" i="178"/>
  <c r="O78" i="148"/>
  <c r="O79" i="148"/>
  <c r="L31" i="115"/>
  <c r="M31" i="115" s="1"/>
  <c r="I19" i="178" s="1"/>
  <c r="P187" i="149"/>
  <c r="J183" i="174"/>
  <c r="J138" i="176"/>
  <c r="I138" i="176"/>
  <c r="K137" i="176"/>
  <c r="J111" i="174"/>
  <c r="K214" i="174"/>
  <c r="K333" i="174" s="1"/>
  <c r="R213" i="174"/>
  <c r="R332" i="174" s="1"/>
  <c r="R357" i="174" s="1"/>
  <c r="L213" i="174"/>
  <c r="Q214" i="174"/>
  <c r="O79" i="174"/>
  <c r="R214" i="174"/>
  <c r="N339" i="174"/>
  <c r="M338" i="174"/>
  <c r="Q338" i="174"/>
  <c r="J202" i="174"/>
  <c r="S202" i="174" s="1"/>
  <c r="M213" i="174"/>
  <c r="M332" i="174" s="1"/>
  <c r="O213" i="174"/>
  <c r="O332" i="174" s="1"/>
  <c r="J77" i="174"/>
  <c r="J76" i="174"/>
  <c r="S76" i="174" s="1"/>
  <c r="M214" i="174"/>
  <c r="M333" i="174" s="1"/>
  <c r="M339" i="174"/>
  <c r="P338" i="174"/>
  <c r="L214" i="174"/>
  <c r="J214" i="174" s="1"/>
  <c r="O214" i="174"/>
  <c r="O333" i="174" s="1"/>
  <c r="J345" i="174"/>
  <c r="J112" i="174"/>
  <c r="N214" i="174"/>
  <c r="M114" i="174"/>
  <c r="K114" i="174"/>
  <c r="V43" i="160"/>
  <c r="K330" i="174"/>
  <c r="J330" i="174" s="1"/>
  <c r="O136" i="144"/>
  <c r="E133" i="144"/>
  <c r="J108" i="174"/>
  <c r="K123" i="175"/>
  <c r="K128" i="175"/>
  <c r="J99" i="174"/>
  <c r="L123" i="175"/>
  <c r="L128" i="175"/>
  <c r="I225" i="105"/>
  <c r="K114" i="105"/>
  <c r="I536" i="105"/>
  <c r="I61" i="105"/>
  <c r="J222" i="174"/>
  <c r="J352" i="174"/>
  <c r="K353" i="174"/>
  <c r="J353" i="174"/>
  <c r="J329" i="174"/>
  <c r="J113" i="174"/>
  <c r="K991" i="105"/>
  <c r="G100" i="173"/>
  <c r="O43" i="160"/>
  <c r="P188" i="149"/>
  <c r="O210" i="144"/>
  <c r="K138" i="176"/>
  <c r="G184" i="173"/>
  <c r="R333" i="174"/>
  <c r="L333" i="174"/>
  <c r="O170" i="173" l="1"/>
  <c r="O143" i="173"/>
  <c r="O98" i="173"/>
  <c r="J173" i="173"/>
  <c r="J184" i="173" s="1"/>
  <c r="H172" i="173"/>
  <c r="M100" i="173"/>
  <c r="K100" i="173"/>
  <c r="I100" i="173"/>
  <c r="I357" i="105"/>
  <c r="I111" i="105"/>
  <c r="I250" i="105"/>
  <c r="I295" i="105"/>
  <c r="N980" i="105"/>
  <c r="M980" i="105"/>
  <c r="I297" i="105"/>
  <c r="K298" i="105"/>
  <c r="N987" i="105"/>
  <c r="I987" i="105" s="1"/>
  <c r="L253" i="105"/>
  <c r="I454" i="105"/>
  <c r="L114" i="105"/>
  <c r="I296" i="105"/>
  <c r="I399" i="105"/>
  <c r="E46" i="179"/>
  <c r="L28" i="115"/>
  <c r="D31" i="178"/>
  <c r="D22" i="178"/>
  <c r="D32" i="178" s="1"/>
  <c r="D39" i="178" s="1"/>
  <c r="D35" i="178"/>
  <c r="L350" i="174"/>
  <c r="J327" i="174"/>
  <c r="L332" i="174"/>
  <c r="L357" i="174" s="1"/>
  <c r="N357" i="174"/>
  <c r="H357" i="174"/>
  <c r="J125" i="174"/>
  <c r="J259" i="174"/>
  <c r="K339" i="174"/>
  <c r="J150" i="174"/>
  <c r="J137" i="174"/>
  <c r="M152" i="174"/>
  <c r="J152" i="174" s="1"/>
  <c r="L204" i="174"/>
  <c r="L205" i="174" s="1"/>
  <c r="J28" i="174"/>
  <c r="Q215" i="174"/>
  <c r="Q334" i="174" s="1"/>
  <c r="Q340" i="174"/>
  <c r="Q341" i="174" s="1"/>
  <c r="O215" i="174"/>
  <c r="O340" i="174"/>
  <c r="O341" i="174" s="1"/>
  <c r="K170" i="174"/>
  <c r="J170" i="174" s="1"/>
  <c r="M340" i="174"/>
  <c r="M341" i="174" s="1"/>
  <c r="J338" i="174"/>
  <c r="P357" i="174"/>
  <c r="J132" i="174"/>
  <c r="G357" i="174"/>
  <c r="I357" i="174"/>
  <c r="M205" i="174"/>
  <c r="R215" i="174"/>
  <c r="R340" i="174"/>
  <c r="P215" i="174"/>
  <c r="P340" i="174"/>
  <c r="N215" i="174"/>
  <c r="N340" i="174"/>
  <c r="N341" i="174" s="1"/>
  <c r="L340" i="174"/>
  <c r="J213" i="174"/>
  <c r="S213" i="174" s="1"/>
  <c r="P339" i="174"/>
  <c r="P341" i="174" s="1"/>
  <c r="H10" i="178"/>
  <c r="R339" i="174"/>
  <c r="R341" i="174" s="1"/>
  <c r="M28" i="115"/>
  <c r="L331" i="177"/>
  <c r="M9" i="115"/>
  <c r="I21" i="178"/>
  <c r="E18" i="178"/>
  <c r="M36" i="113"/>
  <c r="E17" i="178"/>
  <c r="E21" i="178" s="1"/>
  <c r="M27" i="113"/>
  <c r="E11" i="178" s="1"/>
  <c r="E10" i="178"/>
  <c r="N991" i="105"/>
  <c r="N253" i="105"/>
  <c r="N981" i="105"/>
  <c r="J980" i="105"/>
  <c r="H9" i="178" s="1"/>
  <c r="N697" i="105"/>
  <c r="I697" i="105" s="1"/>
  <c r="I63" i="105"/>
  <c r="J298" i="105"/>
  <c r="I298" i="105" s="1"/>
  <c r="K228" i="105"/>
  <c r="I149" i="105"/>
  <c r="I193" i="105"/>
  <c r="L226" i="105"/>
  <c r="L228" i="105" s="1"/>
  <c r="I256" i="105"/>
  <c r="L258" i="105"/>
  <c r="I258" i="105" s="1"/>
  <c r="N263" i="105"/>
  <c r="I263" i="105" s="1"/>
  <c r="I19" i="105"/>
  <c r="I33" i="105"/>
  <c r="I577" i="105"/>
  <c r="J253" i="105"/>
  <c r="I986" i="105"/>
  <c r="I980" i="105"/>
  <c r="I982" i="105"/>
  <c r="L15" i="115" s="1"/>
  <c r="L14" i="115" s="1"/>
  <c r="L35" i="115" s="1"/>
  <c r="L49" i="113" s="1"/>
  <c r="K983" i="105"/>
  <c r="N993" i="105"/>
  <c r="I112" i="105"/>
  <c r="M228" i="105"/>
  <c r="I228" i="105" s="1"/>
  <c r="N988" i="105"/>
  <c r="I988" i="105" s="1"/>
  <c r="N983" i="105"/>
  <c r="K993" i="105"/>
  <c r="J332" i="174"/>
  <c r="M357" i="174"/>
  <c r="J350" i="174"/>
  <c r="K357" i="174"/>
  <c r="L215" i="174"/>
  <c r="L341" i="174"/>
  <c r="L79" i="174"/>
  <c r="M215" i="174"/>
  <c r="O216" i="174"/>
  <c r="O334" i="174"/>
  <c r="O358" i="174" s="1"/>
  <c r="H13" i="178"/>
  <c r="O357" i="174"/>
  <c r="Q216" i="174"/>
  <c r="M79" i="174"/>
  <c r="J114" i="174"/>
  <c r="J347" i="174"/>
  <c r="R334" i="174"/>
  <c r="R216" i="174"/>
  <c r="P334" i="174"/>
  <c r="P358" i="174" s="1"/>
  <c r="P216" i="174"/>
  <c r="N334" i="174"/>
  <c r="N216" i="174"/>
  <c r="H11" i="178"/>
  <c r="K52" i="174"/>
  <c r="J88" i="174"/>
  <c r="K340" i="174"/>
  <c r="H12" i="178"/>
  <c r="Q333" i="174"/>
  <c r="J48" i="174"/>
  <c r="K204" i="174"/>
  <c r="M52" i="174"/>
  <c r="O17" i="173"/>
  <c r="O95" i="173"/>
  <c r="O81" i="173"/>
  <c r="O181" i="173"/>
  <c r="M172" i="173"/>
  <c r="M183" i="173" s="1"/>
  <c r="O106" i="173"/>
  <c r="O159" i="173"/>
  <c r="O119" i="173"/>
  <c r="O164" i="173"/>
  <c r="F174" i="173"/>
  <c r="M174" i="173"/>
  <c r="M185" i="173" s="1"/>
  <c r="M186" i="173" s="1"/>
  <c r="K174" i="173"/>
  <c r="I174" i="173"/>
  <c r="I185" i="173" s="1"/>
  <c r="I186" i="173" s="1"/>
  <c r="G174" i="173"/>
  <c r="N174" i="173"/>
  <c r="N185" i="173" s="1"/>
  <c r="N186" i="173" s="1"/>
  <c r="L174" i="173"/>
  <c r="J174" i="173"/>
  <c r="J175" i="173" s="1"/>
  <c r="H174" i="173"/>
  <c r="O184" i="173"/>
  <c r="O172" i="173"/>
  <c r="H183" i="173"/>
  <c r="O183" i="173" s="1"/>
  <c r="F175" i="173"/>
  <c r="F185" i="173"/>
  <c r="F186" i="173" s="1"/>
  <c r="K175" i="173"/>
  <c r="K185" i="173"/>
  <c r="G175" i="173"/>
  <c r="G185" i="173"/>
  <c r="G186" i="173" s="1"/>
  <c r="O100" i="173"/>
  <c r="K186" i="173"/>
  <c r="L185" i="173"/>
  <c r="L186" i="173" s="1"/>
  <c r="L175" i="173"/>
  <c r="H175" i="173"/>
  <c r="H185" i="173"/>
  <c r="H186" i="173" s="1"/>
  <c r="M175" i="173"/>
  <c r="I175" i="173"/>
  <c r="E82" i="179"/>
  <c r="L991" i="105"/>
  <c r="L993" i="105" s="1"/>
  <c r="I226" i="105"/>
  <c r="M981" i="105"/>
  <c r="M983" i="105" s="1"/>
  <c r="I62" i="105"/>
  <c r="L981" i="105"/>
  <c r="L983" i="105" s="1"/>
  <c r="K64" i="105"/>
  <c r="I64" i="105" s="1"/>
  <c r="M991" i="105"/>
  <c r="M993" i="105" s="1"/>
  <c r="I251" i="105"/>
  <c r="J114" i="105"/>
  <c r="I114" i="105" s="1"/>
  <c r="M253" i="105"/>
  <c r="I253" i="105" s="1"/>
  <c r="J981" i="105"/>
  <c r="J991" i="105"/>
  <c r="E196" i="179"/>
  <c r="E227" i="179"/>
  <c r="E230" i="179" s="1"/>
  <c r="E102" i="179"/>
  <c r="E103" i="179" s="1"/>
  <c r="J185" i="173" l="1"/>
  <c r="J186" i="173" s="1"/>
  <c r="O173" i="173"/>
  <c r="M15" i="115"/>
  <c r="M14" i="115" s="1"/>
  <c r="M35" i="115" s="1"/>
  <c r="M42" i="115" s="1"/>
  <c r="D40" i="178"/>
  <c r="E15" i="178"/>
  <c r="E22" i="178" s="1"/>
  <c r="E32" i="178" s="1"/>
  <c r="E40" i="178" s="1"/>
  <c r="O335" i="174"/>
  <c r="O359" i="174" s="1"/>
  <c r="Q358" i="174"/>
  <c r="I13" i="178"/>
  <c r="J339" i="174"/>
  <c r="M9" i="113"/>
  <c r="M48" i="113" s="1"/>
  <c r="M65" i="113" s="1"/>
  <c r="E35" i="178"/>
  <c r="H15" i="178"/>
  <c r="D34" i="178" s="1"/>
  <c r="I992" i="105"/>
  <c r="N358" i="174"/>
  <c r="N335" i="174"/>
  <c r="N359" i="174" s="1"/>
  <c r="R358" i="174"/>
  <c r="R335" i="174"/>
  <c r="R359" i="174" s="1"/>
  <c r="P335" i="174"/>
  <c r="P359" i="174" s="1"/>
  <c r="I12" i="178"/>
  <c r="Q335" i="174"/>
  <c r="Q359" i="174" s="1"/>
  <c r="J333" i="174"/>
  <c r="J204" i="174"/>
  <c r="K205" i="174"/>
  <c r="J205" i="174" s="1"/>
  <c r="K215" i="174"/>
  <c r="J78" i="174"/>
  <c r="K79" i="174"/>
  <c r="J79" i="174" s="1"/>
  <c r="J52" i="174"/>
  <c r="M334" i="174"/>
  <c r="M216" i="174"/>
  <c r="L334" i="174"/>
  <c r="L216" i="174"/>
  <c r="J357" i="174"/>
  <c r="N175" i="173"/>
  <c r="O174" i="173"/>
  <c r="O186" i="173"/>
  <c r="O175" i="173"/>
  <c r="L42" i="115"/>
  <c r="M49" i="113"/>
  <c r="E231" i="179"/>
  <c r="J983" i="105"/>
  <c r="I981" i="105"/>
  <c r="J993" i="105"/>
  <c r="I993" i="105" s="1"/>
  <c r="I991" i="105"/>
  <c r="O185" i="173" l="1"/>
  <c r="H22" i="178"/>
  <c r="D33" i="178" s="1"/>
  <c r="D36" i="178" s="1"/>
  <c r="E39" i="178"/>
  <c r="J340" i="174"/>
  <c r="K341" i="174"/>
  <c r="J341" i="174" s="1"/>
  <c r="L358" i="174"/>
  <c r="L335" i="174"/>
  <c r="M335" i="174"/>
  <c r="M358" i="174"/>
  <c r="K334" i="174"/>
  <c r="J215" i="174"/>
  <c r="K216" i="174"/>
  <c r="J216" i="174" s="1"/>
  <c r="I983" i="105"/>
  <c r="H32" i="178" l="1"/>
  <c r="L359" i="174"/>
  <c r="I10" i="178"/>
  <c r="K358" i="174"/>
  <c r="J334" i="174"/>
  <c r="J358" i="174" s="1"/>
  <c r="K335" i="174"/>
  <c r="M359" i="174"/>
  <c r="I11" i="178"/>
  <c r="H40" i="178"/>
  <c r="H39" i="178"/>
  <c r="J335" i="174" l="1"/>
  <c r="J359" i="174" s="1"/>
  <c r="K359" i="174"/>
  <c r="I9" i="178"/>
  <c r="I15" i="178" s="1"/>
  <c r="E34" i="178" l="1"/>
  <c r="I22" i="178"/>
  <c r="E33" i="178" l="1"/>
  <c r="E36" i="178" s="1"/>
  <c r="I32" i="178"/>
  <c r="I40" i="178" l="1"/>
  <c r="I39" i="178"/>
</calcChain>
</file>

<file path=xl/comments1.xml><?xml version="1.0" encoding="utf-8"?>
<comments xmlns="http://schemas.openxmlformats.org/spreadsheetml/2006/main">
  <authors>
    <author>Eckert Szilvia</author>
  </authors>
  <commentList>
    <comment ref="E8" authorId="0">
      <text>
        <r>
          <rPr>
            <b/>
            <sz val="9"/>
            <color indexed="81"/>
            <rFont val="Tahoma"/>
            <family val="2"/>
            <charset val="238"/>
          </rPr>
          <t>Eckert Szilvia:</t>
        </r>
        <r>
          <rPr>
            <sz val="9"/>
            <color indexed="81"/>
            <rFont val="Tahoma"/>
            <family val="2"/>
            <charset val="238"/>
          </rPr>
          <t xml:space="preserve">
Hivatalt és intézményeket is beletegyük?</t>
        </r>
      </text>
    </comment>
  </commentList>
</comments>
</file>

<file path=xl/sharedStrings.xml><?xml version="1.0" encoding="utf-8"?>
<sst xmlns="http://schemas.openxmlformats.org/spreadsheetml/2006/main" count="4354" uniqueCount="1317">
  <si>
    <t>adatok eFt-ban</t>
  </si>
  <si>
    <t>A</t>
  </si>
  <si>
    <t>C</t>
  </si>
  <si>
    <t>B</t>
  </si>
  <si>
    <t>D</t>
  </si>
  <si>
    <t>E</t>
  </si>
  <si>
    <t>Megnevezés</t>
  </si>
  <si>
    <t>Temetők üzemeltetésével kapcsolatos feladatok</t>
  </si>
  <si>
    <t>Parkfenntartás</t>
  </si>
  <si>
    <t>Köztisztasági feladatok</t>
  </si>
  <si>
    <t>Városi kiemelt fesztiválok</t>
  </si>
  <si>
    <t>Városi lap kiadásai</t>
  </si>
  <si>
    <t>Kitüntetések</t>
  </si>
  <si>
    <t>MINDÖSSZESEN:</t>
  </si>
  <si>
    <t>Veszprém Megyei Jogú Város Önkormányzata</t>
  </si>
  <si>
    <t>F</t>
  </si>
  <si>
    <t>G</t>
  </si>
  <si>
    <t>H</t>
  </si>
  <si>
    <t>Cím</t>
  </si>
  <si>
    <t>Alcím</t>
  </si>
  <si>
    <t>Feladatellátás jellege*</t>
  </si>
  <si>
    <t>Teljes költség</t>
  </si>
  <si>
    <t>Önkormányzati felújítási kiadások</t>
  </si>
  <si>
    <t>K</t>
  </si>
  <si>
    <t>NK</t>
  </si>
  <si>
    <t>Eötvös Károly Megyei Könyvtár</t>
  </si>
  <si>
    <t>VMJV Polgármesteri Hivatal</t>
  </si>
  <si>
    <t>* Feladatellátás jellege:</t>
  </si>
  <si>
    <t>K= Magyarország helyi önkormányzatairól szóló 2011. évi CLXXXIX. törvény 13. § (1) bekezdése szerinti kötelező feladatok</t>
  </si>
  <si>
    <t>NK= Önkormányzat által önként vállalt feladatok</t>
  </si>
  <si>
    <t>J</t>
  </si>
  <si>
    <t>Önkormányzati beruházási kiadások</t>
  </si>
  <si>
    <t>Hulladéklerakó rekultiváció</t>
  </si>
  <si>
    <t>Kádártai Közösségi Ház átépítése</t>
  </si>
  <si>
    <t>Laczkó Dezső Múzeum</t>
  </si>
  <si>
    <t>Informatikai kiadások</t>
  </si>
  <si>
    <t>I</t>
  </si>
  <si>
    <t>L</t>
  </si>
  <si>
    <t>M</t>
  </si>
  <si>
    <t>Működési költségvetési kiadások</t>
  </si>
  <si>
    <t>Személyi juttatások</t>
  </si>
  <si>
    <t>Munk.a. terh. jár. és szoc.hj.adó</t>
  </si>
  <si>
    <t>Dologi kiadások</t>
  </si>
  <si>
    <t>Egyéb működési kiadások</t>
  </si>
  <si>
    <t>Nemzeti ünnepek kiadásaira</t>
  </si>
  <si>
    <t>Közművelődési szolgált.</t>
  </si>
  <si>
    <t>Nemzetközi kapcsolatok</t>
  </si>
  <si>
    <t>Marketing tevékenység, marketing stratégia</t>
  </si>
  <si>
    <t>ebből: - Veszprémi Ünnepi Játékok</t>
  </si>
  <si>
    <t xml:space="preserve">          - Gizella Napok</t>
  </si>
  <si>
    <t xml:space="preserve">          - Tánc Fesztivál </t>
  </si>
  <si>
    <t xml:space="preserve">          - Veszprémi Utcazene Fesztivál</t>
  </si>
  <si>
    <t xml:space="preserve">          - Auer Hegedűfesztivál</t>
  </si>
  <si>
    <t>Eseti rendezvények</t>
  </si>
  <si>
    <t>Köztéri szobrok, emléktáblák, lektorátus</t>
  </si>
  <si>
    <t>I. Világháborús Centenáriumi Emlékezés költségei</t>
  </si>
  <si>
    <t>Kiadványok, folyóiratok támogatása</t>
  </si>
  <si>
    <t>Méz Rádió támogatása</t>
  </si>
  <si>
    <t>ebből: - Mendelssohn Kamarazenekar</t>
  </si>
  <si>
    <t xml:space="preserve"> - Veszprém Város Vegyeskara</t>
  </si>
  <si>
    <t xml:space="preserve"> - Veszprémi Táncegyüttesért Alapítvány</t>
  </si>
  <si>
    <t xml:space="preserve"> - Liszt F. Kórus</t>
  </si>
  <si>
    <t>Szaléziánum támogatása</t>
  </si>
  <si>
    <t>Sziveri János Intézet működtetése</t>
  </si>
  <si>
    <t>Filharmónia koncertek támogatás</t>
  </si>
  <si>
    <t>Tanórán kívüli tevékenység támogatása</t>
  </si>
  <si>
    <t>Verseny és élsport</t>
  </si>
  <si>
    <t>Sportpálya fenntartás, ill. fenntartói tám.</t>
  </si>
  <si>
    <t>Sportcélok és feladatok (sportigazgatás)</t>
  </si>
  <si>
    <t>Szabadidő- és diáksport</t>
  </si>
  <si>
    <t>Polgármesteri keret</t>
  </si>
  <si>
    <t>Városi civil keret</t>
  </si>
  <si>
    <t xml:space="preserve"> ebből : - Nyugdíjas szervezetek számára pályázati keret</t>
  </si>
  <si>
    <t xml:space="preserve">            - Pályázati keret</t>
  </si>
  <si>
    <t>Köztemetés</t>
  </si>
  <si>
    <t xml:space="preserve">Közcélú és közhasznú foglalkoztatás </t>
  </si>
  <si>
    <t>Települési szilárdhulladék szállítás ártámogatás</t>
  </si>
  <si>
    <t>Kisgyermekes bérlet</t>
  </si>
  <si>
    <t>Máltai Szeretetszolgálatnak pénzeszköz átadás (ellátási szerződés)</t>
  </si>
  <si>
    <t>Családsegítő és Gyermekjóléti Alapszolgáltatási Intézményfenntartó Társulás</t>
  </si>
  <si>
    <t>Lelkisegély szolgálat</t>
  </si>
  <si>
    <t>Hittudományi Főiskola támogatása</t>
  </si>
  <si>
    <t>Foglalkoztatás eü. szolg.</t>
  </si>
  <si>
    <t>Munkavédelmi feladatok</t>
  </si>
  <si>
    <t>Közbeszerzési eljárások költségei</t>
  </si>
  <si>
    <t xml:space="preserve">Önkormányzat igazgatási tevékenysége </t>
  </si>
  <si>
    <t>Igazgatás - Állam felé befizetési kötelezettség</t>
  </si>
  <si>
    <t>ÁFA befizetés</t>
  </si>
  <si>
    <t>Kamatkiadások</t>
  </si>
  <si>
    <t>Családi ünnepek szervezése</t>
  </si>
  <si>
    <t>Városi Közbiztonság Keret</t>
  </si>
  <si>
    <t>Nem lakáscélú helyiségek üzemeltetési költségei</t>
  </si>
  <si>
    <t>Közüzemi Zrt. jutaléka</t>
  </si>
  <si>
    <t>Városi TV közszolgálati műsorok támogatása</t>
  </si>
  <si>
    <t>Kittenberger K. Növény- és Vadaspark KHT működéséhez hozzájárulás</t>
  </si>
  <si>
    <t>Peres ügyek, Kártérítési díjak kifizetése ingatlantulajdonosok részére</t>
  </si>
  <si>
    <t>Jutasi úti műfüves pálya fenntartása (LUC)</t>
  </si>
  <si>
    <t>Többfunkciós csarnok szolgált. vásárlás</t>
  </si>
  <si>
    <t>TDM Irodától szolgáltatás vásárlása</t>
  </si>
  <si>
    <t>Programiroda szolgáltatás vásárlás</t>
  </si>
  <si>
    <t>Társadalmi tudatformálási kampányok (mobilitási hét, "Te Szedd", kerékpárral munkába)</t>
  </si>
  <si>
    <t>Városépítészeti feladatok</t>
  </si>
  <si>
    <t>Településfejlesztési feladatok</t>
  </si>
  <si>
    <t>Rekultivációt megelőző telephely fenntartási költség</t>
  </si>
  <si>
    <t>Aluljárók csapadékvíz átemelőinek üzemeltetése</t>
  </si>
  <si>
    <t>Szökőkutak, ivókutak szolgáltatási díjai</t>
  </si>
  <si>
    <t>Városgazdálkodási szolg.</t>
  </si>
  <si>
    <t>Közvilágítás</t>
  </si>
  <si>
    <t>Közműalagút működtetése</t>
  </si>
  <si>
    <t>Környezetvédelmi feladat (Városüzemeltetés feladatai)</t>
  </si>
  <si>
    <t>Környezetvédelmi feladat (Közigazgatási Iroda feladatai)</t>
  </si>
  <si>
    <t>Közterület Felügyelet, gyepmesteri telep</t>
  </si>
  <si>
    <t>Veszprém Város Közlekedésfejlesztéséért Közalapítvány támogatása (nyugdíjas bérletek)</t>
  </si>
  <si>
    <t>Nemzetiségi önkormányzatok kiadásai:</t>
  </si>
  <si>
    <t xml:space="preserve"> ebből: - Roma Nemzetiségi Önkormányzat</t>
  </si>
  <si>
    <t>- Német Nemzetiségi Önkormányzat</t>
  </si>
  <si>
    <t>- Örmény Nemzetiségi Önkormányzat</t>
  </si>
  <si>
    <t>- Lengyel Nemzetiségi Önkormányzat</t>
  </si>
  <si>
    <t>- Ukrán Nemzetiségi Önkormányzat</t>
  </si>
  <si>
    <t>Választókerületi keretből civil szervezetek támogatása</t>
  </si>
  <si>
    <t>Ebből: Önkormányzat által ellátott kötelező feladatok összesen:</t>
  </si>
  <si>
    <t>Ebből: Önkormányzat által ellátott önként vállalt feladatok összesen:</t>
  </si>
  <si>
    <t>KIMUTATÁS</t>
  </si>
  <si>
    <t>Módosítás</t>
  </si>
  <si>
    <t>Megjegyzés</t>
  </si>
  <si>
    <t>Göllesz Viktor Fogyatékos Személyek Nappali Intézménye</t>
  </si>
  <si>
    <t>Intézmények összesen:</t>
  </si>
  <si>
    <t>VMJV Önkormányzata</t>
  </si>
  <si>
    <t>ebből:</t>
  </si>
  <si>
    <t>Összesen</t>
  </si>
  <si>
    <t>1.</t>
  </si>
  <si>
    <t>Iparűzési adó</t>
  </si>
  <si>
    <t>Építményadó</t>
  </si>
  <si>
    <t>Telekadó</t>
  </si>
  <si>
    <t>Kommunális adó</t>
  </si>
  <si>
    <t>Idegenforgalmi adó</t>
  </si>
  <si>
    <t>Gépjárműadó</t>
  </si>
  <si>
    <t>2.</t>
  </si>
  <si>
    <t>3.</t>
  </si>
  <si>
    <t>4.</t>
  </si>
  <si>
    <t>5.</t>
  </si>
  <si>
    <t>Összesen:</t>
  </si>
  <si>
    <t>Veszprém Megyei Jogú Város Önkormányzata Intézményei</t>
  </si>
  <si>
    <t>Működési költségvetési bevételek</t>
  </si>
  <si>
    <t>Felhalmozási költségvetési bevételek</t>
  </si>
  <si>
    <t>Irányító szervtől kapott támogatás</t>
  </si>
  <si>
    <t>Működési bevételek</t>
  </si>
  <si>
    <t>Működési célú támogatás Áht-on belülről</t>
  </si>
  <si>
    <t>Működési célú átvett pénzeszköz</t>
  </si>
  <si>
    <t>Felhalmozási bevétel</t>
  </si>
  <si>
    <t>Felhalmozási célú támogatás Áht.-on belülről</t>
  </si>
  <si>
    <t>Felhalmozási célú átvett pénzeszköz</t>
  </si>
  <si>
    <t>Közcélú és közhasznú foglalkoztatás</t>
  </si>
  <si>
    <t>(Ringató Óvoda, Erdei Tagóvoda, Kuckó Tagóvoda)</t>
  </si>
  <si>
    <t>(Egry ltp. Óvoda, Nárcisz Tagóvoda)</t>
  </si>
  <si>
    <t>(Csillag úti Óvoda, Cholnoky ltp. Óvoda)</t>
  </si>
  <si>
    <t>(Kastélykert Óvoda, Ficánka Óvoda)</t>
  </si>
  <si>
    <t>Veszprémi Petőfi Színház</t>
  </si>
  <si>
    <t>INTÉZMÉNYEK ÖSSZESEN:</t>
  </si>
  <si>
    <t>VMJV Polgármesteri Hivatal által ellátott kötelező és önként vállalt feladatok</t>
  </si>
  <si>
    <t>N</t>
  </si>
  <si>
    <t>O</t>
  </si>
  <si>
    <t>P</t>
  </si>
  <si>
    <t>Felhalmozási költségvetési kiadások</t>
  </si>
  <si>
    <t>Egyéb felhalmozási célú kiadások</t>
  </si>
  <si>
    <t>Igazgatási tevékenység</t>
  </si>
  <si>
    <t>Gondnokság</t>
  </si>
  <si>
    <t>ISO 9001 minőségbiztosítás karbantartás</t>
  </si>
  <si>
    <t>Ebből:</t>
  </si>
  <si>
    <t>Önkormányzati kötelező feladatokat ellátó intézmények összesen</t>
  </si>
  <si>
    <t>Önkormányzat által önként vállalt feladatokat ellátó intézmények összesen</t>
  </si>
  <si>
    <t>VMJV Polgármesteri Hivatal által ellátott kötelező és államigazgatási feladatok összesen</t>
  </si>
  <si>
    <t>Veszprém Megyei Jogú Város Önkormányzatának</t>
  </si>
  <si>
    <t>Működési célú támogatások Áht-on belülről</t>
  </si>
  <si>
    <t>Önkormányzatok működési támogatásai</t>
  </si>
  <si>
    <t>Működési célú költségvetési támogatások és kiegészítő támogatások</t>
  </si>
  <si>
    <t>Egyéb működési célú támogatások bevételei</t>
  </si>
  <si>
    <t>ebből: Társadalombizt. Alapból származó támogatás</t>
  </si>
  <si>
    <t>Önkormányzati Intézmények  működési célú támogatások Áht-on belülről</t>
  </si>
  <si>
    <t>Közhatalmi bevételek</t>
  </si>
  <si>
    <t>Adók</t>
  </si>
  <si>
    <t>Egyéb pótlékok, bírságok</t>
  </si>
  <si>
    <t>Egyéb közhatalmi bevételek (bírságok, igazgatási szolgáltatási díjak)</t>
  </si>
  <si>
    <t>Önkormányzati Intézmények működési bevételek</t>
  </si>
  <si>
    <t>Működési célú átvett pénzeszközök</t>
  </si>
  <si>
    <t>Önkormányzati Intézmények működési célú átvett pénzeszközök</t>
  </si>
  <si>
    <t>Felhalmozási célú támogatások Áht-on belülről</t>
  </si>
  <si>
    <t>Felhalmozási célú önkormányzati támogatások</t>
  </si>
  <si>
    <t>Egyéb felhalmozási célú támogatások bevételei</t>
  </si>
  <si>
    <t>Önkormányzati Intézmények felhalmozási célú támogatások Áht-on belülről</t>
  </si>
  <si>
    <t>Felhalmozási bevételek</t>
  </si>
  <si>
    <t>Ingatlanok értékesítése</t>
  </si>
  <si>
    <t>Önkormányzati Intézmények felhalmozási bevételei</t>
  </si>
  <si>
    <t>Felhalmozási célú átvett pénzeszközök</t>
  </si>
  <si>
    <t>Önkormányzati Intézmények felhalmozási célú átvett pénzeszközök</t>
  </si>
  <si>
    <t>Lakásalap</t>
  </si>
  <si>
    <t>Költségvetési bevételek összesen</t>
  </si>
  <si>
    <t>Költségvetési egyenleg összege</t>
  </si>
  <si>
    <t>Finanszírozási bevételek</t>
  </si>
  <si>
    <t>Intézmények</t>
  </si>
  <si>
    <t>VMJV Polgármesteri Hivatala</t>
  </si>
  <si>
    <t>Beruházási hitelfelvétel</t>
  </si>
  <si>
    <t>Előző évi hitelszerződéseken alapuló felvétel</t>
  </si>
  <si>
    <t>Bevételi főösszeg</t>
  </si>
  <si>
    <t xml:space="preserve">Cím  </t>
  </si>
  <si>
    <t>Intézményi költségvetési kiadások</t>
  </si>
  <si>
    <t>Céltartalékok</t>
  </si>
  <si>
    <t xml:space="preserve"> - Felmentési idő, jub.jut., végkielégítés</t>
  </si>
  <si>
    <t xml:space="preserve"> - Előző évi hitelszerződéshez kapcs. feladat</t>
  </si>
  <si>
    <t>Általános tartalék</t>
  </si>
  <si>
    <t>Lakásalap kiadása</t>
  </si>
  <si>
    <t>Költségvetési kiadások összesen</t>
  </si>
  <si>
    <t>Finanszírozási kiadások</t>
  </si>
  <si>
    <t>Működési finanszírozási kiadások</t>
  </si>
  <si>
    <t>Felhalmozási finanszírozási kiadások</t>
  </si>
  <si>
    <t xml:space="preserve"> - Hiteltörlesztés</t>
  </si>
  <si>
    <t xml:space="preserve"> - Lakásalap hiteltörlesztése</t>
  </si>
  <si>
    <t>Kiadási főösszeg</t>
  </si>
  <si>
    <t>VESZPRÉM MEGYEI JOGÚ VÁROS ÖNKORMÁNYZATÁNAK MŰKÖDÉSI ÉS FELHALMOZÁSI</t>
  </si>
  <si>
    <t>MŰKÖDÉSI KÖLTSÉGVETÉSI BEVÉTELEK</t>
  </si>
  <si>
    <t>MŰKÖDÉSI KÖLTSÉGVETÉSI KIADÁSOK</t>
  </si>
  <si>
    <t>Működési célú támogatások államháztartáson belülről</t>
  </si>
  <si>
    <t>Munkaadókat terhelő járulékok és szociális hozzájárulási adó</t>
  </si>
  <si>
    <t>Ellátottak pénzbeli juttatásai</t>
  </si>
  <si>
    <t>Egyéb működési célú kiadások (tartalékok nélkül)</t>
  </si>
  <si>
    <t>6.</t>
  </si>
  <si>
    <t>Működési költségvetési bevételek összesen</t>
  </si>
  <si>
    <t>Működési költségvetési kiadások összesen</t>
  </si>
  <si>
    <t>FELHALMOZÁSI KÖLTSÉGVETÉSI BEVÉTELEK</t>
  </si>
  <si>
    <t>FELHALMOZÁSI KÖLTSÉGVETÉSI KIADÁSOK</t>
  </si>
  <si>
    <t>Felhalmozási célú támogatások államháztartáson belülről</t>
  </si>
  <si>
    <t>Beruházási kiadások</t>
  </si>
  <si>
    <t>Felújítási kiadások</t>
  </si>
  <si>
    <t>Felhalmozási költségvetési bevételek összesen</t>
  </si>
  <si>
    <t>Felhalmozási költségvetési kiadások összesen</t>
  </si>
  <si>
    <t>MŰKÖDÉSI FINANSZÍROZÁSI BEVÉTELEK</t>
  </si>
  <si>
    <t>MŰKÖDÉSI FINANSZÍROZÁSI KIADÁSOK</t>
  </si>
  <si>
    <t>Rövid lejáratú hitel felvétele</t>
  </si>
  <si>
    <t>Rövid lejáratú hitel tőkeösszegének törlesztése</t>
  </si>
  <si>
    <t>FELHALMOZÁSI FINANSZÍROZÁSI BEVÉTELEK</t>
  </si>
  <si>
    <t>FELHALMOZÁSI FINANSZÍROZÁSI KIADÁSOK</t>
  </si>
  <si>
    <t>Hosszú lejáratú hitel felvétele</t>
  </si>
  <si>
    <t>Hosszú lejáratú hitel tőkeösszegének törlesztése</t>
  </si>
  <si>
    <t>Finanszírozási bevételek összesen</t>
  </si>
  <si>
    <t>Finanszírozási kiadások összesen</t>
  </si>
  <si>
    <t>ÖSSZES BEVÉTEL</t>
  </si>
  <si>
    <t>ÖSSZES KIADÁS</t>
  </si>
  <si>
    <t>ebből működési:</t>
  </si>
  <si>
    <t>ebből felhalmozási:</t>
  </si>
  <si>
    <t>Finanszírozási kiadásokkal korrigált hiány összege</t>
  </si>
  <si>
    <t>Működési bevételek aránya %-ban</t>
  </si>
  <si>
    <t>Működési kiadások aránya %-ban</t>
  </si>
  <si>
    <t>Felhalmozási bevételek aránya %-ban</t>
  </si>
  <si>
    <t>Felhalmozási kiadások aránya %-ban</t>
  </si>
  <si>
    <t xml:space="preserve"> </t>
  </si>
  <si>
    <t>Közfoglalkoztatottak létszáma</t>
  </si>
  <si>
    <t>I.</t>
  </si>
  <si>
    <t>Kiemelt művészeti együttesek támogatása</t>
  </si>
  <si>
    <t>Swing-Swing Kft. Szolgáltatás vásárlás</t>
  </si>
  <si>
    <t>Bérleményekkel, haszonbérletekkel kapcsolatos feladatok</t>
  </si>
  <si>
    <t>Csapadékcsatornák üzemeltetési szolgáltatásai</t>
  </si>
  <si>
    <t>Felhalmozási célú átvett pénzeszközök (kölcsönök visszatérülése)</t>
  </si>
  <si>
    <t>Felhalmozási célú költségvetési maradvány igénybevétele</t>
  </si>
  <si>
    <t>Működési célú  költségvetési maradvány igénybevétele</t>
  </si>
  <si>
    <t>Előző évi  költségvetési maradvány</t>
  </si>
  <si>
    <t>Államháztartáson belüli megelőlegezések</t>
  </si>
  <si>
    <t>Államháztartáson belüli megelőlegezések visszafizetése</t>
  </si>
  <si>
    <t>Veszprémi Ringató Körzeti Óvoda</t>
  </si>
  <si>
    <t>Veszprémi Egry úti Körzeti Óvoda</t>
  </si>
  <si>
    <t>Veszprémi Csillag úti Körzeti Óvoda</t>
  </si>
  <si>
    <t>Veszprémi Kastélykert Körzeti Óvoda</t>
  </si>
  <si>
    <t>Veszprémi Intézményi Szolgáltató Szervezet</t>
  </si>
  <si>
    <t>Nyári diákmunka</t>
  </si>
  <si>
    <t>Pannon Várszínház támogatás</t>
  </si>
  <si>
    <t>Beruházáshoz kapcsolódó működési kiadások:</t>
  </si>
  <si>
    <t>Végleges forgalomba helyezéshez szükséges ingatlanrendezés</t>
  </si>
  <si>
    <t>Út,-járda, parkoló építések tervezési munkái</t>
  </si>
  <si>
    <t>Erdész utca csapadékvízcsatorna tervezés, engedélyezés</t>
  </si>
  <si>
    <t>Észak - déli út II. szakasz - tervezési feladatok, kisajátítás, engedélyezés</t>
  </si>
  <si>
    <t>Felújításhoz kapcsolódó működési kiadások:</t>
  </si>
  <si>
    <t>Városi rendezvények</t>
  </si>
  <si>
    <t>SÉD folyóirat költségei</t>
  </si>
  <si>
    <t>M.J.V.SZ. tám. Kárpátalja megsegítésére</t>
  </si>
  <si>
    <t>ebből:  - Lélektér Alapítvány</t>
  </si>
  <si>
    <t xml:space="preserve">           - Tanulmányi ösztöndíj</t>
  </si>
  <si>
    <t xml:space="preserve">           - Fiatalok napja rendezvény</t>
  </si>
  <si>
    <t>Lakbértámogatás</t>
  </si>
  <si>
    <t>Települési támogatások</t>
  </si>
  <si>
    <t>Parkolók üzemeltetési költsége</t>
  </si>
  <si>
    <t>ebből: - Vár Ucca Műhely támogatása</t>
  </si>
  <si>
    <t xml:space="preserve">          - Veszprémi Szemle Várostörténeti Közhasznú Alapítvány Támogatása</t>
  </si>
  <si>
    <t>EÜ. Alapell. Intézm. - Cserhát ltp. 1. védőnői tanácsadó és gyermekorv.rendelő felújítása, kialakítása</t>
  </si>
  <si>
    <t>ebből:  - Rendkívüli támogatás</t>
  </si>
  <si>
    <t>Közfoglalkoztatottak és diákmunkások létszáma</t>
  </si>
  <si>
    <t>Egészségügyi feladatok ellátását szolgáló ingatlanrész bérleti díja és rezsiköltségek</t>
  </si>
  <si>
    <t>Szolgáltatások, közvetített szolgáltatások ellenértéke</t>
  </si>
  <si>
    <t>Tulajdonosi bevételek</t>
  </si>
  <si>
    <t>ÁFA bevételek és visszatérülések</t>
  </si>
  <si>
    <t xml:space="preserve">Egyéb működési  bevételek </t>
  </si>
  <si>
    <t>Helyi önkormányzatok működésének általános  és ágazati feladataihoz kapcsolódó támogatás</t>
  </si>
  <si>
    <t>Költségvetési hiány belső finanszírozására szolgáló bevételek</t>
  </si>
  <si>
    <t>Költségvetési hiány külső finanszírozására szolgáló bevételek</t>
  </si>
  <si>
    <t>Feladatellátás jellege</t>
  </si>
  <si>
    <t>Kőbánya u. útrekonstrukció</t>
  </si>
  <si>
    <t>TOP-6.5.1 Laczkó Dezső Múzeum energetikai megújítása, előkészítő, engedélyezési terv</t>
  </si>
  <si>
    <t>Egyéb városüzemeltetési feladatok</t>
  </si>
  <si>
    <t>VKSZ Zrt. által ellátott városüzemeltetési feladatok</t>
  </si>
  <si>
    <t>VKSZ Zrt. által ellátott intézményüzemeltetési feladatok</t>
  </si>
  <si>
    <t>Intézményi működtetők költsége</t>
  </si>
  <si>
    <t>Szenvedélybetegek ellátásának működési kiadásaihoz támogatás</t>
  </si>
  <si>
    <t>Költségvetési maradvány</t>
  </si>
  <si>
    <t>eredeti előirányzat</t>
  </si>
  <si>
    <t>(Hársfa Tagóvoda, Bóbita Óvoda)</t>
  </si>
  <si>
    <t>Veszprémi Bóbita Körzeti Óvoda</t>
  </si>
  <si>
    <t>Veszprémi Vadvirág Körzeti Óvoda</t>
  </si>
  <si>
    <t>Járásszékhely települési önkormányzatok által fenntartott múzeumok szakmai támogatása</t>
  </si>
  <si>
    <t>Önkormányzati bérlakások felújítása</t>
  </si>
  <si>
    <t>Bérlakások üzemeltetési költségei</t>
  </si>
  <si>
    <t>Veszprém Megyei Jogú Város Önkormányzata által</t>
  </si>
  <si>
    <t>Támogatás összege</t>
  </si>
  <si>
    <t>Veszprémi Ifjúsági Közalapítvány</t>
  </si>
  <si>
    <t>Veszprém Város Vegyeskara</t>
  </si>
  <si>
    <t>17</t>
  </si>
  <si>
    <t>Vagyongazdálkodással és ingatlanhasznosítással összefüggő fel. (Földhivatali eljárások, vagyonértékelés)</t>
  </si>
  <si>
    <t>Alapítvány / egyesület / civil szervezet / társadalmi szervezet megnevezése</t>
  </si>
  <si>
    <t>Gizella Múzeum támogatása</t>
  </si>
  <si>
    <t>Polgármester, Alpolgármesterek</t>
  </si>
  <si>
    <t>Helyi önkormányzatok általános működéséhez és ágazati feladataihoz kapcsolódó támogatások</t>
  </si>
  <si>
    <t>Változás %-a</t>
  </si>
  <si>
    <t>1. Helyi önkormányzatok működésének általános támogatása</t>
  </si>
  <si>
    <t>2. Települési önkormányzatok egyes köznevelési feladatainak támogatása</t>
  </si>
  <si>
    <t>Óvodapedagógusok és az óvodapedagógusok nevelő munkáját közvetlenül segítők bértámogatása</t>
  </si>
  <si>
    <t>Óvodaműködtetési támogatás</t>
  </si>
  <si>
    <t>Kiegészítő támogatás az óvodapedagógusok minősítéséből adódó többletkiadásokhoz</t>
  </si>
  <si>
    <t>Szociális étkeztetés</t>
  </si>
  <si>
    <t>Házi segítségnyújtás</t>
  </si>
  <si>
    <t>Időskorúak nappali intézményi ellátása</t>
  </si>
  <si>
    <t>Családok és hajléktalanok átmeneti elhelyezése</t>
  </si>
  <si>
    <t>Idősek átmeneti és tartós szociális szakosított ellátásának támogatása</t>
  </si>
  <si>
    <t>Gyermekétkeztetés támogatása</t>
  </si>
  <si>
    <t>Rászoruló gyermekek intézményen kívüli szünidei étkeztetése</t>
  </si>
  <si>
    <t>4. Települési önkormányzatok kulturális feladatainak támogatása</t>
  </si>
  <si>
    <t>Megyei hatáskörű városi múzeumok  feladatainak támogatása</t>
  </si>
  <si>
    <t>Megyei könyvtárak feladatainak támogatása</t>
  </si>
  <si>
    <t>Megyeszékhely megyei jogú városok közművelődési támogatása</t>
  </si>
  <si>
    <t>Megyei könyvtár kistelepülési könyvtári célú kiegészítő támogatása</t>
  </si>
  <si>
    <t>Zenekarok támogatása</t>
  </si>
  <si>
    <t>(Csillagvár Waldorf Tagóvoda, Vadvirág Óvoda)</t>
  </si>
  <si>
    <t>tájékoztató jelleggel az Áht. 24.§ (4) bekezdés b) pontja alapján</t>
  </si>
  <si>
    <t>Sorszám</t>
  </si>
  <si>
    <t>Játszóeszközök kopásból, elhasználódásból adódó karbantartása, felújítása</t>
  </si>
  <si>
    <t>Kittenberger K. Növény és Vadaspark Kht. működéséhez hozzájárulás</t>
  </si>
  <si>
    <t>Veszprém TV közszolgálati műsorok támogatása</t>
  </si>
  <si>
    <t>Swing-Swing Kft. (Hangvilla) szolgáltatási szerződés</t>
  </si>
  <si>
    <t>Veszprém Stromfeld A. u. 9/E. szám alatti ingatlanrész rendőrségi körzeti megbízotti iroda működtetése céljára</t>
  </si>
  <si>
    <t>Veszprém Egyetemi és Diák Atlétikai Club</t>
  </si>
  <si>
    <t>Veszprém Kosárlabda Korlátolt Felelősségű Társasággal együttműködési megállapodás (Veszprémi Egyetemi SC kosárlabda szakosztály)</t>
  </si>
  <si>
    <t>Futsal Club Veszprém</t>
  </si>
  <si>
    <t>Cuha Völgye Egyesületi tagdíj (5 Ft/lakos)</t>
  </si>
  <si>
    <t>ÖKOpolisz Klaszter tagdíj</t>
  </si>
  <si>
    <t>Balatoni Szövetség</t>
  </si>
  <si>
    <t>Megyei Jogú Városok Szövetsége tagdíj</t>
  </si>
  <si>
    <t>Máltai Szeretetszolgálat (ellátási szerződés)</t>
  </si>
  <si>
    <t>Központi orvosi ügyelet külső szolgáltatóval történő működtetése, az alapellátási központi orvosi ügyelet további működtetése</t>
  </si>
  <si>
    <t>Önkormányzati kiadások összesen:</t>
  </si>
  <si>
    <t>hiteltörlesztésének, hitelállományának és egyéb kötelezettségeinek alakulásáról</t>
  </si>
  <si>
    <t>Q</t>
  </si>
  <si>
    <t>Hitel megnevezése</t>
  </si>
  <si>
    <t>Hitelt nyújtó pénzintézet</t>
  </si>
  <si>
    <t>Hitelszerződés dátuma</t>
  </si>
  <si>
    <t>Lejárat idő- pontja</t>
  </si>
  <si>
    <t>Hitelkeret</t>
  </si>
  <si>
    <t>OTP Bank</t>
  </si>
  <si>
    <t>Beruházási hitel - SMO 2011.</t>
  </si>
  <si>
    <t>UniCredit Bank</t>
  </si>
  <si>
    <t xml:space="preserve">Beruházási hitel - Célhitel 2013. </t>
  </si>
  <si>
    <t>Beruházási hitel - MFB 2013.</t>
  </si>
  <si>
    <t>Takarékbank</t>
  </si>
  <si>
    <t>7.</t>
  </si>
  <si>
    <t>Pénzintézetekkel szemben fenálló kötelezettségek összesen</t>
  </si>
  <si>
    <t xml:space="preserve">                  </t>
  </si>
  <si>
    <t>tájékoztató jelleggel az Áht. 24. § (4) bekezdés c) pontja alapján</t>
  </si>
  <si>
    <t>Törvények és helyi rendeletek által nyújtott mentességek, kedvezmények</t>
  </si>
  <si>
    <t>Közvetett támogatás  ezer Forintban</t>
  </si>
  <si>
    <t>Adóhivatal:</t>
  </si>
  <si>
    <t>Ellátottak térítési díjának, illetve kártérítésének méltányossági alapon történő elengedésének összege</t>
  </si>
  <si>
    <t>Lakosság részére lakásépítéshez, lakásfelújításhoz nyújtott kölcsönök elengedésének összege</t>
  </si>
  <si>
    <t>Helyiségek, eszközök hasznosításából származó bevételből nyújtott kedvezmény, mentesség összege</t>
  </si>
  <si>
    <t>Egyéb nyújtott kedvezmény, vagy kölcsön elengedésének összege</t>
  </si>
  <si>
    <t>Veszprémi Bölcsődei és Egészségügyi Alapellátási Integrált Intézmény</t>
  </si>
  <si>
    <t xml:space="preserve"> - Gizella Kórus/Dowland Alapítvány</t>
  </si>
  <si>
    <t xml:space="preserve">Központi orvosi ügyelet </t>
  </si>
  <si>
    <t>TOP-6.2.1-15-VP1-2016-00002 Gyulafirátóti óvoda újjáépítése</t>
  </si>
  <si>
    <t>ELENA projekt előkészítési feladatokra konzorciumi hozzájárulás</t>
  </si>
  <si>
    <t>TOP-6.2.1-15-VPI-2016-00003 Egry úti óvoda újjáépítése</t>
  </si>
  <si>
    <t>TOP-6.3.3-15-VPI-2016-00001 Kertváros csapadékelvezető rendszer rekonstrukciója I. ütem</t>
  </si>
  <si>
    <t>TOP-6.2.1-15-VPI-2016-00001 Aprófalvi bölcsőde kapacitásbővítő átalakítása</t>
  </si>
  <si>
    <t xml:space="preserve">           - Veszprémi Ifjúsági Közalapítvány</t>
  </si>
  <si>
    <t>Mendelssohn Kamarazenekar</t>
  </si>
  <si>
    <t xml:space="preserve"> Európai Uniós forrásból finanszírozott támogatással megvalósuló programok, projektek bevételeiről és kiadásairól az Ávr. 24. § (1) bekezdés a.) és bd.) pontjainak megfelelően</t>
  </si>
  <si>
    <t>Program megnevezés</t>
  </si>
  <si>
    <t>Program megvalósításának ideje</t>
  </si>
  <si>
    <t>Saját erő</t>
  </si>
  <si>
    <t>EU támogatás összesen</t>
  </si>
  <si>
    <t>EU támogatás</t>
  </si>
  <si>
    <t>TOP.6.6.1-15-VP2-2016-00001 Egészségház építése</t>
  </si>
  <si>
    <t>TOP-6.6.2-15-VP1-2016-00001 Idős demensek nappali ellátójának kialakítása</t>
  </si>
  <si>
    <t>TOP-6.4-1-15-VP1-2016-00002 Fenntartható Város Mobilitási terv készítése Veszprém Megyei Jogú Város területére (SUMP)</t>
  </si>
  <si>
    <t xml:space="preserve">Család- és gyermekjóléti szolgálat </t>
  </si>
  <si>
    <t>Család- és gyermekjóléti központ</t>
  </si>
  <si>
    <t>Fogyatékos személyek nappali intézményi ellátása</t>
  </si>
  <si>
    <t>Demens személyek nappali intézményi ellátása</t>
  </si>
  <si>
    <t>Bölcsődei, mini bölcsődei ellátás (kedvezményes étk. támog. nélkül)</t>
  </si>
  <si>
    <t>3. Települési önkormányzatok szociális, gyermekjóléti és gyermek-étkeztetési feladatainak támogatása</t>
  </si>
  <si>
    <t>VMJV Önkormányzat</t>
  </si>
  <si>
    <t xml:space="preserve">Veszprémi Bóbita Körzeti Óvoda </t>
  </si>
  <si>
    <r>
      <t>Ebből</t>
    </r>
    <r>
      <rPr>
        <i/>
        <sz val="10"/>
        <rFont val="Palatino Linotype"/>
        <family val="1"/>
        <charset val="238"/>
      </rPr>
      <t>: költségvetési támogatás</t>
    </r>
  </si>
  <si>
    <t>Veszprémi Vadvirág Körzeti Óvoda                                                (Csillagvár Waldorf Tagóvoda, Vadvirág Óvoda)</t>
  </si>
  <si>
    <t>Veszprémi Kastélykert Körzeti Óvoda                                       (Kastélykert Óvoda, Ficánka Óvoda)</t>
  </si>
  <si>
    <t xml:space="preserve">B </t>
  </si>
  <si>
    <t>Projekt forrás összetétel</t>
  </si>
  <si>
    <t>Projekt költség megbontás</t>
  </si>
  <si>
    <t>2016. évi            tény</t>
  </si>
  <si>
    <t>2016. évi                tény</t>
  </si>
  <si>
    <t>1-16</t>
  </si>
  <si>
    <t>Tőke-törlesztés 2020</t>
  </si>
  <si>
    <t>Kamat 2020</t>
  </si>
  <si>
    <t>Rövid lejáratú hitel (1500M Ft)</t>
  </si>
  <si>
    <t>Beruházási hitel  - MFB 2014</t>
  </si>
  <si>
    <t>Beruházási hitel - Célhitel 2014</t>
  </si>
  <si>
    <t>Polgármesteri Hivatal épületeinek takarítási feladatainak ellátása</t>
  </si>
  <si>
    <t>a Veszprém Megyei Jogú Város Önkormányzata Támogatási Szerződéssel rendelkező</t>
  </si>
  <si>
    <t>Erdész u.-i parkoló építés</t>
  </si>
  <si>
    <t>Orgona utca átépítésének kivitelezése</t>
  </si>
  <si>
    <t>Petőfi Sándor utca rekonstrukciója</t>
  </si>
  <si>
    <t>Stromfeld Aurél utca akadálymentesítés</t>
  </si>
  <si>
    <t>Eü. Alapellátás</t>
  </si>
  <si>
    <t>Megyei Könyvtár kistelepülési könyvtári és közművelődési célú kiegészítő állami támogatás</t>
  </si>
  <si>
    <t>Gépkocsi gumiabroncs beszerzés</t>
  </si>
  <si>
    <t>Mihály-napi búcsú</t>
  </si>
  <si>
    <t>Stadion üzemeltetése</t>
  </si>
  <si>
    <t>Városi ifjúsági keret</t>
  </si>
  <si>
    <t>Rendszeres gyermekvédelmi kedvezmény/pénzbeli ellátás</t>
  </si>
  <si>
    <t>Szünidei gyermekétkeztetés</t>
  </si>
  <si>
    <t xml:space="preserve">          - Lakásfenntartási támogatás </t>
  </si>
  <si>
    <t xml:space="preserve">          - Albérleti támogatás</t>
  </si>
  <si>
    <t xml:space="preserve">          - Temetési támogatás</t>
  </si>
  <si>
    <t xml:space="preserve">          - Térítési díj</t>
  </si>
  <si>
    <t xml:space="preserve">          - Gyógyszertámogatás</t>
  </si>
  <si>
    <t xml:space="preserve">         - Adósságcsökkentési támogatás</t>
  </si>
  <si>
    <t xml:space="preserve">         - Szünidei gyermekétkeztetés</t>
  </si>
  <si>
    <t>Nevelési szolgáltatás</t>
  </si>
  <si>
    <t>Német Nemzetiségi Önk. helységének bérleti díja</t>
  </si>
  <si>
    <t>Szolidaritási hozzájárulás</t>
  </si>
  <si>
    <t xml:space="preserve">Észak-Nyugati Közlekedési Központ Zrt. Helyi közösségi közlekedés közszolgáltatás és veszteségkiegyenlítés </t>
  </si>
  <si>
    <t>Önkormányzati tulajdonú ingatlanok művelési ág változásával járó költségek (Földhivatal)</t>
  </si>
  <si>
    <t>Közmű alaptérkép változásvezetés</t>
  </si>
  <si>
    <t>Térinformatikai rendszer adatfeltöltés, fakataszter</t>
  </si>
  <si>
    <t>Óvodai csoportok átmeneti elhelyezését szolgáló konténerek bérleti díja</t>
  </si>
  <si>
    <t>TOP-6.8.2-15-VPI-2016-00001 Helyi foglalkoztatási együttműködések a megyei jogú város területén és várostérségben, foglalkoztatási együttműködés a veszprémi járás területén</t>
  </si>
  <si>
    <t>TOP-6.4.1-15-VP1-2016-00001"Közlekedésbiztonsági és kerékpárosbarát fejlesztések megvalósulása Veszprém város területén"</t>
  </si>
  <si>
    <t>Szentkirályszabadja - Veszprém Reptér tulajdonjogának megszerzéséhez kapcsolódó per- és egyéb költség</t>
  </si>
  <si>
    <t>DAT térképfrissítés, földkönyv, közműnyilvántartás, GPS</t>
  </si>
  <si>
    <t>Rendezési terv felülvizsgálat megjelenítése a térinformatikai rendszerben</t>
  </si>
  <si>
    <t>Hiány finanszírozása belső finanszírozásra szolgáló költségvetési bevétel összegével</t>
  </si>
  <si>
    <t>Hiány finanszírozása külső finanszírozásra szolgáló költségvetési bevétel összegével</t>
  </si>
  <si>
    <t>DTP1-1-311-2.2 Interreg Duna Nemzetközi Program Networld*</t>
  </si>
  <si>
    <t>Országgyűlési képviselők választása 2018.</t>
  </si>
  <si>
    <t>KÖFOP-1.2.1-VEKOP-16-2017-01268, Veszprém Megyei Jogú Város Önkormányzata ASP Központhoz való csatlakozása</t>
  </si>
  <si>
    <t>Csillagvár Waldorf Tagóvoda</t>
  </si>
  <si>
    <t>Hársfa Tagóvoda</t>
  </si>
  <si>
    <t>Nárcisz Tagóvoda</t>
  </si>
  <si>
    <t>Cholnoky Jenő Ltp. Tagóvoda</t>
  </si>
  <si>
    <t>Ficánka Tagóvoda</t>
  </si>
  <si>
    <t>Tárgyi eszközök beszerzésére</t>
  </si>
  <si>
    <t>Hóvirág Bölcsőde</t>
  </si>
  <si>
    <t>Vackor Bölcsőde</t>
  </si>
  <si>
    <t>Aprófalvi Bölcsőde</t>
  </si>
  <si>
    <t>Módszertani Bölcsőde</t>
  </si>
  <si>
    <t>Fogorvosi körzeteknek működési hozzájárulás</t>
  </si>
  <si>
    <t>Fogorvosi körzetek részére pályázati alap</t>
  </si>
  <si>
    <t>Paktum Iroda működéséhez hozzájárulás</t>
  </si>
  <si>
    <t>Magyar-Lengyel Barátság napja</t>
  </si>
  <si>
    <t>Állatmenhelyek támogatása</t>
  </si>
  <si>
    <t>Helikoni Ünnepségek Keszthelyen (diákok nevezési díjai)</t>
  </si>
  <si>
    <t>Hatósági engedélyek beszerzése, hatályban tartása</t>
  </si>
  <si>
    <t>Közlekedési Igazgatóság költségei</t>
  </si>
  <si>
    <t>"Városom Veszprém", "Virágos Magyarországért" és "Entente Florale" verseny szervezési, előkészítési, lebonyolítási költségei</t>
  </si>
  <si>
    <t>Repülőtér üzemeltetése</t>
  </si>
  <si>
    <t>Musica Sacra Alapítvány</t>
  </si>
  <si>
    <t>Veszprémi Deák Ferenc Ált. Iskoláért Közhasznú Alapítvány</t>
  </si>
  <si>
    <t>Fúvós Kultúráért Alapítvány támogatása</t>
  </si>
  <si>
    <t>Balaton Vívóklub</t>
  </si>
  <si>
    <t>DTP1-1-311-2.2 Interreg Duna Nemzetközi Program Netwold</t>
  </si>
  <si>
    <t>TOP 6.1.5-16-VPI-2017-00001 Északi Iparterület Közlekedésfejlesztése</t>
  </si>
  <si>
    <t>MVP Veszprémi Petőfi Színház komplex fejlesztése</t>
  </si>
  <si>
    <t>TOP-6.3.3-15 Csapadékvíz-elvezető rendszer rekonstrukciója I. ütem - Dózsaváros előkészítő, engedélyezési, kiviteli és tender terv</t>
  </si>
  <si>
    <t>Táncsics utcai rendelő felújítása</t>
  </si>
  <si>
    <t>Egészségház közműfejlesztési költségek</t>
  </si>
  <si>
    <t>Védőnői és háziorvosi körzetek költöztetési költsége</t>
  </si>
  <si>
    <t>Állatkert építési engedélyezési tervek</t>
  </si>
  <si>
    <t>Gyulafirátót 10089/4 hrsz-ú ingatlan közműfejlesztési költségei</t>
  </si>
  <si>
    <t>Veszprémi Dózsa György Német Nemzetiségi Nyelvoktató Általános Iskola - nyílászáró csere 2 tanteremben</t>
  </si>
  <si>
    <t>TOP-6.3.3-16-VP1-2017-00001 Dózsaváros, Pápai úti csapadékvíz-elvezető rendszer fejlesztése</t>
  </si>
  <si>
    <t>TOP-6.6.1-16-VP1-2017-00001 Gyulafirátóti rendelő felújítása</t>
  </si>
  <si>
    <t>TOP – 6.3.2 Zöldváros kialakítása (Kulturális negyed - Színházkert, Megyeház tér, Erzsébet liget, Erzsébet sétány – fejlesztése)</t>
  </si>
  <si>
    <t>EFOP-1.9.9-17-2017-00004 Még jobb kezekben - Veszprémben</t>
  </si>
  <si>
    <t>Veszprém, Pápai út 37. szám alatti ingatlanon munkásszállás kialakítása</t>
  </si>
  <si>
    <t>MVP Kittenberger Kálmán Növény- és Vadaspark fejlesztése és bővítése</t>
  </si>
  <si>
    <t>MVP Veszprémi Zeneművészeti Szakgimnázium és Alapfokú Művészeti Iskola intézményegysége, a Csermák Antal Zeneiskola felújításának megvalósítása</t>
  </si>
  <si>
    <t>A Várlift építészeti tervpályázat lebonyolítása</t>
  </si>
  <si>
    <t>Veszprémi Torna Club részére könnyűszerkezetes sportlétesítmény építése</t>
  </si>
  <si>
    <t>Gyulafirátót Németh u. útrekonstrukció I. ütem csapadékvíz elvezetés</t>
  </si>
  <si>
    <t>Veszprém Foci Centrum Utánpótlás SE</t>
  </si>
  <si>
    <t>Veszprémi Egyetemi és Diák Atlétikai Club</t>
  </si>
  <si>
    <t>Török I.u. - Aulich összekötés</t>
  </si>
  <si>
    <t>Máltai Szeretetszolgálat</t>
  </si>
  <si>
    <t>Veszprémi Labdarúgó és Sportszervező Korlátolt Felelősségű Társaság támogatása</t>
  </si>
  <si>
    <t>Fogorvosok működési hozzájárulás</t>
  </si>
  <si>
    <t>Fogorvosi körzet pályázati alap</t>
  </si>
  <si>
    <t>Kulturális kínálat bővítés/ amatőr művészeti csoportok támogatása</t>
  </si>
  <si>
    <t>Tőke-törlesztés 2021</t>
  </si>
  <si>
    <t>Kamat 2021</t>
  </si>
  <si>
    <t>Hiszek Benned Sport Program</t>
  </si>
  <si>
    <t>Veszprémi Kistérségi Társulásnak pénzeszköz átadás (Egyesített Szoc.Int.)</t>
  </si>
  <si>
    <t>Közutak, hidak fenntartása</t>
  </si>
  <si>
    <t>2019. év</t>
  </si>
  <si>
    <t xml:space="preserve"> - Viziközmű fejlesztés</t>
  </si>
  <si>
    <t>Művészetek Háza Veszprém Művelődési Ház és Kiállítóhely</t>
  </si>
  <si>
    <t>Kabóca Bábszínház</t>
  </si>
  <si>
    <r>
      <rPr>
        <b/>
        <sz val="10"/>
        <rFont val="Palatino Linotype"/>
        <family val="1"/>
        <charset val="238"/>
      </rPr>
      <t>EFOP-1.9.9-17-2017-00004</t>
    </r>
    <r>
      <rPr>
        <sz val="10"/>
        <rFont val="Palatino Linotype"/>
        <family val="1"/>
        <charset val="238"/>
      </rPr>
      <t xml:space="preserve"> Még jobb kezekben - Veszprémben</t>
    </r>
  </si>
  <si>
    <r>
      <rPr>
        <b/>
        <sz val="10"/>
        <rFont val="Palatino Linotype"/>
        <family val="1"/>
        <charset val="238"/>
      </rPr>
      <t>EFOP-4.1.9-16-2017-00014</t>
    </r>
    <r>
      <rPr>
        <sz val="10"/>
        <rFont val="Palatino Linotype"/>
        <family val="1"/>
        <charset val="238"/>
      </rPr>
      <t xml:space="preserve"> A múzeumi és levéltári intézményrendszer tanulás segítő infrastrukturális fejlesztései -Laczkó Dezső Múzeumban oktatótermek és kiszolgáló helyiségek kialakítása</t>
    </r>
  </si>
  <si>
    <r>
      <rPr>
        <b/>
        <sz val="10"/>
        <rFont val="Palatino Linotype"/>
        <family val="1"/>
        <charset val="238"/>
      </rPr>
      <t>EFOP-3.3.2-16-2016-00107</t>
    </r>
    <r>
      <rPr>
        <sz val="10"/>
        <rFont val="Palatino Linotype"/>
        <family val="1"/>
        <charset val="238"/>
      </rPr>
      <t xml:space="preserve"> Kulturális intézmények a köznevelés eredményességéért</t>
    </r>
  </si>
  <si>
    <t xml:space="preserve">Kabóca Bábszínház </t>
  </si>
  <si>
    <t>2017. évi tény</t>
  </si>
  <si>
    <t>TOP-6.4.1-16-VP1-17-00001 Kerékpárút építése Alsóörs - Felsőörs irányába</t>
  </si>
  <si>
    <t>TOP-6.5.1-16-VP1-2017-00001 Veszprém Városra vonatkozó fenntartható energia és klíma akcióterv (SECAP) elkészítése</t>
  </si>
  <si>
    <t>EFOP-2.4.2-17-2018-00012 Szociális bérlakások felújítása Veszprémben</t>
  </si>
  <si>
    <t>Időközi helyi önkormányzati képviselő választás 2018.</t>
  </si>
  <si>
    <t>TOP-6.6.1-16-VP1-2017-00002 Kádártai rendelő felújítása</t>
  </si>
  <si>
    <t>601835-CITIZ-1-2018-1-HU-CITIZ-NT Reveal YouropEaN Cultural Heritage/Tárd fel  európai kulturális örökségedet (ENriCH)</t>
  </si>
  <si>
    <t>Mentorprogram pályakezdők részre, együttműködési megállapodás az Életet Segítő Alapítvánnyal az 57/2018. (III.29.) határozat alapján</t>
  </si>
  <si>
    <t>TOP-6.4.1-15-VP1-2016-00001 Közlekedésbiztonsági és kerékpárosbarát fejlesztések megvalósulása Veszprém város területén</t>
  </si>
  <si>
    <t>** Ezen projektek esetében a 2018. évi EU támogatás negatív előirányzata az EU támogatás visszautalását jelenti.</t>
  </si>
  <si>
    <t>Veszprémi Családsegítő és Gyermekjóléti Integrált Intézmény</t>
  </si>
  <si>
    <t>Agóra Veszprém Kulturális Központ</t>
  </si>
  <si>
    <t xml:space="preserve">Agóra Veszprém Kulturális Központ </t>
  </si>
  <si>
    <t>1-17</t>
  </si>
  <si>
    <t>18</t>
  </si>
  <si>
    <t>Nemzetiségi pótlék</t>
  </si>
  <si>
    <t>Óvodai és iskolaiszociális segítő tevékenység támogatása</t>
  </si>
  <si>
    <t>Napsugár Bölcsőde</t>
  </si>
  <si>
    <t>TOP-6.4.1-16-VP1-2018-00002 Kerékpárút építése Márkó-Bánd települések irányába</t>
  </si>
  <si>
    <t xml:space="preserve">          - 10 éves kiadvány</t>
  </si>
  <si>
    <t>Veszprém Város Vegyeskar utánpótlás/Dúdoló Kórus</t>
  </si>
  <si>
    <t>Oktatási intézmények támogatása</t>
  </si>
  <si>
    <t>Téli rezsicsökkentésben nem részesültek egyszeri támogatása</t>
  </si>
  <si>
    <t>V-Busz Kft. Szolgáltatás vásárlás</t>
  </si>
  <si>
    <t>Környezet terhelés vizsgálat K-Ny-i főtengely I. ütem</t>
  </si>
  <si>
    <t>VESZOL - Veszprém, Pápai u. 37. sz. munkásszálló működetési feladatai</t>
  </si>
  <si>
    <t>MVP Veszprémi Zeneművészeti Szakgimnázium és Alapfokú Művészeti Iskola intézményegysége, a Csermák Antal Zeneiskola felújításához tartozó költöztetési feladatok elvégzése</t>
  </si>
  <si>
    <t>TOP orvosi rendelők felújításához tartozó költöztetési munkák</t>
  </si>
  <si>
    <t>Felújításra kerülő bölcsődék költöztetési, eszközszállítási feladatai</t>
  </si>
  <si>
    <t xml:space="preserve">EFOP-1.9.9-17-2017-00004 Még jobb kezekben - Veszprémben </t>
  </si>
  <si>
    <t>V-Busz Kft. Cégalapítás költségei</t>
  </si>
  <si>
    <t>Digitális Kódfejtő Alapítvány támogatása/Talentum Centrum Tehetséggondozó Alapítvány</t>
  </si>
  <si>
    <t>TOP-71.1. Helyi közösségi kezdeményezések (CLLD kulcsprojekt előkészítése)</t>
  </si>
  <si>
    <t>TOP-6.9.2 A helyi identitás és koházió erősítése</t>
  </si>
  <si>
    <t>Erasmus+K3 SporTown</t>
  </si>
  <si>
    <t>Gyulafirátóti rendelő felújítása költöztetés)</t>
  </si>
  <si>
    <t>Kádártai rendelő felújítása - Posta költöztetés</t>
  </si>
  <si>
    <t>9.sz. választókerületi járdaépítések</t>
  </si>
  <si>
    <t>A "Helyi foglalkoztatási együttműködések a megyei jogú város területén és várostérségben, foglalkoztatási együttműködés a veszprémi járás területén" projekt közbeszerzési eljárásával kapcsolatos fizetési kötelezettség</t>
  </si>
  <si>
    <t>Infrastruktúra fejlesztési feladatokhoz kapcsolódó kiadások</t>
  </si>
  <si>
    <t>Belváros komplett gazdasági, szociális, épített örökségvédelmi rehabilitációja és városfejlesztési stratégia elkészítése KDOP-3.1.1/D-2010-0001</t>
  </si>
  <si>
    <t>TOP-6.6.1-16-VP1 Jutasi u. 59. sz. alatti rendelő megújítása</t>
  </si>
  <si>
    <t>Jutasi u. 59. sz. alatti rendelő felújításához - költöztetés</t>
  </si>
  <si>
    <t>TOP 6.5.1-16 Önkormányzati épületek energetikai korszerűsítése</t>
  </si>
  <si>
    <t>MVP "Veszprémi új Városi Jégcsarnok építése"</t>
  </si>
  <si>
    <t>Tornászgyakorló kivitelezéséhez kapcsolódó közbeszerzés</t>
  </si>
  <si>
    <t>Veszprém, Óvári Ferenc u. 1. volt Zeneiskolában kiállításhoz szükséges költségekre</t>
  </si>
  <si>
    <t>Közbeszerzési szakértelem beszerzése (sportmarketing)</t>
  </si>
  <si>
    <t>Tagsági díj Balatoni Szövetség</t>
  </si>
  <si>
    <t>Felsőörs raktárbázis Felsőörs Szabadság tér 14 érintésvédelmi felülvizsgálata hatósági kötelezettség</t>
  </si>
  <si>
    <t>GINOP - 7.1.9-17-2018-00023 Veszprém kulturális turisztikai kínálatának fejlesztése</t>
  </si>
  <si>
    <t>Barátság park sportfejlesztések előkészítése, közmű ellátása</t>
  </si>
  <si>
    <t>Játszótérépítések</t>
  </si>
  <si>
    <t>Boglárka u.-Lóczy u. gyalogátkelő</t>
  </si>
  <si>
    <t>Festő utca rekonstrukciója, tervezés</t>
  </si>
  <si>
    <t>Polgármesteri Hivatal felújítási munkák</t>
  </si>
  <si>
    <t>Magyar Építőipari Múzeum Szent István u. épület fertőtlenítése és felújítása</t>
  </si>
  <si>
    <t>Védett sírok felújítása az Alsóvárosi temetőben</t>
  </si>
  <si>
    <t>Szilágyi Táncegyüttes Alapítvány</t>
  </si>
  <si>
    <t>Cholnoky Jazzbalettért Alapítvány</t>
  </si>
  <si>
    <t>Szent Miklós szeg környezetének fejlesztése, építészeti ötletpályázat</t>
  </si>
  <si>
    <t>Befektetés ösztönzési kiadványök (részvétel a Renexpo ingatlanfejlesztési vásáron, marketingakciók)</t>
  </si>
  <si>
    <t>Egyesített Szoc.Int. - Hóvirág utcai II.sz. Gondozási Központ 3.sz. Idősek Nappali Intézménye (9.vk. támogatása)</t>
  </si>
  <si>
    <t>Brusznyai Árpád Alapítvány támogatása</t>
  </si>
  <si>
    <t>Működési célú tartalékok</t>
  </si>
  <si>
    <t>Felhalmozási célú tartalékok</t>
  </si>
  <si>
    <t>Működési célú céltartalékok</t>
  </si>
  <si>
    <t>Felhalmozási célú céltartalékok</t>
  </si>
  <si>
    <t>I. Adósságot keletkeztető ügyletek összesen</t>
  </si>
  <si>
    <t>R</t>
  </si>
  <si>
    <t>S</t>
  </si>
  <si>
    <t>Tőke-törlesztés 2022</t>
  </si>
  <si>
    <t>Kamat 2022</t>
  </si>
  <si>
    <t>8.</t>
  </si>
  <si>
    <t>TOP-6.2.1-16-VP1-2018-00002 Egry úti óvoda újjáépítése</t>
  </si>
  <si>
    <t xml:space="preserve">TOP 6.5.1-16 Önkormányzati épületek energetikai korszerűsítése </t>
  </si>
  <si>
    <t>URBACT Innova Tor</t>
  </si>
  <si>
    <t>Projekt teljes költség</t>
  </si>
  <si>
    <t>2023. évi előirányzat</t>
  </si>
  <si>
    <t xml:space="preserve">Rekultivációt megelőző telephely fenntartási költség </t>
  </si>
  <si>
    <t>TOP-6.6.1-16-VP1-2018-00006 - Cserhát ltp.1.sz.alatti gyermekorvosi rendelők  felújítása</t>
  </si>
  <si>
    <t>TOP-6.5.1-16-VP1-2018-00005 - Március 15. utcai Sportcsarnok és Uszoda energetikai megújítása</t>
  </si>
  <si>
    <t>TOP-6.5.1-16-VP1-2018-00002 Völgyikút utca 2. szám alatti épület energetikai megújítása</t>
  </si>
  <si>
    <t>TOP-6.2.1-16-VP1-2018-00001  A Veszprémi Bölcsődei és Egészségügyi Alapellátási Integrált Intézmény Módszertani Bölcsődéje megújítása, illetve bölcsődei eszközbeszerzések</t>
  </si>
  <si>
    <t xml:space="preserve"> - Beruházási kiadásokra képzett céltartalék                     </t>
  </si>
  <si>
    <t xml:space="preserve"> - Intézményi beruházáshoz kapcsolódó létszámbővítés</t>
  </si>
  <si>
    <t>Hitel összege 2020. év</t>
  </si>
  <si>
    <t xml:space="preserve">          - Beiskolázási támogatás</t>
  </si>
  <si>
    <t>Magyarország gazdasági stabilitásáról szóló 2011. évi CXCIV. törvény szerint Kormányengedélyhez kötött, adósságot keletkeztető ügylet</t>
  </si>
  <si>
    <t>TOP-6.2.1-16-VP1-2018-00001  A Veszprémi Bölcsődei és Egészségügyi Alapellátási Integrált Intézmény Módszertani Bölcsődéje megújítása, illetve bölcsődei eszközbeszerzések (saját forrás)</t>
  </si>
  <si>
    <t>TOP-6.2.1-16-VP1-2018-00002 Egry úti óvoda újjáépítése (saját forrás)</t>
  </si>
  <si>
    <t>TOP-6.5.1-16-VP1-2018-00002 Völgyikút utca 2. szám alatti épület energetikai megújítása (saját forrás)</t>
  </si>
  <si>
    <t>2020. év</t>
  </si>
  <si>
    <t>2021. év</t>
  </si>
  <si>
    <t>2022. év</t>
  </si>
  <si>
    <t>Több éves kihatással járó döntések számszerűsítése éves bontásban</t>
  </si>
  <si>
    <t>2018. évi           tény</t>
  </si>
  <si>
    <t>2019. évi eredeti előirányzat</t>
  </si>
  <si>
    <t>2020. évi  előirányzat</t>
  </si>
  <si>
    <t>2018. évi tény</t>
  </si>
  <si>
    <t>2020. évi előirányzat</t>
  </si>
  <si>
    <t>2020. évi kiadási előirányzat</t>
  </si>
  <si>
    <t>2020. évi bevételi előirányzat</t>
  </si>
  <si>
    <t>VMJV Polgármesteri Hivatal összesen:</t>
  </si>
  <si>
    <t>8. melléklet a .../2020. (…….) önkormányzati rendelethez</t>
  </si>
  <si>
    <t>Veszprémi Bóbita Körzeti Óvoda                                                                    (Hársfa Tagóvoda, Bóbita Óvoda)</t>
  </si>
  <si>
    <t>Veszprémi Ringató Körzeti Óvoda                                                              (Ringató Óvoda, Erdei Tagóvoda, Kuckó Tagóvoda)</t>
  </si>
  <si>
    <t>Veszprémi Egry úti Körzeti Óvoda                                                                          (Egry ltp. Óvoda, Nárcisz Tagóvoda)</t>
  </si>
  <si>
    <t>Veszprémi Csillag úti Körzeti Óvoda                                                                   (Csillag úti Óvoda, Cholnoky ltp. Óvoda)</t>
  </si>
  <si>
    <t>Teljesítés                      2018.          12.31.-ig</t>
  </si>
  <si>
    <t>2020. év utáni javaslat</t>
  </si>
  <si>
    <t>Munk.a. terh. Jár. És szoc.hj.adó</t>
  </si>
  <si>
    <t>TOP-6.3.2-16-VP1-2018-00001 Kulturális negyed</t>
  </si>
  <si>
    <t>Egyéb működési célú kiadások</t>
  </si>
  <si>
    <t>Teljes költség*</t>
  </si>
  <si>
    <t>* Az intézményeknél kimutatott adatokat is tartalmazza</t>
  </si>
  <si>
    <t>Működési költségvetési                                                                         kiadások</t>
  </si>
  <si>
    <r>
      <rPr>
        <b/>
        <sz val="10"/>
        <rFont val="Palatino Linotype"/>
        <family val="1"/>
        <charset val="238"/>
      </rPr>
      <t>TOP – 6.9.2 -16-VP1-2018-00001</t>
    </r>
    <r>
      <rPr>
        <sz val="10"/>
        <rFont val="Palatino Linotype"/>
        <family val="1"/>
        <charset val="238"/>
      </rPr>
      <t xml:space="preserve"> Közösségfejlesztés Veszprém város településrészein</t>
    </r>
  </si>
  <si>
    <t>Európa Parlament tagjainak 2019. évi választása</t>
  </si>
  <si>
    <t>Helyi és nemzetiségi önkormányzati képviselők 2019. évi választása</t>
  </si>
  <si>
    <t>Teljesítés                      2018.          12.31.-ig*</t>
  </si>
  <si>
    <t>2018. évi              tény</t>
  </si>
  <si>
    <t>alakulása 2019. és 2020. évben</t>
  </si>
  <si>
    <t>2020/2019.</t>
  </si>
  <si>
    <t xml:space="preserve"> - Működési kiadásokra képzett céltartalék</t>
  </si>
  <si>
    <t xml:space="preserve"> - Adóbevételekkel szembeni kötelezettség</t>
  </si>
  <si>
    <t>Óvodák összesen:</t>
  </si>
  <si>
    <t>Egészségügyi és szociális intézmények összesen:</t>
  </si>
  <si>
    <t>Kulturális és közművelődési intézmények összesen:</t>
  </si>
  <si>
    <t>TOP-6.6.1-16-VP1-2018-0003 "Jutasi u. 59. sz. alatti orvosi rendelők megújítása"</t>
  </si>
  <si>
    <t xml:space="preserve">Előir. csop. </t>
  </si>
  <si>
    <t>Kie-melt előir.</t>
  </si>
  <si>
    <t xml:space="preserve">Kie-melt előir. </t>
  </si>
  <si>
    <t xml:space="preserve"> Erdei és Kuckó Tagóvoda</t>
  </si>
  <si>
    <t>Önkormányzati működési kiadások</t>
  </si>
  <si>
    <t>10. melléklet a .../2020. (…….) önkormányzati rendelethez</t>
  </si>
  <si>
    <t>INTÉZMÉNYEK BERUHÁZÁSI KIADÁSAI ÖSSZESEN:</t>
  </si>
  <si>
    <t>VMJV  Polgármesteri Hivatal beruházási kiadásai összesen:</t>
  </si>
  <si>
    <t>13. melléklet a .../2020. (…….) önkormányzati rendelethez</t>
  </si>
  <si>
    <t>2020. évi engedélyezett létszám</t>
  </si>
  <si>
    <t>2020.</t>
  </si>
  <si>
    <t>2021-től</t>
  </si>
  <si>
    <t>a 2020. évi közvetett támogatásokról</t>
  </si>
  <si>
    <t>Erasmus +K3 SporTown</t>
  </si>
  <si>
    <t>TOP-6.5.1-16-VP1-2018-00004 Aprófalvi bölcsőde energetikai korszerűsítése</t>
  </si>
  <si>
    <t>TOP-6.6.1-16-VP1-2017-00002 Kádártai rendelő kialakítása</t>
  </si>
  <si>
    <t>TOP-6.5.1-16-VP1-2018-00006 Módszertani bölcsőde energetikai megújítása</t>
  </si>
  <si>
    <t>TOP-6.6.1-16-VP1-2018-00004 Vilonyai utca 2/B szám alatti orvosi rendelő megújítása</t>
  </si>
  <si>
    <t>TOP-6.6.1-16-VP1-2018-00005 Ördögárok u. 5. szám alatti orvosi rendelő megújítása</t>
  </si>
  <si>
    <t>TOP-6.1.5-16-VP1-2017-00001 Északi Iparterület Közlekedés-fejlesztése</t>
  </si>
  <si>
    <t>TOP-6.4.1-16-VP1-2018-00002 Márkó-Bánd települések irányába kerékpárút építése</t>
  </si>
  <si>
    <t>TOP-6.4.1-16 Kerékpárút és kerékpárforgalmi létesítmények építése Veszprém-Gyulafirátót</t>
  </si>
  <si>
    <t>KEHOP-5.4.1-16-2016-00142 "Veszprém, az energiatudatos város"</t>
  </si>
  <si>
    <t xml:space="preserve">TOP-7.1.1-16-H-ERFA-2019-00078 Szent Miklós-szegi Kálvária domb és környékének infrastrukturális felújítása és funkcióbővítése </t>
  </si>
  <si>
    <t xml:space="preserve">Urbact Innova-tor </t>
  </si>
  <si>
    <t>"Creative Impulses for the Cities" DTP Interreg projekt</t>
  </si>
  <si>
    <t>"Scholl of Participation" - Creative Europe projekt</t>
  </si>
  <si>
    <t>"Ister DTP Interreg Projekt</t>
  </si>
  <si>
    <t>TOP-7.1.1-16-H-ERFA-2019-00372 Barátságparki csalánkert</t>
  </si>
  <si>
    <t>KEHOP-1.2.1-18-2019-00247 Veszprém MJV klímastratégia kidolgozása és klímatudatosságot erősítő, szemléletformáló programok megvalósítása</t>
  </si>
  <si>
    <t>Urban Innovative Actions Európai Uniós közösségi kezdeményezés</t>
  </si>
  <si>
    <t>TOP-6.9 "Közösségfejlesztés Veszprém város településrészein</t>
  </si>
  <si>
    <t>Erasmus+ KA1 " Media of the Future</t>
  </si>
  <si>
    <t>TOP-6.5-1-19 Laczkó Dezső Múzeum energetikai megújítása</t>
  </si>
  <si>
    <t>KEHOP-5.2.2 VSZC Ipari Szakgimnázium energetikai fejlesztése</t>
  </si>
  <si>
    <t>Iparos Park</t>
  </si>
  <si>
    <t>Veszprémi Petőfi Színház komplex fejlesztése</t>
  </si>
  <si>
    <t>Kittenberger Kálmán Növény- és Vadaspark fejlesztése és bővítése</t>
  </si>
  <si>
    <t>Veszprémi Zeneművészeti Szakgimnázium és Alapfokú Művészeti Iskola intézményegysége, a Csermák Antal Zeneiskola felújításának megvalósítása</t>
  </si>
  <si>
    <t>Veszprémi új Városi Jégcsarnok építése</t>
  </si>
  <si>
    <t>MVP feladatok előkészítés költségei</t>
  </si>
  <si>
    <t>Európa Kulturális Fővárosa I. ütem - nem elszámolható költségek</t>
  </si>
  <si>
    <t>Karácsonyi köztéri dekorációk beszerzése</t>
  </si>
  <si>
    <t>Kertészeti felújítások</t>
  </si>
  <si>
    <t>Játszótér építése</t>
  </si>
  <si>
    <t>Csikász u., Egyetem u., Stadion u., Hóvirág u. tömbbelső</t>
  </si>
  <si>
    <t>Hősök kapuja vizesedési gondok</t>
  </si>
  <si>
    <t>Intézményi játszóeszközök</t>
  </si>
  <si>
    <t>Térfigyelő kamerák</t>
  </si>
  <si>
    <t>Agóra parkoló, Halle u.</t>
  </si>
  <si>
    <t>TÁMOP-3.1.3-11/2-2012-0061 "Természettudományos közoktatási laboratórium kialakítása a veszprémi Ipari Szakközépiskola és Gimnáziumban"</t>
  </si>
  <si>
    <t>Kreatív Európa Program "Az együttműködés iskolája" projekt önerő</t>
  </si>
  <si>
    <t>Beruházások közműdíjai</t>
  </si>
  <si>
    <t>Leégett párizsi Notre Dame Katedrális támogatása</t>
  </si>
  <si>
    <t>Illegális hulladéklerakók felszámolása KIEFO/14535/2019-ITM</t>
  </si>
  <si>
    <t>Vörösmarty tér tömbbelső fejlesztés, I. ütem (csapadékvíz elvezés kiépítése) + II. ütem</t>
  </si>
  <si>
    <t>Petőfi Sándor utca rekonstrukciójai-III. ütem</t>
  </si>
  <si>
    <t>Csererdő csapadékvíz -tervezés</t>
  </si>
  <si>
    <t>6.vk. Gyalogátkelőhely tervezése (Ady E. u)</t>
  </si>
  <si>
    <t>Parkoló tervezése a Halle u.-i szám előtti területen</t>
  </si>
  <si>
    <t>Egry úti Óvoda újjáépítése miatt szükséges óvodai felújítások, konténer ovi telepítése</t>
  </si>
  <si>
    <t>Nagyfelületű út- és járdafelújítások</t>
  </si>
  <si>
    <t>Vízrendezési feladatok, árkok felújítása</t>
  </si>
  <si>
    <t>Kertvárosi utcák felújítása víziközmű rekonstrukció után</t>
  </si>
  <si>
    <t>Elkorhadt nyílászárók cseréje II. ütem</t>
  </si>
  <si>
    <t>Árnyékolás két pavilon teraszán</t>
  </si>
  <si>
    <t>Hátsó épület utólagos vízszigetelése, külső terepszint süllyesztése</t>
  </si>
  <si>
    <t>Erdei Tagóvoda</t>
  </si>
  <si>
    <t>Terasz árnyékolás</t>
  </si>
  <si>
    <t>Kuckó Tagóvoda</t>
  </si>
  <si>
    <t>Veszprémi Egry Úti Körzeti Óvoda</t>
  </si>
  <si>
    <t>Ereszcsatorna bővítés, csapadékelvezetés</t>
  </si>
  <si>
    <t>Burkolat cseréje szélfogóban, folyosón</t>
  </si>
  <si>
    <t>Veszprémi Csillag Úti Körzeti Óvoda</t>
  </si>
  <si>
    <t>Cholnoky Jenő Tagóvoda</t>
  </si>
  <si>
    <t>Éjszakai áramkör kialakítása</t>
  </si>
  <si>
    <t>Elektromos hálózat felújítása I. ütem</t>
  </si>
  <si>
    <t>Veszprémi Bölcsődei és Eü.Alapell. Integrált Int.</t>
  </si>
  <si>
    <t>Terasz árnyékolás megoldása 3 pavilonnál</t>
  </si>
  <si>
    <t>Vass-Gyűjtemény</t>
  </si>
  <si>
    <t>Kazán csere</t>
  </si>
  <si>
    <t>Fan-coil fűtési rendszer javítása</t>
  </si>
  <si>
    <t>Európa Kulturális Fővárosa beruházási feladatok (tervezés-előkészítés)</t>
  </si>
  <si>
    <t>Európa Kulturális Fővárosa II. ütem</t>
  </si>
  <si>
    <t>Működési kiadások</t>
  </si>
  <si>
    <t>Felhalmozási kiadások</t>
  </si>
  <si>
    <t>Európa Kulturális Fővárosa I. ütem</t>
  </si>
  <si>
    <t>Petőfi Sándor utca rekonstrukciója I-III. ütem</t>
  </si>
  <si>
    <t>Vörösmarty tér tömbbelső fejlesztés, I. ütem (csapadékvíz elvezetés kiépítése) + II. ütem</t>
  </si>
  <si>
    <t>Kulturális negyed tervezése II. ütem</t>
  </si>
  <si>
    <t>Bolgár Mihály utcai híd áteresz kapacitás bővítés, tervezés, engedélyezés, kivitelezés</t>
  </si>
  <si>
    <t>Egry utcai óvoda új villamos és gáz betáp vezeték tervezése és kiépítése, villamos kapacitásbővítés</t>
  </si>
  <si>
    <t>Gyulafirátóti köztéri játszótér eszközeinek elhelyezése</t>
  </si>
  <si>
    <t>82-es út közlekedésbiztonsági fejlesztése</t>
  </si>
  <si>
    <t xml:space="preserve">Erdőtelepítés és utógondozás (a 241/2009.(IX.15.) Közgyűlési határozat; Erdészeti Hatóság 28.3/1176-7/2010.(V.25.) és VE-G-001/3883-8/2013. sz. határozata; 298/2009.(X.20.) Vfkb és 48/2010.(II.16.) Vfkb </t>
  </si>
  <si>
    <t xml:space="preserve">Utcanévtáblák </t>
  </si>
  <si>
    <t>Kézi hulladékgyűjtők beszerzése</t>
  </si>
  <si>
    <t>Térfigyelő rendszer bővítése 51/2011. (IV.29.) VMJV Önk.</t>
  </si>
  <si>
    <t>Veszprém 0105/1 hrsz.alatti nem veszélyes hulladéklerakó részletes tényfeltárása</t>
  </si>
  <si>
    <t>8.vk. Hulladékgyűjtő elhelyezése a Kalmár térre</t>
  </si>
  <si>
    <t>8.vk. Kutyaürülék gyűjtő elhelyezése a Kalmár téren</t>
  </si>
  <si>
    <t>Hulladéklerakó környezetének vizsgálata és rekultiváció</t>
  </si>
  <si>
    <t>József Attila utca és Takácskert utcai körforgalmi csomópont tervezése</t>
  </si>
  <si>
    <t>Diósi M. u. parkolóépítés tervezés</t>
  </si>
  <si>
    <t>Közvilágítás fejlesztése (Zrínyi Miklós utca és a Káposztáskert utca)</t>
  </si>
  <si>
    <t>Helikopter statikus elhelyezése</t>
  </si>
  <si>
    <t>Közműalagút vészjelző rendszer tervezése és cseréje</t>
  </si>
  <si>
    <t>Vízbázisvédelmi feladatok KDKvTvVF 27063/05. sz. határozat</t>
  </si>
  <si>
    <t>Barátság park sport fejlesztések előkészítése, közmű ellátása</t>
  </si>
  <si>
    <t>CLLD - Városrészi közösségi és kulturális terek infrastrukturális felújítása, átépítése</t>
  </si>
  <si>
    <t>Aradi Vértanúk emlékmű pályázat tervezési díja</t>
  </si>
  <si>
    <t>Elektromos személygépjármű beszerzése 2 db.</t>
  </si>
  <si>
    <t>Völgyikút u. 2. villamos mérőhely kialakítás</t>
  </si>
  <si>
    <t>Járásszékhely múzeumok szakmai támogatása</t>
  </si>
  <si>
    <t>6.vk. Konstruktív dézsa</t>
  </si>
  <si>
    <t>Káposztáskert utcai távközlési kábel áthelyezése és új kiépítése</t>
  </si>
  <si>
    <t>VKSZ Zrt. által ellátott EKF feladatok</t>
  </si>
  <si>
    <t>Infrastrukturális feladatok</t>
  </si>
  <si>
    <t>Magyar Kórusok találkozója</t>
  </si>
  <si>
    <t>Dózsa György u. 34. 726/1 hrsz.-ú ingatlan vásárlás</t>
  </si>
  <si>
    <t>Játszóeszközök felújítása (78/2003 GKM rendelet)</t>
  </si>
  <si>
    <t>Programiroda Kft. törzstőke emelés</t>
  </si>
  <si>
    <t xml:space="preserve">Programiroda Kft. tőketartalékba helyezés </t>
  </si>
  <si>
    <t>Swing-Swing Kft. törzstőke emelés</t>
  </si>
  <si>
    <t>Swing-Swing Kft. tőketartalékba helyezés</t>
  </si>
  <si>
    <t>Veszprém - Balaton 2023 Zrt. törzstőke emelés</t>
  </si>
  <si>
    <t>Veszprém - Balaton 2023 Zrt. tőketartalékba helyezés</t>
  </si>
  <si>
    <t>Padbeszerzés és kihelyezés, avult padok bontása (141/2008(IV.22.) VFKB és 215/2008(VI.20.) VFKB</t>
  </si>
  <si>
    <t>MLSZ TAO pályaépítési program</t>
  </si>
  <si>
    <t xml:space="preserve">207/2019. (IX.26.) Közgy.h. GFT beruházás: Veszprém Séd 3. sz. kút bekötővezeték, Kút bekötése a települési hálózatba </t>
  </si>
  <si>
    <t>207/2019. (IX.26.) Közgy.h. GFT beruházás:  Veszprém Méhes utca, Támfal építéshez kapcsolódó ivóvíz-hálózat bővítés</t>
  </si>
  <si>
    <t xml:space="preserve">207/2019. (IX.26.) Közgy.h. GFT beruházás: Veszprém Reguly A. utca, Barnamezős beruházásokhoz kapcsolódóan ivóvízvezeték kapacitás bővítés </t>
  </si>
  <si>
    <t>Veszprém, Batthyány utca járda és tér rendezése a Görgey Artúr utca és a Batthyány utca közötti szakaszon</t>
  </si>
  <si>
    <t>Ady u. gyalogátkelőhely kialakítás</t>
  </si>
  <si>
    <t>Csillag úti óvoda parkoló építés</t>
  </si>
  <si>
    <t>Agóra VKK -Villámhárító tervezése, kivitelezése (Gyulafirátót)</t>
  </si>
  <si>
    <t>MKSZ Tornacsarnok Felújítási Program</t>
  </si>
  <si>
    <t>V-Busz Kft. - autóbusz vásárlás</t>
  </si>
  <si>
    <t xml:space="preserve"> - Képviselői keret</t>
  </si>
  <si>
    <t>Bábos raktár nyitott bútorzat befejezése</t>
  </si>
  <si>
    <t>Mosókonyha bejárati ajtó csere</t>
  </si>
  <si>
    <t>20 m2-es faház, játéktárolónak</t>
  </si>
  <si>
    <t>Gyulafirátóti Bölcsőde</t>
  </si>
  <si>
    <t>Védőnői Szolgálat</t>
  </si>
  <si>
    <t>Oktatási eszközök vásárlása iskolavédőnők részére</t>
  </si>
  <si>
    <r>
      <rPr>
        <b/>
        <sz val="10"/>
        <rFont val="Palatino Linotype"/>
        <family val="1"/>
        <charset val="238"/>
      </rPr>
      <t xml:space="preserve">TOP – 6.9.2 -16-VP1-2018-00001 </t>
    </r>
    <r>
      <rPr>
        <sz val="10"/>
        <rFont val="Palatino Linotype"/>
        <family val="1"/>
        <charset val="238"/>
      </rPr>
      <t>Közösségfejlesztés Veszprém város településrészein</t>
    </r>
  </si>
  <si>
    <t>Műtárgybeszerzés (NKA pályázat)</t>
  </si>
  <si>
    <r>
      <rPr>
        <b/>
        <sz val="10"/>
        <rFont val="Palatino Linotype"/>
        <family val="1"/>
        <charset val="238"/>
      </rPr>
      <t xml:space="preserve">EFOP-4.1.9-16-2017-00014 </t>
    </r>
    <r>
      <rPr>
        <sz val="10"/>
        <rFont val="Palatino Linotype"/>
        <family val="1"/>
        <charset val="238"/>
      </rPr>
      <t>A múzeumi és levéltári intézményrendszer tanulás segítő infrastrukturális fejlesztései -Laczkó Dezső Múzeumban oktatótermek és kiszolgáló helyiségek kialakítása</t>
    </r>
  </si>
  <si>
    <r>
      <rPr>
        <b/>
        <sz val="10"/>
        <rFont val="Palatino Linotype"/>
        <family val="1"/>
        <charset val="238"/>
      </rPr>
      <t xml:space="preserve">EFOP-3.3.2-16-2016-00107 </t>
    </r>
    <r>
      <rPr>
        <sz val="10"/>
        <rFont val="Palatino Linotype"/>
        <family val="1"/>
        <charset val="238"/>
      </rPr>
      <t>Kulturális intézmények a köznevelés eredményességéért</t>
    </r>
  </si>
  <si>
    <t>Személygépjármű vásárlás 1 db</t>
  </si>
  <si>
    <t>Közösség Kádártáért Egyesület</t>
  </si>
  <si>
    <t>Virágzó Veszprém Egyesület</t>
  </si>
  <si>
    <t>Lokálpatrióták a Városért Egyesület</t>
  </si>
  <si>
    <t>Veszprémi Kultúráért Közalapítvány (új kuratórium, könyvvizsgálat költségeire)</t>
  </si>
  <si>
    <t>Gerence Hagyományőrző Néptáncegyüttes támogatása</t>
  </si>
  <si>
    <t xml:space="preserve">            - Civil irodai szolgáltatások, civil ház</t>
  </si>
  <si>
    <t xml:space="preserve">            - Civil nap költségei</t>
  </si>
  <si>
    <t>Pszichiátriai betegek nappali ellátás ("Horgony" Pszichiátriai Betegekért Közhasznú Alapítvány)</t>
  </si>
  <si>
    <t>V-Busz Kft. 2019. évi ellentételezés</t>
  </si>
  <si>
    <t>Intézményi karbantartási költségek</t>
  </si>
  <si>
    <t>Intézményi közüzemi költségek</t>
  </si>
  <si>
    <t>Kolostorok és kertek működtetése</t>
  </si>
  <si>
    <t>Viziközmű vagyonértékelés költségei</t>
  </si>
  <si>
    <t>Köztéri Szobor Alap</t>
  </si>
  <si>
    <t>Endrődi Sándor emlékév programjaira</t>
  </si>
  <si>
    <t>Pszichiátriai betegek nappali ellátása ("Horgony" Pszichiátriai Betegekért Közhasznú Alapítvány)</t>
  </si>
  <si>
    <t>Aszfalt burkolatok, útlapok és makadám burkolatok, földmunkák</t>
  </si>
  <si>
    <t>Kubinyi Ágoston program</t>
  </si>
  <si>
    <t>Dózsa György u. 2sz. Alatti épület felújítása (tervezés-előkészítés)</t>
  </si>
  <si>
    <t>Swing-Swing Kft. üzletrész vásárlás</t>
  </si>
  <si>
    <t>II. ütem összesen</t>
  </si>
  <si>
    <t>Kelet-nyugati gyűjtőút zajvédő létesítmény tervezése</t>
  </si>
  <si>
    <t>I. ütem összesen</t>
  </si>
  <si>
    <t>Hitel-állomány 2019.12.31</t>
  </si>
  <si>
    <t>Hitelfelvétel 2019-es</t>
  </si>
  <si>
    <t>Hitelfelvétel 2020-as</t>
  </si>
  <si>
    <t>Hitel-állomány  2020.12.31</t>
  </si>
  <si>
    <t>Tőke-törlesztés 2023</t>
  </si>
  <si>
    <t>Tőke-törlesztés 2024-tól</t>
  </si>
  <si>
    <t>Kamat 2023</t>
  </si>
  <si>
    <t xml:space="preserve"> 2020.06.01</t>
  </si>
  <si>
    <t>9.</t>
  </si>
  <si>
    <t>2020.XX.XX</t>
  </si>
  <si>
    <t>2030.XX.XX</t>
  </si>
  <si>
    <t>Veszprém Megyei Jogú Város Önkormányzatának 2020. évi</t>
  </si>
  <si>
    <t>Adósságot Keletkeztető Ügyletek fejlesztési célok szerinti besorolása</t>
  </si>
  <si>
    <t>Közutak, hidak építése, felújítása</t>
  </si>
  <si>
    <t>Egyéb, törvény által az önkormányzatok számára előírt feladatok teljesítéséhez szükséges infrastrukturális beruházások</t>
  </si>
  <si>
    <t>TOP-6.9.2-16-VP1-2018-00001 Közösségfejlesztés Veszprém város településrészein</t>
  </si>
  <si>
    <t>2023. év</t>
  </si>
  <si>
    <t>TOP-6.6.1-16-VP1-2018-00005 Ördögárok u. 5. szám alatti orvosi rendelő megújítása (saját forrás)</t>
  </si>
  <si>
    <t>TOP-6.6.1-16-VP1-2018-00004 Vilonyai utca 2/B szám alatti orvosi rendelő megújítása (saját forrás)</t>
  </si>
  <si>
    <t>TOP-6.5.1-16-VP1-2018-00004 Aprófalvi bölcsőde energetikai korszerűsítése (saját forrás)</t>
  </si>
  <si>
    <t>TOP-6.5.1-16-VP1-2018-00006 Módszertani bölcsőde energetikai megújítása (saját forrás)</t>
  </si>
  <si>
    <t xml:space="preserve">Swing-Swing Kft. törzstőke emelés, tőketartalékba helyezés (Hangvilla üzletrész vásárlás) </t>
  </si>
  <si>
    <t xml:space="preserve">Swing-Swing Kft. üzletrész vásárlás </t>
  </si>
  <si>
    <t>Villamos energia beszerzés (Intézmények)</t>
  </si>
  <si>
    <t>Villamos energia beszerzés (Közvilágítás célú)</t>
  </si>
  <si>
    <t>Földgáz energia beszerzés</t>
  </si>
  <si>
    <t>Veszprémi Foci Centrum Utánpótlás SE</t>
  </si>
  <si>
    <t>Signator Audit Könyvvizsgáló Kft-vel kötött megbízási szerződés könyvvizsgálói feladatok ellátására</t>
  </si>
  <si>
    <t>Szenvedélybetegek ellátásának működési kiadásaihoz támogatás (Alkohol-Drogsegély Ambulancia - ellátási szerződés)</t>
  </si>
  <si>
    <t>Polgármesteri Hivatal „Őrzés-védelmi és portaszolgálat feladatainak” ellátása 2 évre</t>
  </si>
  <si>
    <t>Egészségügyi feladatok ellátása - Veszprémi Csolnoky Ferenc Kórházzal kötött használati szerződés</t>
  </si>
  <si>
    <t>Német Nemzetiségi Önk. helyiségének bérleti díja</t>
  </si>
  <si>
    <t>Hitel összege 2019</t>
  </si>
  <si>
    <t>Hitel összege 2020</t>
  </si>
  <si>
    <t>Környezetvédelemhez és természeti katasztrófák elhárításához kapcsolódó beruházási célok (szennyvízelvezetés és szennyvíztisztítás, csapadékvíz-elvezetés, hulladékkezelés, árvíz/belvíz elleni védekezés stb.)</t>
  </si>
  <si>
    <t>Közoktatási célú beruházási célok (óvodák, iskolák, tornaterem, tanuszoda, egyéb köznevelési intézmények építése, felújítása stb.)</t>
  </si>
  <si>
    <t>Szociális, gyermekjóléti és gyermekvédelmi célok (bölcsődék, időskorúak ellátását, gyermekek és családok átmeneti gondozását szolgáló beruházások stb.)</t>
  </si>
  <si>
    <t>TOP-6.5.1-16-VPI-2018-00006 Módszertani Bölcsőde energetikai megújítása</t>
  </si>
  <si>
    <t>TOP-6.2.1-16-VP1-2018-00001 Módszertani Bölcsőde megújítása – eszközbeszerzés</t>
  </si>
  <si>
    <t>TOP-6.5.1 Aprófalvi Bölcsőde energetikai megújítása</t>
  </si>
  <si>
    <t>TOP-6.5.1 Völgyikút utca 2. szám alatti épület energetikai megújítása</t>
  </si>
  <si>
    <t>Egészségügyi szolgáltatások fejlesztése (egészségházak, orvosi, gyermekorvosi, fogorvosi szakrendelők felújítása, eszközbeszerzések stb.)</t>
  </si>
  <si>
    <t>TOP - Vilonyai u. 2/B sz. gyermekorvosi rendelők felújítása</t>
  </si>
  <si>
    <t>TOP - Ördögárok u. 5. sz. gyermekorvosi rendelők felújítása</t>
  </si>
  <si>
    <t>Egyéb feladatokhoz kapcsolódó célok (közutak építése, felújítása, közbiztonság növelése, egyéb önkormányzati tulajdonú létesítmények felújítása, fejlesztése, város és település-rehabilitáció stb.)</t>
  </si>
  <si>
    <t>Petőfi Sándor utca rekonstrukciója III. ütem</t>
  </si>
  <si>
    <t>Török I. u. - Aulich L. u. összekötés</t>
  </si>
  <si>
    <t>Közvilágítás bővítések (tervezés, kivitelezés) 2011. évi CLXXXIX törvény</t>
  </si>
  <si>
    <t>II. Adósságot keletkeztető ügyletek mindösszesen</t>
  </si>
  <si>
    <t xml:space="preserve">A  </t>
  </si>
  <si>
    <t>T</t>
  </si>
  <si>
    <t>2019. évi tény</t>
  </si>
  <si>
    <t>2018-2021</t>
  </si>
  <si>
    <t>2018-2019</t>
  </si>
  <si>
    <t>2019-2020</t>
  </si>
  <si>
    <t>TOP-6.6.1-16-VP1-2018-00003 Jutasi u. 59. szám alatti orvosi rendelő megújítása</t>
  </si>
  <si>
    <t>2016-2021</t>
  </si>
  <si>
    <t>2017-2020</t>
  </si>
  <si>
    <t>2018-2020</t>
  </si>
  <si>
    <t>2016-2019</t>
  </si>
  <si>
    <t>2019-2021</t>
  </si>
  <si>
    <t>2019-2022</t>
  </si>
  <si>
    <t>Urbact Innova-tor *</t>
  </si>
  <si>
    <t>KÖFOP-1.2.1-VEKOP-16-2017-01268 Veszprém Megyei Jogú Város Önkormányzata ASP Központhoz való csatlakozása **</t>
  </si>
  <si>
    <t>2017-2018</t>
  </si>
  <si>
    <t>EFOP-3.3.2-16-2016-00107 Kulturális intézmények a köznevelés eredményességéért***</t>
  </si>
  <si>
    <t>* Az Urbact Innova-tor támogatása a szerződésben €-ban van meghatározva, az átszámítás 316.39 Ft/EUR-val történt</t>
  </si>
  <si>
    <t>ebből: - Európa Kulturális Fővárosa I. ütem</t>
  </si>
  <si>
    <t>ebből: - Európa Kulturális Fővárosa II. ütem</t>
  </si>
  <si>
    <t>Hitelfelvétel 2019.        (előző évek hitelszerződésén alapuló)</t>
  </si>
  <si>
    <t>1.A. melléklet a .../2020. (…….) önkormányzati rendelethez</t>
  </si>
  <si>
    <t>15. melléklet a .../2020. (……...) önkormányzati rendelethez</t>
  </si>
  <si>
    <t>17. melléklet a .../2020. (…….) önkormányzati rendelethez</t>
  </si>
  <si>
    <t>ebből: - Európa Kulturális Főváros II. ütem</t>
  </si>
  <si>
    <t>15.A. melléklet a ….../2020 (……..) önkormányzati rendelethez</t>
  </si>
  <si>
    <t>15.B. melléklet a .../2020. (…….) önkormányzati rendelethez</t>
  </si>
  <si>
    <t>Projekthez kapcsolódó működési bevétel (ÁFA)</t>
  </si>
  <si>
    <t>Veszprém Megyei Jogú Város Önkormányzatának 2019. évi</t>
  </si>
  <si>
    <t>új hitelszerződésen alapuló beruházási hitelfelvétele feladatonként</t>
  </si>
  <si>
    <t>Fejlesztési hitel - Célhitel 2017</t>
  </si>
  <si>
    <t>Fejlesztési hitel - Célhitel 2019</t>
  </si>
  <si>
    <t>Fejlesztési hitel - Célhitel 2020</t>
  </si>
  <si>
    <t>hitelszerződésen alapuló 2019. és 2020. évre vonatkozó beruházási hitelfelvétele feladatonként *</t>
  </si>
  <si>
    <t>a TOP-6.1.5-16-VP1-2017-00001 Északi Iparterület Közlekedés-fejlesztése elnevezésű projekthez szükséges kiegészítő pénzügyi forrással kapcsolatos pénzügyi kötelezettségvállalás (saját forrás)</t>
  </si>
  <si>
    <t>Az ÉNYKK Északnyugat-magyarországi Közlekedési Központ Zrt. által 2018. évben ellátott helyi menetrend szerinti közösségi közlekedés közszolgáltatás ellentételezése</t>
  </si>
  <si>
    <t>Sport marketing tárgyú több éves szolgáltatásvásárlási szerződés megkötése érdekében pénzügyi kötelezettségvállalás</t>
  </si>
  <si>
    <t>Veszprém Fiatal Sportolóiért Közhasznú Alapítvány támogatása
élsport, versenysport és utánpótlás nevelési feladatokhoz kapcsolódóan</t>
  </si>
  <si>
    <t>A Magyar Kézilabda Szövetség Országos Tornaterem Felújítási Programjához kapcsolódó támogatási igény benyújtása és előzetes kötelezettségvállalás a veszprémi stadion területén található sportcsarnok belső felújítása érdekében</t>
  </si>
  <si>
    <t>Jutasi úti műfüves sportpálya fenntartása és működtetése</t>
  </si>
  <si>
    <t>Foglalkozás egészségügyi szolgáltatás ellátásával kapcsolatos pénzügyi kötelezettségvállalás</t>
  </si>
  <si>
    <t>VMJV Önkormányzatánál, költségvetési szerveinél, valamint a Veszprémi Kistérség Többcélú Társulása Egyesített Szociális Intézménynél foglalkozás-egészségügyi szolgáltatás ellátásával kapcsolatos pénzügyi kötelezettségvállalás</t>
  </si>
  <si>
    <t>A Települési Önkormányzatok Országos Szövetségéhez történő csatlakozás</t>
  </si>
  <si>
    <t>A Klímabarát Települések Szövetségéhez történő csatlakozás</t>
  </si>
  <si>
    <t>Polgármesteri Hivatal használatában lévő nyomatkészítő eszközök tartós üzemeltetése</t>
  </si>
  <si>
    <t>Megállapodás megkötése üzemidő hasznosítás tárgyában  a Veszprémi Programiroda Rendezvényszervező és Kulturális Szolgáltató Kft-vel</t>
  </si>
  <si>
    <t>Az Önkormányzat vagyonbiztosításával kapcsolatos pénzügyi
kötelezettségvállalás</t>
  </si>
  <si>
    <t>Munka- és tűzvédelmi feladatok; 2019.01.01-2020.02.29. és 2020.03.01-2022.02.28.</t>
  </si>
  <si>
    <t>A diákétkeztetésre vonatkozó szolgáltatási díj emelése</t>
  </si>
  <si>
    <t>a Veszprémi Intézményi Szolgáltató Szervezet diákétkeztetési
közfeladatainak ellátásához szükséges étkezési nyilvántartó program beszerzésével kapcsolatos pénzügyi kötelezettségvállalás</t>
  </si>
  <si>
    <t>Veszprémi óvodák gyermekétkeztetési közfeladat ellátása érdekében élelmezési nyilvántartó program beszerzéséhez szükséges pénzügyi kötelezettségvállalás</t>
  </si>
  <si>
    <t>Veszprémi óvodák gyermekétkeztetési közfeladat ellátása érdekében vásárolt élelmezés beszerzéséhez szükséges pénzügyi kötelezettségvállalások</t>
  </si>
  <si>
    <r>
      <t>* Magyarország gazdasági stabilitásáról szóló 2011. évi CXCIV. törvény szerint Kormányengedélyhez kötött, adósságot keletkeztető ügylet jóváhagyása megtörtént az</t>
    </r>
    <r>
      <rPr>
        <b/>
        <sz val="10"/>
        <rFont val="Palatino Linotype"/>
        <family val="1"/>
        <charset val="238"/>
      </rPr>
      <t xml:space="preserve"> önkormányzatok adósságot keletkeztető, valamint kezesség-, illetve garanciavállalásra vonatkozó ügyleteihez történő 2019. áprilisi előzetes kormányzati hozzájárulásról szóló 1356/2019. (VI.14.) Korm. határozatában.</t>
    </r>
  </si>
  <si>
    <t>Adósságot keletkeztető ügyletek összesen</t>
  </si>
  <si>
    <t>14. melléklet a ….../2020. (……..) önkormányzati rendelethez</t>
  </si>
  <si>
    <t>Döntés pályázat benyújtásáról az "Urban Innovative Actions" elnevezésű Európai Uniós közösségi kezdeményezés pályázati felhívására</t>
  </si>
  <si>
    <t>Döntés a helyi közösségi közlekedés biztosításához kapcsolódó autóbuszbeszerzési szerződés és előzetes kötelelezettségvállalás jóváhagyásáról</t>
  </si>
  <si>
    <t xml:space="preserve">Döntés az "ELENA" elnevezésű projektfejlesztési támogatásra benyújtott Európai Uniós pályázat konzorciumi szerződés módosítás tárgyában </t>
  </si>
  <si>
    <t>Pályázat benyújtása az Magyar Labdarúgó Szövetség TAO pályaépítési programjához (saját forrás)</t>
  </si>
  <si>
    <t>Újjáépítésre kerülő óvodák költöztetési munkák</t>
  </si>
  <si>
    <t>Veszprémi Stadion gázellátása és villamos kapacitásbővítése</t>
  </si>
  <si>
    <t>Tűzjelző rendszer felújítása</t>
  </si>
  <si>
    <t>Sportterület közmű-, út infrastruktúra fejlesztés</t>
  </si>
  <si>
    <t>EKF programokhoz kapcsolódó infrastruktúra fejlesztési feladatok</t>
  </si>
  <si>
    <t>Szent István utca rekonstrukciója I. ütem (csapadékvíz elvezetés kiépítése) tervezés</t>
  </si>
  <si>
    <t>Séd-völgyi tó faszerkezet cseréje és tótisztítás</t>
  </si>
  <si>
    <t>2020. január 1. - 2020. február 29. között 4 fő</t>
  </si>
  <si>
    <t>határozott idejű foglalkozatottak létszáma                 (2020. március 1 - 2021. december 31)</t>
  </si>
  <si>
    <t>Beruházás / felújítás / projekt kötelezettségvállalások összesen</t>
  </si>
  <si>
    <t xml:space="preserve">          - Comitatus Társadalomkutató Egyesület - Comitatus Önkormányzati Szemle</t>
  </si>
  <si>
    <r>
      <rPr>
        <b/>
        <u/>
        <sz val="11"/>
        <rFont val="Palatino Linotype"/>
        <family val="1"/>
        <charset val="238"/>
      </rPr>
      <t xml:space="preserve">VKSZ Zrt. által ellátott városüzemeltetési feladatok </t>
    </r>
    <r>
      <rPr>
        <sz val="11"/>
        <rFont val="Palatino Linotype"/>
        <family val="1"/>
        <charset val="238"/>
      </rPr>
      <t>közszolgáltatási keretmegállapodás alapján:</t>
    </r>
  </si>
  <si>
    <t>Kolostorok és Kertek működtetése</t>
  </si>
  <si>
    <t>V-Busz Kft. szolgáltatás vásárlás</t>
  </si>
  <si>
    <t>**Az intézményeknél kimutatott adatokat is tartalmazza</t>
  </si>
  <si>
    <t>Teljesítés                      2018.          12.31.-ig**</t>
  </si>
  <si>
    <t>** Az intézményeknél kimutatott adatokat is tartalmazza</t>
  </si>
  <si>
    <t>2020. évi eredeti előirányzat</t>
  </si>
  <si>
    <t>módosítás-</t>
  </si>
  <si>
    <t>ÖSSZEFOGLALÓ TÁBLA</t>
  </si>
  <si>
    <t>a bevételi és kiadási előirányzatok módosításáról</t>
  </si>
  <si>
    <t xml:space="preserve">                </t>
  </si>
  <si>
    <t>BEVÉTELEK</t>
  </si>
  <si>
    <t>Helyi önkormányzatok általános működéséhez és ágazati feladataihoz kapcsolódó támogatás</t>
  </si>
  <si>
    <t>Egyéb működési célú támogatások</t>
  </si>
  <si>
    <t>Önkormányzati Intézmények működési célú támogatások Áht-on belülről</t>
  </si>
  <si>
    <t>Polgármesteri Hivatal</t>
  </si>
  <si>
    <t>Önkormányzati intézmények működési bevételei</t>
  </si>
  <si>
    <t>BEVÉTELEK ÖSSZESEN:</t>
  </si>
  <si>
    <t>II.</t>
  </si>
  <si>
    <t>KIADÁSOK</t>
  </si>
  <si>
    <t>Veszprémi Kistérségi Társulásnak pénzeszköz átadás (ESZI)</t>
  </si>
  <si>
    <t xml:space="preserve">Felhalmozási kiadások </t>
  </si>
  <si>
    <t>Felhalmozási kiadások összesen:</t>
  </si>
  <si>
    <t>INTÉZMÉNYI KIADÁSOK</t>
  </si>
  <si>
    <t>Intézményi működési kiadások összesen</t>
  </si>
  <si>
    <t xml:space="preserve">Intézményi felhalmozási költségvetés </t>
  </si>
  <si>
    <t>Kiadások összesen</t>
  </si>
  <si>
    <t>2020. év összesen</t>
  </si>
  <si>
    <t>Állam felé befizetési kötelezettség</t>
  </si>
  <si>
    <t>módosítás- költségvetési maradvány</t>
  </si>
  <si>
    <t xml:space="preserve">módosítás- </t>
  </si>
  <si>
    <t>módosítás- átcsoportosítás</t>
  </si>
  <si>
    <t>Asztali számítógép, laptop beszerzése</t>
  </si>
  <si>
    <t>Udvari játékok (Bóbita és Hársfa Tagóvoda)</t>
  </si>
  <si>
    <t>Mobiltelefon törlesztés</t>
  </si>
  <si>
    <t>Szekrény</t>
  </si>
  <si>
    <t>Könyvek, egyéb könyvtári dokumentumok</t>
  </si>
  <si>
    <t>Közművelődési érdekeltségnövelő pályázat</t>
  </si>
  <si>
    <t>Számítógépek</t>
  </si>
  <si>
    <t>Tárgyi eszközök beszerzésére (számítástechnikai beszerzések, kisértékű eszközök cseréje</t>
  </si>
  <si>
    <t>Nyílászáró cserék a Török I. u. műtárgy-raktárban és műtárgyvédelmi központban</t>
  </si>
  <si>
    <t>*** A projekt a támogatási szerződés szerint nettó módon finanszírozott.</t>
  </si>
  <si>
    <t>Koronavírus védekezés költségeire és gazdasági hatásának enyhítésére</t>
  </si>
  <si>
    <t>8.vk. Síkosságmentesítő-anyag tároló láda Flórián utcába</t>
  </si>
  <si>
    <t>8.vk. Hulladékgyűjtő beszerzése</t>
  </si>
  <si>
    <t>Képviselői keretből civil szervezetek támogatása</t>
  </si>
  <si>
    <t>8.vk. Városi Nyilvánosságért Alapítvány - karácsonyi ajándékcsomagok beszerzésére</t>
  </si>
  <si>
    <t>FELHALMOZÁSI KIADÁSOK MINDÖSSZESEN:</t>
  </si>
  <si>
    <t>Felújítási kiadások mindösszesen:</t>
  </si>
  <si>
    <t>Beruházási kiadások mindösszesen:</t>
  </si>
  <si>
    <t xml:space="preserve">Udvari játékok </t>
  </si>
  <si>
    <t>módosítás- hitel</t>
  </si>
  <si>
    <t>módosítás-hitel</t>
  </si>
  <si>
    <t>Saját forrásból megvalósuló beruházási és felhalmozási kiadások (7.Beruh.)</t>
  </si>
  <si>
    <t>Európai Uniós forrásból finanszírozott támogatással megvalósuló programok, projektek (9.Projekt)</t>
  </si>
  <si>
    <t>VMJV Önkormányzata működési kiadás mindösszesen</t>
  </si>
  <si>
    <t>VMJV Önkormányzat működési kiadások (6.Önk.műk.)</t>
  </si>
  <si>
    <t>Koronavírus elleni védekezés költségeire</t>
  </si>
  <si>
    <t>Koronavírus elleni védekezés költségeire - mobiltelefonok</t>
  </si>
  <si>
    <t xml:space="preserve">Beruházási kiadások </t>
  </si>
  <si>
    <t>Bevételi források változásából adódóan, valamint feladatok közötti átcsoportosításból</t>
  </si>
  <si>
    <t xml:space="preserve">          - Veszprémi várostörténeti kiadványok előkészítése</t>
  </si>
  <si>
    <t xml:space="preserve">         - Ex Symposion Alapítvány</t>
  </si>
  <si>
    <t>2019. évi              tény</t>
  </si>
  <si>
    <t>2019. évi              tény*</t>
  </si>
  <si>
    <t>ebből: Koronavírus elleni védekezésre adomány</t>
  </si>
  <si>
    <t>Kulturális negyed tervezése II. ütem - Pannon Egyetem Campus</t>
  </si>
  <si>
    <t>Átfogó infrastruktúra fejlesztés Megvalósíthatósági Tanulmány</t>
  </si>
  <si>
    <t>Vár, Jókai utca 8.</t>
  </si>
  <si>
    <t>Vár FutureLabs, Vár utca 17.</t>
  </si>
  <si>
    <t>SÉD-völgy Kolostorok és kertek I. ütem</t>
  </si>
  <si>
    <t>Buszpályaudvar</t>
  </si>
  <si>
    <t>Beruházási és egyéb felhalmozási célú kiadások összesen</t>
  </si>
  <si>
    <t>Vár, Óváros tér, Vár utca fejlesztései</t>
  </si>
  <si>
    <t>Haszkovó lakótelep fejlesztései</t>
  </si>
  <si>
    <t>Műtárgyvásárlás</t>
  </si>
  <si>
    <t>Salgó polcrendszer a Felsőörsi raktárbázisra</t>
  </si>
  <si>
    <t xml:space="preserve">         - Veszprémi Kaleidoszkóp 1-2 újraindítása</t>
  </si>
  <si>
    <t>Pápai u.-Jutasi u. belső krt. mellékkötelezettségek</t>
  </si>
  <si>
    <t xml:space="preserve">           - Vészhelyzeti támogatás</t>
  </si>
  <si>
    <t>Veszprémi Táncegyüttesért Alapítvány</t>
  </si>
  <si>
    <t>Liszt F. Kórus</t>
  </si>
  <si>
    <t>Gizella Kórus/Dowland Alapítvány</t>
  </si>
  <si>
    <t>VSZC Ipari Szakgimnázium energetikai fejlesztésének támogatása</t>
  </si>
  <si>
    <t>TOP-6.4.1-16-VP1-17-00001 Szabadságpuszta településrész és Felsőörs Község közötti kerékpárút beruházása</t>
  </si>
  <si>
    <r>
      <t xml:space="preserve">Tárgyi eszközök beszerzése </t>
    </r>
    <r>
      <rPr>
        <b/>
        <sz val="10"/>
        <rFont val="Palatino Linotype"/>
        <family val="1"/>
        <charset val="238"/>
      </rPr>
      <t>Pápai út 37. - CSÁO</t>
    </r>
    <r>
      <rPr>
        <sz val="10"/>
        <rFont val="Palatino Linotype"/>
        <family val="1"/>
        <charset val="238"/>
      </rPr>
      <t xml:space="preserve"> (kézfertőtlenítő állomás, bútor, szőnyeg, függöny, mobiltelefon, mikró, kávéfőző, vízmelegítő, ventilátor/hősugárzó, külső winchester, router, iratmegsemmisítő, porszívó, mérleg, szárítógép)</t>
    </r>
  </si>
  <si>
    <t>Mosógép vásárlás (kigyulladt lakás károsultjának megsegítésére)</t>
  </si>
  <si>
    <t>Közbiztonsági feladatok / Gyulafirátóti Polgárőrség</t>
  </si>
  <si>
    <t xml:space="preserve">2020. évi  eredeti előirányzat </t>
  </si>
  <si>
    <t xml:space="preserve">2020. évi eredeti előirányzat </t>
  </si>
  <si>
    <t>Notebook, monitor, programok</t>
  </si>
  <si>
    <t>Készlet és pénztár program</t>
  </si>
  <si>
    <t>Koronavírus-járványügyi vészhelyzettel kapcsolatos beszerzések: érintés nélküli lázmérők, kártyaolvasók, mobiltelefonok, számítógép, szakmai eszközök, Viktória ügyeleti program)</t>
  </si>
  <si>
    <t>2020. szeptember 1-től (2 fő óvodapedagógus, 1 fő dajka)</t>
  </si>
  <si>
    <t>Önkormányzati intézmények felhalmozási bevétele</t>
  </si>
  <si>
    <t>Festmény</t>
  </si>
  <si>
    <t>TOP-6.2.1-16-VP1-2020-00003 A Veszprémi Bölcsődei és Egészségügyi Alapellátási Integrált Intézmény Módszertani Bölcsődéje megújítása, illetve bölcsődei eszközbeszerzések</t>
  </si>
  <si>
    <t>2020-2021</t>
  </si>
  <si>
    <t>Kossuth utca fejlesztései</t>
  </si>
  <si>
    <t>8-as főút felújításának terelőút építéséhez kapcsolódó ingatlanrendezés</t>
  </si>
  <si>
    <t>MLSZ ovifoci program önrész és területelőkészítés</t>
  </si>
  <si>
    <t>VESZOL - Veszprém, Pápai u. 37. sz. munkásszálló működetési feladatai - tönkrement bútorok pótlása</t>
  </si>
  <si>
    <t>Lakossági vízbekötések</t>
  </si>
  <si>
    <t>Kórház Bébi Koraszülött Mentő Alapítványa részére - echocardiograf eszközbeszerzésre</t>
  </si>
  <si>
    <t>Veszprémi Atlétikai Stadion felújítása - I. ütem (BMSK)</t>
  </si>
  <si>
    <t>2019. évi           tény</t>
  </si>
  <si>
    <r>
      <rPr>
        <b/>
        <sz val="10"/>
        <rFont val="Palatino Linotype"/>
        <family val="1"/>
        <charset val="238"/>
      </rPr>
      <t>EMMI pályázat</t>
    </r>
    <r>
      <rPr>
        <sz val="10"/>
        <rFont val="Palatino Linotype"/>
        <family val="1"/>
        <charset val="238"/>
      </rPr>
      <t xml:space="preserve"> - Kulturális mobilitást támogató szállítóeszköz beszerzése - VW T6 Kombi gépjármű vásárlás</t>
    </r>
  </si>
  <si>
    <r>
      <rPr>
        <b/>
        <sz val="10"/>
        <rFont val="Palatino Linotype"/>
        <family val="1"/>
        <charset val="238"/>
      </rPr>
      <t>Bóbita Körzeti Óvoda (Hársfa Tagóvoda)</t>
    </r>
    <r>
      <rPr>
        <sz val="10"/>
        <rFont val="Palatino Linotype"/>
        <family val="1"/>
        <charset val="238"/>
      </rPr>
      <t xml:space="preserve"> - Csoportszoba vízszigetelése, vakolás, festés</t>
    </r>
  </si>
  <si>
    <r>
      <t xml:space="preserve">Tárgyi eszközök beszerzése </t>
    </r>
    <r>
      <rPr>
        <b/>
        <sz val="10"/>
        <rFont val="Palatino Linotype"/>
        <family val="1"/>
        <charset val="238"/>
      </rPr>
      <t xml:space="preserve">Rózsa u. 48 </t>
    </r>
    <r>
      <rPr>
        <sz val="10"/>
        <rFont val="Palatino Linotype"/>
        <family val="1"/>
        <charset val="238"/>
      </rPr>
      <t>(kézfertőtlenítő állomás, bútor, szőnyeg, függöny, mobiltelefon, mikró, kávéfőző, vízmelegítő, ventilátor/hősugárzó, külső winchester, router, iratmegsemmisítő, porszívó, mérleg, szárítógép, játék/társasjáték)</t>
    </r>
  </si>
  <si>
    <t>Színművészeti szervezetek támogatása*</t>
  </si>
  <si>
    <r>
      <rPr>
        <b/>
        <sz val="10"/>
        <rFont val="Palatino Linotype"/>
        <family val="1"/>
        <charset val="238"/>
      </rPr>
      <t>*</t>
    </r>
    <r>
      <rPr>
        <b/>
        <u/>
        <sz val="10"/>
        <rFont val="Palatino Linotype"/>
        <family val="1"/>
        <charset val="238"/>
      </rPr>
      <t xml:space="preserve"> Megjegyzés</t>
    </r>
    <r>
      <rPr>
        <b/>
        <sz val="10"/>
        <rFont val="Palatino Linotype"/>
        <family val="1"/>
        <charset val="238"/>
      </rPr>
      <t xml:space="preserve">: </t>
    </r>
    <r>
      <rPr>
        <sz val="10"/>
        <rFont val="Palatino Linotype"/>
        <family val="1"/>
        <charset val="238"/>
      </rPr>
      <t>A Magyar Államkincstár tájékoztatása szerint a Magyarország 2020. évi központi költségvetéséről szóló 2019. évi LXXI. Törvény 3. melléklet I. 13. e) pontjában szereplő Színházművészeti szervezetek támogatása jogcímen eredeti előirányzatként 0 forintot kell az elemi költségvetésben tervezni.                                                                                       A színművészeti szervezetek finanszírozására  VMJV Önkormányzata és Magyrország Kormány között Társműködtetői megállapodás jött létre.</t>
    </r>
  </si>
  <si>
    <t>Vár u. 10. volt piarista gimnázium</t>
  </si>
  <si>
    <t>Jókai utca 8.</t>
  </si>
  <si>
    <t>Acticity - Hóvirág u. 1.</t>
  </si>
  <si>
    <t>Haszkovó lakótelep újjáélesztése</t>
  </si>
  <si>
    <t>Vasútállomás és környezetének fejlesztése</t>
  </si>
  <si>
    <t>módosított előirányzat 3.</t>
  </si>
  <si>
    <t>a 2020. évi engedélyezett létszámról - 2020. szeptember</t>
  </si>
  <si>
    <t>2020. július 1. - 2020. december 31.    1,5 fő</t>
  </si>
  <si>
    <t>2020. évi módosított előirányzat 3.</t>
  </si>
  <si>
    <t>MINDÖSSZESEN</t>
  </si>
  <si>
    <t>Pannon SE női kézilabda</t>
  </si>
  <si>
    <t>Veszprémi Úszó Klub</t>
  </si>
  <si>
    <t>Balaton Úszó Klub</t>
  </si>
  <si>
    <t>Veszprémi Torna Club</t>
  </si>
  <si>
    <t>VESC női röplabda</t>
  </si>
  <si>
    <t>Szilágyi DSE</t>
  </si>
  <si>
    <t>Dózsavárosi DSE</t>
  </si>
  <si>
    <t>Sportolj Velünk SE</t>
  </si>
  <si>
    <t>Gyulafirátót SE</t>
  </si>
  <si>
    <t>Veszprémi Jégkorong SE</t>
  </si>
  <si>
    <t>Veszprémi Asztalitenisz Sportegyesület</t>
  </si>
  <si>
    <t>Centrum Diák és Szabadidő Egyesület</t>
  </si>
  <si>
    <t>Veszprémi Judo és Szabadidő SE</t>
  </si>
  <si>
    <t>Veszprémi Honvéd SE</t>
  </si>
  <si>
    <t>Veszprémi Dózsa SK-birkózó</t>
  </si>
  <si>
    <t>Veszprémi Sportmászó Egyesület</t>
  </si>
  <si>
    <t>Körmendi Ferenc Veszprémi Thai-Boksz SE</t>
  </si>
  <si>
    <t>Építők Természetbarát SE</t>
  </si>
  <si>
    <t>Veszprémi Spartacus SE</t>
  </si>
  <si>
    <t>K.O. Sport és Szabadidő Egyesület</t>
  </si>
  <si>
    <t>Top-Gym SE</t>
  </si>
  <si>
    <t>Veszprémi Kerékpáros Egyesület</t>
  </si>
  <si>
    <t>Veszprémi Szivárvány Integrált SE</t>
  </si>
  <si>
    <t>Acro Dance</t>
  </si>
  <si>
    <t>Hemo Winner Versenytánc SE</t>
  </si>
  <si>
    <t>Kid Rock and Roll SE</t>
  </si>
  <si>
    <t>Golding Táncsport Egyesület</t>
  </si>
  <si>
    <t>Olimpiai felkészülés céljára támogatás</t>
  </si>
  <si>
    <t>Sportolj Velünk SE (Bartha-Kéri Bianka)</t>
  </si>
  <si>
    <t>VEDAC (Orbán Éva)</t>
  </si>
  <si>
    <t>Veszprémi Sí Egylet (Kónya Ádám)</t>
  </si>
  <si>
    <t>Balaton Úszó Klub (Rasovszky Kristóf)</t>
  </si>
  <si>
    <t>Verseny és élsport - működési támogatások</t>
  </si>
  <si>
    <t>Veszprémi Atlétikai Stadion komplex megújítás (tornász gyakorló csarnok) - I. ütem</t>
  </si>
  <si>
    <t>Fa kerti tároló</t>
  </si>
  <si>
    <t>átcsoportosítás dologi kiadásokról beruházási kiadásokra</t>
  </si>
  <si>
    <t>Önkormányzati érdekeket érintő településrendezése eszközök módosítása</t>
  </si>
  <si>
    <r>
      <rPr>
        <b/>
        <sz val="10"/>
        <rFont val="Palatino Linotype"/>
        <family val="1"/>
        <charset val="238"/>
      </rPr>
      <t>Vadvirág Körzeti Óvoda (Waldorf Tagóvoda)</t>
    </r>
    <r>
      <rPr>
        <sz val="10"/>
        <rFont val="Palatino Linotype"/>
        <family val="1"/>
        <charset val="238"/>
      </rPr>
      <t>- Mosókonyha bejárati ajtó csere</t>
    </r>
  </si>
  <si>
    <t>Laptopok szoftverrel</t>
  </si>
  <si>
    <t>Könyvtári érdekeltségnövelő támogatásból műszaki, technikai, informatikai eszközök</t>
  </si>
  <si>
    <t>Bútorzat főzőkonyhára</t>
  </si>
  <si>
    <t>Laptop</t>
  </si>
  <si>
    <t>Veszprémi Kastélykert Körzeti Óvoda és Ficánka Tagóvoda</t>
  </si>
  <si>
    <t>Komakút tér 1. Fogorvosi rendelők - rendelők leválasztása</t>
  </si>
  <si>
    <t>Sátrak vásárlása pályázaton belül megvalósított projekthez</t>
  </si>
  <si>
    <t>Hangtechnikai felszerelés vásárlása pályázaton belül megvalósított projekthez</t>
  </si>
  <si>
    <t>Dombormű vásárlása</t>
  </si>
  <si>
    <t>Mini keverő (MANK Nonprofit rendezvény)</t>
  </si>
  <si>
    <t>SMART Veszprém alapinfrastruktúra I.</t>
  </si>
  <si>
    <t>Adattári polcok, lemezszekrények (Levéltárból történő kiköltözéshez)</t>
  </si>
  <si>
    <t>Aggregátor, szivattyú (régészeti feltárásokra)</t>
  </si>
  <si>
    <t>Laptopok</t>
  </si>
  <si>
    <t>Európa Kulturális Főváros működési kiadása (11.EKF. I.ütem)</t>
  </si>
  <si>
    <t>Nyilvános WC beléptető rendszer</t>
  </si>
  <si>
    <t>Kisértékű tárgyi eszközök (székek, szőnyegek, bútorok, egyéb kisértékű tárgyi eszközök, ventilátor, vasaló, zászlók)</t>
  </si>
  <si>
    <r>
      <rPr>
        <b/>
        <sz val="11"/>
        <rFont val="Palatino Linotype"/>
        <family val="1"/>
        <charset val="238"/>
      </rPr>
      <t xml:space="preserve">Koronavírus elleni védekezés adományából </t>
    </r>
    <r>
      <rPr>
        <sz val="11"/>
        <rFont val="Palatino Linotype"/>
        <family val="1"/>
        <charset val="238"/>
      </rPr>
      <t>-</t>
    </r>
    <r>
      <rPr>
        <sz val="10"/>
        <rFont val="Palatino Linotype"/>
        <family val="1"/>
        <charset val="238"/>
      </rPr>
      <t xml:space="preserve"> Egyesített Szociális Intézmény I. sz. Idősek Otthonába laptop vásárlására</t>
    </r>
  </si>
  <si>
    <t>Kiskúti Csárda építéstörténeti dokumentációja</t>
  </si>
  <si>
    <t>Veszprém 2030 Kft. tőketartalékba helyezés</t>
  </si>
  <si>
    <t>Veszprém 2030 Kft. törzstőke emelés</t>
  </si>
  <si>
    <t>Intézményi felhalmozási kiadások összesen</t>
  </si>
  <si>
    <t>Intézmények mindösszesen összesen</t>
  </si>
  <si>
    <t>Toborzó u. 2. - gázkazánok cseréje</t>
  </si>
  <si>
    <t>Mikroport rendszer 16 frekvencia, mikroport rendszerhez tárolók</t>
  </si>
  <si>
    <r>
      <t xml:space="preserve">Tárgyi eszközök beszerzése </t>
    </r>
    <r>
      <rPr>
        <b/>
        <sz val="10"/>
        <rFont val="Palatino Linotype"/>
        <family val="1"/>
        <charset val="238"/>
      </rPr>
      <t xml:space="preserve">Mikszáth K.u.13. </t>
    </r>
    <r>
      <rPr>
        <sz val="10"/>
        <rFont val="Palatino Linotype"/>
        <family val="1"/>
        <charset val="238"/>
      </rPr>
      <t>(kézfertőtlenítő állomás, bútor, szőnyeg, függöny, mobiltelefon, mikró, kávéfőző, vízmelegítő, tűzhely, ventilátor/hősugárzó, külső winchester, router, iratmegsemmisítő, porszívó, játék/társasjáték)</t>
    </r>
  </si>
  <si>
    <t>Egyéb tárgyi eszköz beszerzés (plexifal, karbantartáshoz kapcsolható eszköz, telefon, játék)</t>
  </si>
  <si>
    <r>
      <rPr>
        <b/>
        <sz val="10"/>
        <rFont val="Palatino Linotype"/>
        <family val="1"/>
        <charset val="238"/>
      </rPr>
      <t xml:space="preserve">EMT-Te-19-0345 pályázat </t>
    </r>
    <r>
      <rPr>
        <sz val="10"/>
        <rFont val="Palatino Linotype"/>
        <family val="1"/>
        <charset val="238"/>
      </rPr>
      <t>- mikroportok, kézzel varrott bőrcipő, hordozható hangfal, asztal, CAJUN hangszerek, fémből készült díszlet</t>
    </r>
  </si>
  <si>
    <t>Alkohol-Drogsegély Ambulancia/Szenvedélybetegek ellátásnak működési kiadásaihoz támogatás</t>
  </si>
  <si>
    <t>Veszprémi Taekwon-do SE</t>
  </si>
  <si>
    <t>Művészetek Háza - Csikász galéria viharkárban sérült ajtó cseréje</t>
  </si>
  <si>
    <t>2020. október hó</t>
  </si>
  <si>
    <t>Bérkompenzáció (2020. augusztus hó - 2020. szeptember hó)</t>
  </si>
  <si>
    <t>Egészségügyi kiegészítő pótlék (2020. augusztus hó - 2020. szeptember hó)</t>
  </si>
  <si>
    <t>2020. évi     módosított előirányzat 3.</t>
  </si>
  <si>
    <t>2020. évi módosított előirányzat 4.</t>
  </si>
  <si>
    <t>módosított előirányzat 4.</t>
  </si>
  <si>
    <t xml:space="preserve">   módosított előirányzat 3.</t>
  </si>
  <si>
    <t>2020. évi  módosított előirányzat 3.</t>
  </si>
  <si>
    <t>2020. évi felújítási kiadások előirányzatának módosítása - 2020. október</t>
  </si>
  <si>
    <t>Modern Városok Program és más hazai finanszírozásból megvalósuló feladatok 2020. évi költségvetési kiadásainak előirányzata -2020 október</t>
  </si>
  <si>
    <t>módosítás-  térítési díj bevételi többlet</t>
  </si>
  <si>
    <t>Jubileumi jutalom, felmentési idő</t>
  </si>
  <si>
    <t>Ringató Óvodából visszaköltözött csoport működési költségeire</t>
  </si>
  <si>
    <t>átcsoportosítás</t>
  </si>
  <si>
    <t>Veszprémi Egry Úti Körzeti Óvoda - térítési díj bevételi többlet</t>
  </si>
  <si>
    <t>Térítési díj bevételi többletből dologi kiadásokra</t>
  </si>
  <si>
    <t>Egry Óvodába visszaköltözött csoport működési költségeire</t>
  </si>
  <si>
    <t>Higiéniai eszközök, csöpögtető öntöző berendezés, wifi hálózat kiépítése, takarító eszközök, konyhai eszközök, járványügyi eszközök, létrák, salgó polcok, hirdető tábla</t>
  </si>
  <si>
    <t>Működési céltartalék</t>
  </si>
  <si>
    <t xml:space="preserve">átcsoportosítás dologi kiadásokról </t>
  </si>
  <si>
    <t>személyi kiadásokra 10.380 eFt., munkaad.terh.szoc.hoz.adóra 1.560 eFt.</t>
  </si>
  <si>
    <t>Új épületbe történő beköltözéshez szükséges eszközök</t>
  </si>
  <si>
    <t>Tárgyi eszközök beszerzésére (Higiéniai eszközök, csöpögtető öntöző berendezés, wifi hálózat kiépítése, takarító eszközök, konyhai eszközök, járványügyi eszközök, létrák, salgó polcok, hirdető tábla)</t>
  </si>
  <si>
    <t>módosítás- Egry Óvodába visszaköltözött csoportok működési kiadásaira</t>
  </si>
  <si>
    <t xml:space="preserve">Légtisztító berendezések, hőmérők, nyomtató, irodai spirálozógép </t>
  </si>
  <si>
    <t>Tárgyi eszközök beszerzésére (Mobiltelefon, laptop, irodai székek, mosógép, légtisztító berendezések, hőmérő, nyomtató, irodai spirálozó gép)</t>
  </si>
  <si>
    <t>Kisértékű tárgyi eszközök (Hűtőszekrény főzőkonyhába, irodai székek, hőmérők)</t>
  </si>
  <si>
    <t>módosítás- jubileumi jutalom, felmentési idő</t>
  </si>
  <si>
    <t>Tárgyi eszközök beszerzésére (Katica csoport: polcos szekrény, babakonyha szekrény, tálaló szekrény, foglalkoztató szekrény, játéktároló, ágyazó, tükrök, élősarokpolc, teakonyha polc, ágyazó polc, szőnyegek, konyhai eszközök, étel-ital szállító badellák, botmixer, serpenyő, érintésmentes kézfertőtlenítő, lázmérők, komód)</t>
  </si>
  <si>
    <t>Gőzállomás, varrógép, széf, érintésmentes kézfertőtlenítő, nyomtató-fénymásoló, lázmérők, fénymásoló, gyerek kanapé)</t>
  </si>
  <si>
    <t>Laptop, lázmérők, komód, fénymásoló, gyerek kanapé</t>
  </si>
  <si>
    <t>Jubileumi jutalom</t>
  </si>
  <si>
    <t>Kisértékű tárgyi eszközök (mosógép, porszívó, mobiltelefon, gyermekszék, gyermekfektető és tartó, függöny, redőny, szúnyogháló, roló, konyhai kisgép, érintés nélküli lázmérő, tartós szakmai játék, számítástechnikai eszközök, karnis)</t>
  </si>
  <si>
    <t>Érintés nélküli lázmérők, tartós szakmai játékok, számítástechnikai eszközök, karnis</t>
  </si>
  <si>
    <t>Kisértékű tárgyi eszközök (mosógép, porszívó, mobiltelefon, gyermekszék, szőnyeg, redőny, roló, szúnyogháló, konyhai kisgép, érintés nélküli lázmérő, tartós szakmai játék, számítástechnikai eszközök, hűtő)</t>
  </si>
  <si>
    <t>Veszprémi Bóbita Körzeti Óvoda és Hársfa Tagóvoda</t>
  </si>
  <si>
    <t>Érintés mentes lázmérők, elektromos konzervnyitó és késélező, átfolyó vízmelegítő</t>
  </si>
  <si>
    <t>Intézményi felújítási kiadások</t>
  </si>
  <si>
    <t>Beruházási kiadások összesen</t>
  </si>
  <si>
    <t>módosítás- Jubileumi jutalom, felmentési idő</t>
  </si>
  <si>
    <t>módosítás- jubileumi jutalom</t>
  </si>
  <si>
    <t>jubileumi jutalom</t>
  </si>
  <si>
    <t>Digitális lázmérők, érintésmentes asztali kézfertőtlenítő adagolók, kézfertőtlenítő állomások</t>
  </si>
  <si>
    <t>Tárgyi eszköz beszerzések (szekrény, ventilátorok, klaviatúrák, vízforraló, mobil telefon, érintős lázmérők, mobilklímák)</t>
  </si>
  <si>
    <t>módosítás- gépjármű értékesítés</t>
  </si>
  <si>
    <t>bevételi többletből</t>
  </si>
  <si>
    <t>Veszprémi Bölcsődei és Egészségügyi Alapellátási Integrált Intézmény - gépjármű értékesítés többlet bevétele</t>
  </si>
  <si>
    <r>
      <t>Tárgyi eszközök beszerzése</t>
    </r>
    <r>
      <rPr>
        <i/>
        <sz val="10"/>
        <rFont val="Palatino Linotype"/>
        <family val="1"/>
        <charset val="238"/>
      </rPr>
      <t xml:space="preserve"> (mosógép, szakmai eszlözök)</t>
    </r>
  </si>
  <si>
    <r>
      <t xml:space="preserve">Tárgyi eszközök beszerzése </t>
    </r>
    <r>
      <rPr>
        <i/>
        <sz val="10"/>
        <rFont val="Palatino Linotype"/>
        <family val="1"/>
        <charset val="238"/>
      </rPr>
      <t>(mosógép, gáztűzhely, szakmai eszközök)</t>
    </r>
  </si>
  <si>
    <r>
      <t xml:space="preserve">Tárgyi eszközök beszerzése </t>
    </r>
    <r>
      <rPr>
        <i/>
        <sz val="10"/>
        <rFont val="Palatino Linotype"/>
        <family val="1"/>
        <charset val="238"/>
      </rPr>
      <t>(öltöző szekrény, varrógép, szakmai eszközök)</t>
    </r>
  </si>
  <si>
    <r>
      <t xml:space="preserve">Tárgyi eszközök beszerzése </t>
    </r>
    <r>
      <rPr>
        <i/>
        <sz val="10"/>
        <rFont val="Palatino Linotype"/>
        <family val="1"/>
        <charset val="238"/>
      </rPr>
      <t>(mosógép, szárítógép, hűtőszekrény, szakmai eszközök)</t>
    </r>
  </si>
  <si>
    <r>
      <t xml:space="preserve">Tárgyi eszközök beszerzése </t>
    </r>
    <r>
      <rPr>
        <i/>
        <sz val="10"/>
        <rFont val="Palatino Linotype"/>
        <family val="1"/>
        <charset val="238"/>
      </rPr>
      <t>(mosógép, hűtőszekrény, szakmai eszközök)</t>
    </r>
  </si>
  <si>
    <t>Bölcsődei telephelyek részére szakmai eszközök (bevételi többletből)</t>
  </si>
  <si>
    <t>Tempus Közalapítvány, NKA pályázatok, Kormányhivatal bevételi többlet</t>
  </si>
  <si>
    <t>Áfa bevétel, NKA pályázati támogatás</t>
  </si>
  <si>
    <t xml:space="preserve">átcsoportosítás KSZR felhasználás </t>
  </si>
  <si>
    <t>bevételi többletből, és egyéb átcsoportosítás</t>
  </si>
  <si>
    <t>Szoftver beszerzés, honlap beszerzés</t>
  </si>
  <si>
    <t>Eötvös Károly Megyei Könyvtár - várható áfa bevételi többlet</t>
  </si>
  <si>
    <r>
      <rPr>
        <u/>
        <sz val="11"/>
        <rFont val="Palatino Linotype"/>
        <family val="1"/>
        <charset val="238"/>
      </rPr>
      <t xml:space="preserve">Eötvös Károly Megyei Könyvtár </t>
    </r>
    <r>
      <rPr>
        <sz val="11"/>
        <rFont val="Palatino Linotype"/>
        <family val="1"/>
        <charset val="238"/>
      </rPr>
      <t>- NKA pályázati támogatás</t>
    </r>
  </si>
  <si>
    <t>átcsoportosítás dologi kiadásokról</t>
  </si>
  <si>
    <t>személyi kiadásokra 4.060 eFt. munkaad.terh.szoc.hoz.adóra 809 eFt.</t>
  </si>
  <si>
    <t>Kisértékű tárgyi eszközök (Vákuumfóliázó - védőmaszkok varrása utáni csomagoláshoz, érintésmentes lázmérő, elektromos konzervnyitó és késélező</t>
  </si>
  <si>
    <t>Kisértékű tárgyi eszközök ( érintésmentes lázmérő, átfolyó vízmelegítő)</t>
  </si>
  <si>
    <t>Kulturális illetmény pótlék (2020. augusztus hó)</t>
  </si>
  <si>
    <t>Szociális ágazati összevont pótlék (2020. augusztus hó)</t>
  </si>
  <si>
    <t>Szociális ágazatban foglalkoztatottak egészségügyi kiegészítő pótléka (2020. augusztus hó)</t>
  </si>
  <si>
    <t>Bérkompenzáció (2020. augusztus hó)</t>
  </si>
  <si>
    <t>Egészségügyi kiegészítő pótlék (2020. augusztus hó)</t>
  </si>
  <si>
    <t>módosítás- Kulturális illetmény pótlék (2020. augusztus hó)</t>
  </si>
  <si>
    <t>módosítás- Bérkompenzáció (2020. augusztus hó)</t>
  </si>
  <si>
    <t>módosítás- Kulturális illetménypótlék (2020. augusztus hó)</t>
  </si>
  <si>
    <t xml:space="preserve">Nemzeti ünnepek kiadásai </t>
  </si>
  <si>
    <t>átcsoportosítás Agóra VKK-nak - október 6-i rendezvény lebonyolításának költségeire</t>
  </si>
  <si>
    <t>átcsoportosítás október 6-i rendezvény lebonyolításának költségeire</t>
  </si>
  <si>
    <t>átcsoportosítás október 6-i rendezvény költségeire</t>
  </si>
  <si>
    <t>átcsoportosítás október 6-i rendezvényre</t>
  </si>
  <si>
    <t>Kézfertőtlenítő adagolók, érintés nélküli lázmérők</t>
  </si>
  <si>
    <t>Önkormányzat működési bevételei</t>
  </si>
  <si>
    <t>személyi kiadásokra</t>
  </si>
  <si>
    <t>módosítás- projekt visszaadása</t>
  </si>
  <si>
    <t>TOP-6.5.1-16-VP1-2018-00005 - Március 15. utcai Sportcsarnok és Uszoda energetikai megújítása - beruházási kiadások</t>
  </si>
  <si>
    <t>TOP-6.5.1-16-VP1-2018-00005 - Március 15. utcai Sportcsarnok és Uszoda energetikai megújítása - dologi kiadások</t>
  </si>
  <si>
    <t>TOP-6.5.1-16-VP1-2018-00005 - Március 15. utcai Sportcsarnok és Uszoda energetikai megújítása - projekt visszaadása</t>
  </si>
  <si>
    <t>TOP-6.5.1-16-VP1-2018-00005 - Március 15. utcai Sportcsarnok és Uszoda energetikai megújítása - egyéb működési célú kiadások - projekt visszaadása</t>
  </si>
  <si>
    <t>TOP-6.5.1-16-VP1-2018-00002 Völgyikút utca 2. szám alatti épület energetikai megújítása - projekt előleg visszautalása az Államkincstárnak</t>
  </si>
  <si>
    <t>módosítás- projetk előleg visszautalása az Államkincstárnak</t>
  </si>
  <si>
    <t>átcsoportosítás személyi kiadásokról -1.000 eFt., munkaadót terhelő szoc.hóról -500 eFt.</t>
  </si>
  <si>
    <t>dologi kiadásokra</t>
  </si>
  <si>
    <t>átcsoportosítás egyéb működési célú kiadásokra - elszámolás</t>
  </si>
  <si>
    <t>Haszkovó lakótelep fejlesztései - átcsoportosítás</t>
  </si>
  <si>
    <t>Európa Kulturális Fővárosa felhalmozási kiadása (11.EKF I.ütem)</t>
  </si>
  <si>
    <t>Okoseszközök nyertes pályázatból, látássérült munkavállaló részére (apple macbook, okostelefon, óra)</t>
  </si>
  <si>
    <r>
      <t>Szakmai tárgyi eszközök beszerzésére (</t>
    </r>
    <r>
      <rPr>
        <i/>
        <sz val="10"/>
        <rFont val="Palatino Linotype"/>
        <family val="1"/>
        <charset val="238"/>
      </rPr>
      <t>határfelület mikrofonok, számítógépek frissítése, létra-díszítőtár, biztonsági heveder-díszítőtár, járás lámpa 10 db-világosítótár, vércukorszintmérő, pen-drive (nagy kapacitású), iratmegsemmisítő, stúdió monitor-hangtár, számítógéphez kiegészítők, Informatika eszközök, személyigazolvány-olvasó, pendrive-ok, laptopok, projektorok, iratmegsemmisítő, mosógép, LED-es világítás, állólámpa, ügyelői monitor, lámpák, vércukorszint mérő, vasaló állomás, webkamera, kézfertőtlenítő adagoló gépek, hőmérők, ventillátor, minihűtő, laminálógép, biztonsági testheveder, ügyelői monitor, csőtisztítógép, présszerszám, matracok, forrasztó, hőlégfúvó, tűzőgép, búvárszivattyú, sarokcsiszoló, bluetooth hangfal))</t>
    </r>
  </si>
  <si>
    <t>Informatikai eszközök (router, usb adapter bővítés, laptopok, windows office programok, okostelefonok)</t>
  </si>
  <si>
    <t>Bútorok (irodai székek, irodai berendezés kanapé és fotel, asztalok)</t>
  </si>
  <si>
    <t>személyi kiadásokra 37.000 eFt. munkaad.terh.szoc.hoz.adóra 3.000 eFt.</t>
  </si>
  <si>
    <t>Pedagógus bérfejlesztés 2020. július 1-től</t>
  </si>
  <si>
    <t>Gyermekétkeztetés költségeinek rendezése</t>
  </si>
  <si>
    <t>módosítás- gyermekétkeztetés költségeinek rendezése</t>
  </si>
  <si>
    <t>Veszprémi Intézményi Szolgáltató szervezet</t>
  </si>
  <si>
    <t>Átcsoportosítás</t>
  </si>
  <si>
    <t>Veszprémi Intézményi Szolgáltató Szervezet - gépkocsi eladás</t>
  </si>
  <si>
    <t>személyi kiadásokra 29.000 eFt. munkaad.terh.szoc.hoz.adóra 9.000 eFt.</t>
  </si>
  <si>
    <t>Laptopok gazdasági ügyintézőknek</t>
  </si>
  <si>
    <t>Laptopok gazdasági ügyyintézőknek</t>
  </si>
  <si>
    <t>Veszprémi Turisztikai Kft. törzstőke emelés</t>
  </si>
  <si>
    <t>Veszprémi Turisztikai Kft. tőketartalékba helyezés</t>
  </si>
  <si>
    <t>átcsoportosítás szolgáltatás vásárlásra</t>
  </si>
  <si>
    <t xml:space="preserve">          személyi kiadásokról -11.592 eFt., munaadót terhelő szoc.hóról -2.260 eFt.</t>
  </si>
  <si>
    <t>átcsoportosítás dologi kiadásokról, bevételi többletből személyi kiadásokra 6.000 eFt. munkaad.terh.szoc.hoz.adóra 1.000 eFt.</t>
  </si>
  <si>
    <t>személyi kiadásokra 6.794 eFt. munkaad.terh.szoc.hoz.adóra 1.053 eFt.</t>
  </si>
  <si>
    <t>átcsoportosítás személyi kiadásokról -3.896 eFt., munkaad.terhelő szoc.hóról -604 eFt.</t>
  </si>
  <si>
    <t>Adók - Iparűzési adó</t>
  </si>
  <si>
    <t>módosítás- átcsoportosítás Agóra VKK-nak október 6-ai rendezvény költségeire</t>
  </si>
  <si>
    <t>Programiroda nemzeti ünnepekkel kapcsolatos költségeire</t>
  </si>
  <si>
    <t>módosítás- Programiroda városi szilveszter rendezvényének költségeire</t>
  </si>
  <si>
    <t>Közművelődési szolgáltatás</t>
  </si>
  <si>
    <t>Programiroda városi szilveszter költségeire</t>
  </si>
  <si>
    <t>átcsoportosítás törzstőke emelésre és tartalékba helyezésre</t>
  </si>
  <si>
    <t>Önkormányzati érdekeket érintő településrendezési eszközök módosítása</t>
  </si>
  <si>
    <t>módosítás- Szociális ágazati összevont pótlék (2020. augusztus hó - 2020. szeptember hó)</t>
  </si>
  <si>
    <t>módosítás- szolgáltatási bevétel (roncsautók tárolása, őrzése)</t>
  </si>
  <si>
    <t>Tempus Közalapítvány, NKA pályázati bevételek, Kormányhivataltól kapott támogatás</t>
  </si>
  <si>
    <t>TOP-6.5.1-16-VP1-2018-00005 - Március 15. utcai Sportcsarnok és Uszoda energetikai megújítása - egyéb felhalmozási célú kiadások - projekt visszaadása</t>
  </si>
  <si>
    <t xml:space="preserve">átcsoportosítás felhalmozási célú kiadásokra </t>
  </si>
  <si>
    <t>módosítás- átcsoportosítás erdők ápolására, utógondozására</t>
  </si>
  <si>
    <r>
      <t xml:space="preserve">Parkfenntartás - </t>
    </r>
    <r>
      <rPr>
        <sz val="11"/>
        <rFont val="Palatino Linotype"/>
        <family val="1"/>
        <charset val="238"/>
      </rPr>
      <t>erdők ápolása, utógondozása</t>
    </r>
  </si>
  <si>
    <t>módosítás- Bakonykarszt számla és analitika szerint</t>
  </si>
  <si>
    <t>Lakossági vízbekötések -Bakonykarszt számla és analitika szerint</t>
  </si>
  <si>
    <t>Veszprém "10+10 éve" - Konferencia, workshop és kiadvány, díjátadó és polgármesteri évértékelő rendezvényre</t>
  </si>
  <si>
    <t>2020. évi költségvetési bevételei</t>
  </si>
  <si>
    <t>"1. melléklet VMJV Önkormányzata Közgyűlésének 5/2020. (II. 27.) önkormányzati rendeletéhez"</t>
  </si>
  <si>
    <t>2020. évi költségvetési kiadásai</t>
  </si>
  <si>
    <t xml:space="preserve">2020. évi saját bevételei </t>
  </si>
  <si>
    <t>2020. évi felhalmozási költségvetési kiadások előirányzatai</t>
  </si>
  <si>
    <t xml:space="preserve">Önkormányzati feladatok és egyéb kötelezettségek 2020. évi működési költségvetési kiadásai </t>
  </si>
  <si>
    <t xml:space="preserve">alapítványoknak, egyesületeknek, civil szervezeteknek, társadalmi szervezeteknek nyújtott támogatásokról 2020. évben </t>
  </si>
  <si>
    <t>2020. évi beruházási és egyéb felhalmozási célú kiadások előirányzatai</t>
  </si>
  <si>
    <t xml:space="preserve">Európai Uniós forrásból finanszírozott támogatással megvalósuló programok, projektek 2020. évi költségvetési kiadásainak előirányzata </t>
  </si>
  <si>
    <t>Európa Kulturális Főváros 2020. évi költségvetési kiadásainak előirányzatai</t>
  </si>
  <si>
    <t xml:space="preserve">KÖLTSÉGVETÉSI BEVÉTELEI ÉS KIADÁSAI 2020. ÉVBEN </t>
  </si>
  <si>
    <r>
      <rPr>
        <b/>
        <i/>
        <sz val="11"/>
        <rFont val="Palatino Linotype"/>
        <family val="1"/>
        <charset val="238"/>
      </rPr>
      <t>Igazgatás</t>
    </r>
    <r>
      <rPr>
        <sz val="11"/>
        <rFont val="Palatino Linotype"/>
        <family val="1"/>
        <charset val="238"/>
      </rPr>
      <t xml:space="preserve"> - Bérkompenzáció (2020. augusztus hó)</t>
    </r>
  </si>
  <si>
    <t>Tartalékok</t>
  </si>
  <si>
    <t>"2. melléklet VMJV Önkormányzata Közgyűlésének 5/2020. (II. 27.) önkormányzati rendeletéhez"</t>
  </si>
  <si>
    <t>"3. melléklet VMJV Önkormányzata Közgyűlésének 5/2020. (II. 27.) önkormányzati rendeletéhez"</t>
  </si>
  <si>
    <t>"4. melléklet VMJV Önkormányzata Közgyűlésének 5/2020. (II. 27.) önkormányzati rendeletéhez"</t>
  </si>
  <si>
    <t>"5. melléklet VMJV Önkormányzata Közgyűlésének 5/2020. (II. 27.) önkormányzati rendeletéhez"</t>
  </si>
  <si>
    <t>"6. melléklet VMJV Önkormányzata Közgyűlésének 5/2020. (II. 27.) önkormányzati rendeletéhez"</t>
  </si>
  <si>
    <t>"7. melléklet VMJV Önkormányzata Közgyűlésének 5/2020. (II. 27.) önkormányzati rendeletéhez"</t>
  </si>
  <si>
    <t>"9. melléklet VMJV Önkormányzata Közgyűlésének 5/2020. (II. 27.) önkormányzati rendeletéhez"</t>
  </si>
  <si>
    <t>"11. melléklet VMJV Önkormányzata Közgyűlésének 5/2020. (II. 27.) önkormányzati rendeletéhez"</t>
  </si>
  <si>
    <t>"12. melléklet VMJV Önkormányzata Közgyűlésének 5/2020. (II. 27.) önkormányzati rendeletéhez"</t>
  </si>
  <si>
    <t>"16. melléklet VMJV Önkormányzata Közgyűlésének 5/2020. (II. 27.) önkormányzati rendeletéhez"</t>
  </si>
  <si>
    <t>Tulajdonosi bevételek - Bakonykarszt - lakossági vízbekötés ellentételezése</t>
  </si>
  <si>
    <t>Szakmai tárgyi eszközök (webkamera, kézfertőtlenítő adagoló gépek, hőmérők, ventilátor, minihűtő, laminálógép, biztonsági testheveder, ügyelői monitor, csőtisztítógép-présszerzám, matracok, forrasztó, hőlégfóvó, tűzőgép, búvárszivattyú, sarokcsiszoló, bluetooth hangfal)</t>
  </si>
  <si>
    <t>"3/A. melléklet VMJV Önkormányzata Közgyűlésének 5/2020. (II. 27.) önkormányzati rendeletéhez"</t>
  </si>
  <si>
    <t>"6/A. melléklet VMJV Önkormányzata Közgyűlésének 5/2020. (II. 27.) önkormányzati rendeletéhez"</t>
  </si>
  <si>
    <t>1. melléklet a 2020. évi költségvetésről szóló 5/2020. (II. 27.) önkormányzati rendelet módosításáról szóló 39/2020. (X.29.) önkormányzati rendelethez</t>
  </si>
  <si>
    <t>2. melléklet a 2020. évi költségvetésről szóló 5/2020. (II. 27.) önkormányzati rendelet módosításáról szóló 39/2020. (X.29.) önkormányzati rendelethez</t>
  </si>
  <si>
    <t>3. melléklet a 2020. évi költségvetésről szóló 5/2020. (II. 27.) önkormányzati rendelet módosításáról szóló 39/2020. (X.29.) önkormányzati rendelethez</t>
  </si>
  <si>
    <t>3/A. melléklet a 2020. évi költségvetésről szóló 5/2020. (II. 27.) önkormányzati rendelet módosításáról szóló 39/2020. (X.29.)  önkormányzati rendelethez</t>
  </si>
  <si>
    <t>4. melléklet a 2020. évi költségvetésről szóló 5/2020. (II. 27.) önkormányzati rendelet módosításáról szóló 39/2020. (X.29.) önkormányzati rendelethez</t>
  </si>
  <si>
    <t>5. melléklet a 2020. évi költségvetésről szóló 5/2020. (II. 27.) önkormányzati rendelet módosításáról szóló 39/2020. (X.29.) önkormányzati rendelethez</t>
  </si>
  <si>
    <t>6. melléklet a 2020. évi költségvetésről szóló 5/2020. (II. 27.) önkormányzati rendelet módosításáról szóló 39/2020. (X.29.) önkormányzati rendelethez</t>
  </si>
  <si>
    <t>6/A. melléklet a 2020. évi költségvetésről szóló 5/2020. (II. 27.) önkormányzati rendelet módosításáról szóló 39/2020. (X.29.) önkormányzati rendelethez</t>
  </si>
  <si>
    <t>7. melléklet a 2020. évi költségvetésről szóló 5/2020. (II. 27.) önkormányzati rendelet módosításáról szóló 39/2020. (X.29.) önkormányzati rendelethez</t>
  </si>
  <si>
    <t>8. melléklet a 2020. évi költségvetésről szóló 5/2020. (II. 27.) önkormányzati rendelet módosításáról szóló 39/2020. (X.29.) önkormányzati rendelethez</t>
  </si>
  <si>
    <t>9. melléklet a 2020. évi költségvetésről szóló 5/2020. (II. 27.) önkormányzati rendelet módosításáról szóló 39/2020. (X.29.) önkormányzati rendelethez</t>
  </si>
  <si>
    <t>10. melléklet a 2020. évi költségvetésről szóló 5/2020. (II. 27.) önkormányzati rendelet módosításáról szóló 39/2020. (X.29.) önkormányzati rendelethez</t>
  </si>
  <si>
    <t>11. melléklet a 2020. évi költségvetésről szóló 5/2020. (II. 27.) önkormányzati rendelet módosításáról szóló 39/2020. (X.29.)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</si>
</sst>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0.000"/>
    <numFmt numFmtId="165" formatCode="0.0%"/>
  </numFmts>
  <fonts count="64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Palatino Linotype"/>
      <family val="1"/>
      <charset val="238"/>
    </font>
    <font>
      <sz val="10"/>
      <name val="Arial"/>
      <family val="2"/>
      <charset val="238"/>
    </font>
    <font>
      <b/>
      <sz val="11"/>
      <name val="Palatino Linotype"/>
      <family val="1"/>
      <charset val="238"/>
    </font>
    <font>
      <i/>
      <sz val="11"/>
      <name val="Palatino Linotype"/>
      <family val="1"/>
      <charset val="238"/>
    </font>
    <font>
      <sz val="9"/>
      <name val="Palatino Linotype"/>
      <family val="1"/>
      <charset val="238"/>
    </font>
    <font>
      <sz val="8"/>
      <name val="Arial CE"/>
      <charset val="238"/>
    </font>
    <font>
      <sz val="12"/>
      <name val="Times New Roman"/>
      <family val="1"/>
      <charset val="238"/>
    </font>
    <font>
      <sz val="8"/>
      <name val="Palatino Linotype"/>
      <family val="1"/>
      <charset val="238"/>
    </font>
    <font>
      <sz val="10"/>
      <name val="Palatino Linotype"/>
      <family val="1"/>
      <charset val="238"/>
    </font>
    <font>
      <b/>
      <sz val="9"/>
      <name val="Palatino Linotype"/>
      <family val="1"/>
      <charset val="238"/>
    </font>
    <font>
      <i/>
      <sz val="10"/>
      <name val="Palatino Linotype"/>
      <family val="1"/>
      <charset val="238"/>
    </font>
    <font>
      <b/>
      <sz val="10"/>
      <name val="Palatino Linotype"/>
      <family val="1"/>
      <charset val="238"/>
    </font>
    <font>
      <sz val="9"/>
      <name val="Arial CE"/>
      <charset val="238"/>
    </font>
    <font>
      <i/>
      <u/>
      <sz val="10"/>
      <name val="Palatino Linotype"/>
      <family val="1"/>
      <charset val="238"/>
    </font>
    <font>
      <b/>
      <i/>
      <sz val="10"/>
      <name val="Palatino Linotype"/>
      <family val="1"/>
      <charset val="238"/>
    </font>
    <font>
      <b/>
      <i/>
      <sz val="11"/>
      <name val="Palatino Linotype"/>
      <family val="1"/>
      <charset val="238"/>
    </font>
    <font>
      <sz val="7"/>
      <name val="Palatino Linotype"/>
      <family val="1"/>
      <charset val="238"/>
    </font>
    <font>
      <b/>
      <sz val="8"/>
      <name val="Palatino Linotype"/>
      <family val="1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u val="double"/>
      <sz val="10"/>
      <name val="Palatino Linotype"/>
      <family val="1"/>
      <charset val="238"/>
    </font>
    <font>
      <sz val="11"/>
      <name val="Arial CE"/>
      <charset val="238"/>
    </font>
    <font>
      <sz val="10"/>
      <name val="Times New Roman"/>
      <family val="1"/>
      <charset val="238"/>
    </font>
    <font>
      <b/>
      <u/>
      <sz val="10"/>
      <name val="Palatino Linotype"/>
      <family val="1"/>
      <charset val="238"/>
    </font>
    <font>
      <b/>
      <u/>
      <sz val="11"/>
      <name val="Palatino Linotype"/>
      <family val="1"/>
      <charset val="238"/>
    </font>
    <font>
      <u/>
      <sz val="11"/>
      <name val="Palatino Linotype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b/>
      <sz val="10"/>
      <color theme="5" tint="-0.499984740745262"/>
      <name val="Palatino Linotype"/>
      <family val="1"/>
      <charset val="238"/>
    </font>
    <font>
      <b/>
      <i/>
      <sz val="10"/>
      <color theme="5" tint="-0.499984740745262"/>
      <name val="Palatino Linotype"/>
      <family val="1"/>
      <charset val="238"/>
    </font>
    <font>
      <b/>
      <sz val="10"/>
      <color theme="5" tint="-0.499984740745262"/>
      <name val="Arial CE"/>
      <charset val="238"/>
    </font>
    <font>
      <b/>
      <i/>
      <sz val="10"/>
      <color theme="5" tint="-0.499984740745262"/>
      <name val="Arial CE"/>
      <charset val="238"/>
    </font>
    <font>
      <b/>
      <sz val="11"/>
      <color theme="5" tint="-0.499984740745262"/>
      <name val="Palatino Linotype"/>
      <family val="1"/>
      <charset val="238"/>
    </font>
    <font>
      <sz val="11"/>
      <color theme="5" tint="-0.499984740745262"/>
      <name val="Palatino Linotype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u/>
      <sz val="12"/>
      <name val="Palatino Linotype"/>
      <family val="1"/>
      <charset val="238"/>
    </font>
    <font>
      <u/>
      <sz val="10"/>
      <name val="Palatino Linotype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Palatino Linotype"/>
      <family val="1"/>
      <charset val="238"/>
    </font>
    <font>
      <sz val="11"/>
      <color rgb="FF000000"/>
      <name val="Palatino Linotype"/>
      <family val="1"/>
      <charset val="238"/>
    </font>
    <font>
      <b/>
      <i/>
      <sz val="11"/>
      <color theme="5" tint="-0.499984740745262"/>
      <name val="Palatino Linotype"/>
      <family val="1"/>
      <charset val="238"/>
    </font>
    <font>
      <b/>
      <sz val="9"/>
      <color theme="5" tint="-0.499984740745262"/>
      <name val="Palatino Linotype"/>
      <family val="1"/>
      <charset val="238"/>
    </font>
    <font>
      <i/>
      <sz val="10"/>
      <color theme="1"/>
      <name val="Palatino Linotype"/>
      <family val="1"/>
      <charset val="238"/>
    </font>
    <font>
      <b/>
      <sz val="10"/>
      <color theme="1"/>
      <name val="Palatino Linotype"/>
      <family val="1"/>
      <charset val="238"/>
    </font>
    <font>
      <b/>
      <sz val="12"/>
      <name val="Palatino Linotype"/>
      <family val="1"/>
      <charset val="238"/>
    </font>
    <font>
      <i/>
      <u/>
      <sz val="11"/>
      <name val="Palatino Linotype"/>
      <family val="1"/>
      <charset val="238"/>
    </font>
    <font>
      <b/>
      <i/>
      <u/>
      <sz val="11"/>
      <name val="Palatino Linotype"/>
      <family val="1"/>
      <charset val="238"/>
    </font>
    <font>
      <b/>
      <i/>
      <sz val="12"/>
      <name val="Palatino Linotype"/>
      <family val="1"/>
      <charset val="238"/>
    </font>
    <font>
      <b/>
      <sz val="10"/>
      <color rgb="FFFF0000"/>
      <name val="Palatino Linotype"/>
      <family val="1"/>
      <charset val="238"/>
    </font>
    <font>
      <i/>
      <sz val="14"/>
      <name val="Garamond"/>
      <family val="1"/>
      <charset val="238"/>
    </font>
    <font>
      <i/>
      <sz val="10"/>
      <color rgb="FFFF0000"/>
      <name val="Palatino Linotype"/>
      <family val="1"/>
      <charset val="238"/>
    </font>
    <font>
      <i/>
      <sz val="11"/>
      <color rgb="FFFF0000"/>
      <name val="Palatino Linotyp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</borders>
  <cellStyleXfs count="50">
    <xf numFmtId="0" fontId="0" fillId="0" borderId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5" fillId="0" borderId="0"/>
    <xf numFmtId="0" fontId="16" fillId="0" borderId="0"/>
    <xf numFmtId="0" fontId="1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9" fillId="0" borderId="0"/>
    <xf numFmtId="0" fontId="36" fillId="0" borderId="0"/>
    <xf numFmtId="0" fontId="36" fillId="0" borderId="0"/>
    <xf numFmtId="0" fontId="36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9" fillId="0" borderId="0"/>
    <xf numFmtId="0" fontId="9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7" fillId="0" borderId="0"/>
    <xf numFmtId="43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2445">
    <xf numFmtId="0" fontId="0" fillId="0" borderId="0" xfId="0"/>
    <xf numFmtId="0" fontId="10" fillId="0" borderId="0" xfId="0" applyFont="1" applyFill="1" applyBorder="1" applyAlignment="1">
      <alignment vertical="center"/>
    </xf>
    <xf numFmtId="3" fontId="10" fillId="0" borderId="0" xfId="0" applyNumberFormat="1" applyFont="1" applyFill="1" applyBorder="1"/>
    <xf numFmtId="3" fontId="10" fillId="0" borderId="0" xfId="18" applyNumberFormat="1" applyFont="1" applyFill="1" applyAlignment="1">
      <alignment horizontal="center"/>
    </xf>
    <xf numFmtId="3" fontId="10" fillId="0" borderId="0" xfId="18" applyNumberFormat="1" applyFont="1" applyFill="1"/>
    <xf numFmtId="3" fontId="12" fillId="0" borderId="0" xfId="18" applyNumberFormat="1" applyFont="1" applyFill="1"/>
    <xf numFmtId="3" fontId="10" fillId="0" borderId="0" xfId="18" applyNumberFormat="1" applyFont="1" applyFill="1" applyAlignment="1">
      <alignment vertical="center"/>
    </xf>
    <xf numFmtId="3" fontId="10" fillId="0" borderId="0" xfId="18" applyNumberFormat="1" applyFont="1" applyFill="1" applyAlignment="1">
      <alignment horizontal="center" vertical="top"/>
    </xf>
    <xf numFmtId="3" fontId="10" fillId="0" borderId="0" xfId="18" applyNumberFormat="1" applyFont="1" applyFill="1" applyAlignment="1">
      <alignment horizontal="center" vertical="center"/>
    </xf>
    <xf numFmtId="3" fontId="13" fillId="0" borderId="0" xfId="18" applyNumberFormat="1" applyFont="1" applyFill="1" applyAlignment="1">
      <alignment horizontal="center" vertical="center"/>
    </xf>
    <xf numFmtId="3" fontId="12" fillId="0" borderId="0" xfId="0" applyNumberFormat="1" applyFont="1" applyFill="1" applyBorder="1"/>
    <xf numFmtId="3" fontId="10" fillId="0" borderId="0" xfId="18" applyNumberFormat="1" applyFont="1" applyFill="1" applyBorder="1" applyAlignment="1">
      <alignment vertical="top" wrapText="1"/>
    </xf>
    <xf numFmtId="3" fontId="10" fillId="0" borderId="0" xfId="18" applyNumberFormat="1" applyFont="1" applyFill="1" applyBorder="1" applyAlignment="1">
      <alignment horizontal="center"/>
    </xf>
    <xf numFmtId="3" fontId="12" fillId="0" borderId="0" xfId="18" applyNumberFormat="1" applyFont="1" applyFill="1" applyBorder="1"/>
    <xf numFmtId="3" fontId="12" fillId="0" borderId="0" xfId="18" applyNumberFormat="1" applyFont="1" applyFill="1" applyBorder="1" applyAlignment="1">
      <alignment vertical="top" wrapText="1"/>
    </xf>
    <xf numFmtId="3" fontId="12" fillId="0" borderId="0" xfId="18" applyNumberFormat="1" applyFont="1" applyFill="1" applyBorder="1" applyAlignment="1">
      <alignment horizontal="center"/>
    </xf>
    <xf numFmtId="3" fontId="10" fillId="0" borderId="0" xfId="18" applyNumberFormat="1" applyFont="1" applyFill="1" applyAlignment="1">
      <alignment vertical="top" wrapText="1"/>
    </xf>
    <xf numFmtId="3" fontId="10" fillId="0" borderId="0" xfId="18" applyNumberFormat="1" applyFont="1" applyFill="1" applyBorder="1" applyAlignment="1">
      <alignment horizontal="center" vertical="top" wrapText="1"/>
    </xf>
    <xf numFmtId="3" fontId="12" fillId="0" borderId="0" xfId="18" applyNumberFormat="1" applyFont="1" applyFill="1" applyAlignment="1">
      <alignment vertical="top" wrapText="1"/>
    </xf>
    <xf numFmtId="0" fontId="10" fillId="0" borderId="0" xfId="0" applyFont="1" applyFill="1" applyAlignment="1">
      <alignment horizontal="center" vertical="center"/>
    </xf>
    <xf numFmtId="4" fontId="10" fillId="0" borderId="0" xfId="0" applyNumberFormat="1" applyFont="1" applyFill="1" applyBorder="1" applyAlignment="1">
      <alignment horizontal="left" vertical="center"/>
    </xf>
    <xf numFmtId="4" fontId="10" fillId="0" borderId="0" xfId="0" applyNumberFormat="1" applyFont="1" applyFill="1" applyAlignment="1">
      <alignment vertical="center"/>
    </xf>
    <xf numFmtId="4" fontId="14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8" fillId="0" borderId="1" xfId="0" applyFont="1" applyFill="1" applyBorder="1" applyAlignment="1">
      <alignment horizontal="center" vertical="center" textRotation="90"/>
    </xf>
    <xf numFmtId="0" fontId="10" fillId="0" borderId="2" xfId="0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horizontal="left" vertical="center" wrapText="1" indent="3"/>
    </xf>
    <xf numFmtId="0" fontId="12" fillId="0" borderId="0" xfId="0" applyFont="1" applyFill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 wrapText="1"/>
    </xf>
    <xf numFmtId="4" fontId="12" fillId="0" borderId="0" xfId="0" applyNumberFormat="1" applyFont="1" applyFill="1" applyAlignment="1">
      <alignment vertical="center"/>
    </xf>
    <xf numFmtId="4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vertical="center" wrapText="1"/>
    </xf>
    <xf numFmtId="3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4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center"/>
    </xf>
    <xf numFmtId="3" fontId="10" fillId="0" borderId="0" xfId="0" applyNumberFormat="1" applyFont="1" applyBorder="1"/>
    <xf numFmtId="3" fontId="18" fillId="0" borderId="0" xfId="0" applyNumberFormat="1" applyFont="1" applyFill="1" applyAlignment="1">
      <alignment vertical="center"/>
    </xf>
    <xf numFmtId="3" fontId="20" fillId="0" borderId="0" xfId="0" applyNumberFormat="1" applyFont="1" applyFill="1" applyAlignment="1">
      <alignment vertical="center"/>
    </xf>
    <xf numFmtId="3" fontId="18" fillId="0" borderId="0" xfId="0" applyNumberFormat="1" applyFont="1" applyFill="1" applyAlignment="1">
      <alignment horizontal="center" vertical="center"/>
    </xf>
    <xf numFmtId="3" fontId="18" fillId="0" borderId="0" xfId="0" applyNumberFormat="1" applyFont="1" applyFill="1" applyBorder="1" applyAlignment="1">
      <alignment vertical="center"/>
    </xf>
    <xf numFmtId="3" fontId="23" fillId="0" borderId="7" xfId="0" applyNumberFormat="1" applyFont="1" applyFill="1" applyBorder="1" applyAlignment="1">
      <alignment horizontal="center" vertical="center" wrapText="1"/>
    </xf>
    <xf numFmtId="3" fontId="18" fillId="0" borderId="0" xfId="0" applyNumberFormat="1" applyFont="1" applyFill="1" applyAlignment="1"/>
    <xf numFmtId="3" fontId="18" fillId="0" borderId="0" xfId="0" applyNumberFormat="1" applyFont="1" applyFill="1" applyBorder="1" applyAlignment="1"/>
    <xf numFmtId="3" fontId="20" fillId="0" borderId="0" xfId="0" applyNumberFormat="1" applyFont="1" applyFill="1" applyBorder="1" applyAlignment="1">
      <alignment vertical="center"/>
    </xf>
    <xf numFmtId="3" fontId="18" fillId="0" borderId="0" xfId="0" applyNumberFormat="1" applyFont="1" applyFill="1" applyAlignment="1">
      <alignment vertical="top"/>
    </xf>
    <xf numFmtId="3" fontId="21" fillId="0" borderId="0" xfId="0" applyNumberFormat="1" applyFont="1" applyFill="1" applyAlignment="1">
      <alignment vertical="center"/>
    </xf>
    <xf numFmtId="3" fontId="21" fillId="0" borderId="0" xfId="0" applyNumberFormat="1" applyFont="1" applyFill="1" applyBorder="1" applyAlignment="1">
      <alignment vertical="center"/>
    </xf>
    <xf numFmtId="3" fontId="24" fillId="0" borderId="0" xfId="0" applyNumberFormat="1" applyFont="1" applyFill="1" applyBorder="1" applyAlignment="1">
      <alignment vertical="center"/>
    </xf>
    <xf numFmtId="3" fontId="18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Alignment="1">
      <alignment horizontal="center" vertical="center"/>
    </xf>
    <xf numFmtId="3" fontId="18" fillId="0" borderId="0" xfId="0" applyNumberFormat="1" applyFont="1" applyFill="1" applyAlignment="1">
      <alignment horizontal="center" vertical="top"/>
    </xf>
    <xf numFmtId="3" fontId="14" fillId="0" borderId="0" xfId="0" applyNumberFormat="1" applyFont="1" applyAlignment="1">
      <alignment horizontal="center"/>
    </xf>
    <xf numFmtId="3" fontId="18" fillId="0" borderId="7" xfId="17" applyNumberFormat="1" applyFont="1" applyFill="1" applyBorder="1" applyAlignment="1">
      <alignment horizontal="center" vertical="center" wrapText="1"/>
    </xf>
    <xf numFmtId="3" fontId="12" fillId="0" borderId="0" xfId="17" applyNumberFormat="1" applyFont="1" applyFill="1" applyBorder="1" applyAlignment="1">
      <alignment horizontal="right" wrapText="1"/>
    </xf>
    <xf numFmtId="0" fontId="12" fillId="0" borderId="0" xfId="0" applyFont="1"/>
    <xf numFmtId="0" fontId="12" fillId="0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left" wrapText="1" indent="1"/>
    </xf>
    <xf numFmtId="3" fontId="12" fillId="0" borderId="0" xfId="0" applyNumberFormat="1" applyFont="1" applyFill="1" applyBorder="1" applyAlignment="1"/>
    <xf numFmtId="3" fontId="12" fillId="0" borderId="8" xfId="0" applyNumberFormat="1" applyFont="1" applyFill="1" applyBorder="1" applyAlignment="1">
      <alignment vertical="center"/>
    </xf>
    <xf numFmtId="3" fontId="10" fillId="0" borderId="10" xfId="0" applyNumberFormat="1" applyFont="1" applyFill="1" applyBorder="1"/>
    <xf numFmtId="3" fontId="10" fillId="0" borderId="0" xfId="0" applyNumberFormat="1" applyFont="1" applyFill="1"/>
    <xf numFmtId="3" fontId="10" fillId="0" borderId="0" xfId="17" applyNumberFormat="1" applyFont="1" applyFill="1"/>
    <xf numFmtId="3" fontId="10" fillId="0" borderId="0" xfId="17" applyNumberFormat="1" applyFont="1" applyFill="1" applyAlignment="1">
      <alignment horizontal="right"/>
    </xf>
    <xf numFmtId="3" fontId="10" fillId="0" borderId="0" xfId="17" applyNumberFormat="1" applyFont="1" applyFill="1" applyAlignment="1"/>
    <xf numFmtId="3" fontId="10" fillId="0" borderId="0" xfId="17" applyNumberFormat="1" applyFont="1" applyFill="1" applyAlignment="1">
      <alignment vertical="center"/>
    </xf>
    <xf numFmtId="3" fontId="10" fillId="0" borderId="0" xfId="17" applyNumberFormat="1" applyFont="1" applyFill="1" applyAlignment="1">
      <alignment horizontal="center" vertical="center"/>
    </xf>
    <xf numFmtId="3" fontId="12" fillId="0" borderId="11" xfId="17" applyNumberFormat="1" applyFont="1" applyFill="1" applyBorder="1" applyAlignment="1">
      <alignment horizontal="center"/>
    </xf>
    <xf numFmtId="3" fontId="10" fillId="0" borderId="11" xfId="17" applyNumberFormat="1" applyFont="1" applyFill="1" applyBorder="1" applyAlignment="1">
      <alignment horizontal="center"/>
    </xf>
    <xf numFmtId="3" fontId="12" fillId="0" borderId="11" xfId="17" applyNumberFormat="1" applyFont="1" applyFill="1" applyBorder="1" applyAlignment="1">
      <alignment wrapText="1"/>
    </xf>
    <xf numFmtId="3" fontId="12" fillId="0" borderId="11" xfId="17" applyNumberFormat="1" applyFont="1" applyFill="1" applyBorder="1"/>
    <xf numFmtId="3" fontId="12" fillId="0" borderId="0" xfId="17" applyNumberFormat="1" applyFont="1" applyFill="1"/>
    <xf numFmtId="49" fontId="10" fillId="0" borderId="4" xfId="17" applyNumberFormat="1" applyFont="1" applyFill="1" applyBorder="1" applyAlignment="1">
      <alignment horizontal="center"/>
    </xf>
    <xf numFmtId="3" fontId="10" fillId="0" borderId="0" xfId="17" applyNumberFormat="1" applyFont="1" applyFill="1" applyBorder="1" applyAlignment="1">
      <alignment horizontal="center"/>
    </xf>
    <xf numFmtId="3" fontId="10" fillId="0" borderId="0" xfId="17" applyNumberFormat="1" applyFont="1" applyFill="1" applyBorder="1"/>
    <xf numFmtId="3" fontId="10" fillId="0" borderId="0" xfId="17" applyNumberFormat="1" applyFont="1" applyFill="1" applyBorder="1" applyAlignment="1">
      <alignment horizontal="left" indent="2"/>
    </xf>
    <xf numFmtId="3" fontId="12" fillId="0" borderId="8" xfId="17" applyNumberFormat="1" applyFont="1" applyFill="1" applyBorder="1" applyAlignment="1">
      <alignment horizontal="center"/>
    </xf>
    <xf numFmtId="3" fontId="10" fillId="0" borderId="8" xfId="17" applyNumberFormat="1" applyFont="1" applyFill="1" applyBorder="1" applyAlignment="1">
      <alignment horizontal="center"/>
    </xf>
    <xf numFmtId="3" fontId="12" fillId="0" borderId="8" xfId="17" applyNumberFormat="1" applyFont="1" applyFill="1" applyBorder="1"/>
    <xf numFmtId="3" fontId="12" fillId="0" borderId="0" xfId="17" applyNumberFormat="1" applyFont="1" applyFill="1" applyBorder="1" applyAlignment="1">
      <alignment horizontal="center"/>
    </xf>
    <xf numFmtId="3" fontId="12" fillId="0" borderId="0" xfId="17" applyNumberFormat="1" applyFont="1" applyFill="1" applyBorder="1"/>
    <xf numFmtId="3" fontId="13" fillId="0" borderId="0" xfId="17" applyNumberFormat="1" applyFont="1" applyFill="1" applyBorder="1" applyAlignment="1">
      <alignment horizontal="center"/>
    </xf>
    <xf numFmtId="3" fontId="13" fillId="0" borderId="0" xfId="17" applyNumberFormat="1" applyFont="1" applyFill="1" applyBorder="1" applyAlignment="1">
      <alignment horizontal="left" indent="2"/>
    </xf>
    <xf numFmtId="3" fontId="13" fillId="0" borderId="0" xfId="17" applyNumberFormat="1" applyFont="1" applyFill="1" applyBorder="1"/>
    <xf numFmtId="3" fontId="13" fillId="0" borderId="0" xfId="17" applyNumberFormat="1" applyFont="1" applyFill="1"/>
    <xf numFmtId="3" fontId="10" fillId="0" borderId="0" xfId="17" applyNumberFormat="1" applyFont="1" applyFill="1" applyBorder="1" applyAlignment="1">
      <alignment horizontal="left" indent="3"/>
    </xf>
    <xf numFmtId="3" fontId="12" fillId="0" borderId="0" xfId="17" applyNumberFormat="1" applyFont="1" applyFill="1" applyBorder="1" applyAlignment="1">
      <alignment horizontal="center" vertical="center"/>
    </xf>
    <xf numFmtId="3" fontId="12" fillId="0" borderId="0" xfId="17" applyNumberFormat="1" applyFont="1" applyFill="1" applyBorder="1" applyAlignment="1">
      <alignment vertical="center"/>
    </xf>
    <xf numFmtId="3" fontId="10" fillId="0" borderId="0" xfId="17" applyNumberFormat="1" applyFont="1" applyFill="1" applyBorder="1" applyAlignment="1">
      <alignment horizontal="left"/>
    </xf>
    <xf numFmtId="49" fontId="10" fillId="0" borderId="4" xfId="17" applyNumberFormat="1" applyFont="1" applyFill="1" applyBorder="1" applyAlignment="1">
      <alignment horizontal="center" vertical="top"/>
    </xf>
    <xf numFmtId="3" fontId="10" fillId="0" borderId="0" xfId="17" applyNumberFormat="1" applyFont="1" applyFill="1" applyBorder="1" applyAlignment="1">
      <alignment horizontal="center" vertical="top"/>
    </xf>
    <xf numFmtId="3" fontId="10" fillId="0" borderId="0" xfId="17" applyNumberFormat="1" applyFont="1" applyFill="1" applyBorder="1" applyAlignment="1">
      <alignment vertical="top"/>
    </xf>
    <xf numFmtId="3" fontId="10" fillId="0" borderId="0" xfId="17" applyNumberFormat="1" applyFont="1" applyFill="1" applyAlignment="1">
      <alignment vertical="top"/>
    </xf>
    <xf numFmtId="49" fontId="10" fillId="0" borderId="12" xfId="17" applyNumberFormat="1" applyFont="1" applyFill="1" applyBorder="1" applyAlignment="1">
      <alignment horizontal="center" vertical="center"/>
    </xf>
    <xf numFmtId="3" fontId="12" fillId="0" borderId="13" xfId="17" applyNumberFormat="1" applyFont="1" applyFill="1" applyBorder="1" applyAlignment="1">
      <alignment horizontal="center" vertical="center"/>
    </xf>
    <xf numFmtId="3" fontId="10" fillId="0" borderId="13" xfId="17" applyNumberFormat="1" applyFont="1" applyFill="1" applyBorder="1" applyAlignment="1">
      <alignment horizontal="center" vertical="center"/>
    </xf>
    <xf numFmtId="3" fontId="12" fillId="0" borderId="13" xfId="17" applyNumberFormat="1" applyFont="1" applyFill="1" applyBorder="1" applyAlignment="1">
      <alignment vertical="center"/>
    </xf>
    <xf numFmtId="3" fontId="10" fillId="0" borderId="0" xfId="17" applyNumberFormat="1" applyFont="1" applyFill="1" applyBorder="1" applyAlignment="1"/>
    <xf numFmtId="3" fontId="10" fillId="0" borderId="0" xfId="17" applyNumberFormat="1" applyFont="1" applyFill="1" applyBorder="1" applyAlignment="1">
      <alignment horizontal="left" indent="1"/>
    </xf>
    <xf numFmtId="3" fontId="10" fillId="0" borderId="0" xfId="17" applyNumberFormat="1" applyFont="1" applyFill="1" applyBorder="1" applyAlignment="1">
      <alignment horizontal="left" vertical="top" indent="1"/>
    </xf>
    <xf numFmtId="49" fontId="10" fillId="0" borderId="0" xfId="17" applyNumberFormat="1" applyFont="1" applyFill="1" applyBorder="1" applyAlignment="1">
      <alignment horizontal="center"/>
    </xf>
    <xf numFmtId="49" fontId="10" fillId="0" borderId="0" xfId="17" applyNumberFormat="1" applyFont="1" applyFill="1" applyAlignment="1">
      <alignment horizontal="center"/>
    </xf>
    <xf numFmtId="3" fontId="12" fillId="0" borderId="0" xfId="17" applyNumberFormat="1" applyFont="1" applyFill="1" applyAlignment="1">
      <alignment horizontal="center"/>
    </xf>
    <xf numFmtId="3" fontId="10" fillId="0" borderId="0" xfId="17" applyNumberFormat="1" applyFont="1" applyFill="1" applyAlignment="1">
      <alignment horizontal="center"/>
    </xf>
    <xf numFmtId="3" fontId="18" fillId="0" borderId="0" xfId="0" applyNumberFormat="1" applyFont="1" applyFill="1" applyBorder="1" applyAlignment="1">
      <alignment horizontal="right"/>
    </xf>
    <xf numFmtId="3" fontId="14" fillId="0" borderId="0" xfId="18" applyNumberFormat="1" applyFont="1" applyFill="1" applyAlignment="1">
      <alignment horizontal="center" vertical="center"/>
    </xf>
    <xf numFmtId="3" fontId="18" fillId="0" borderId="14" xfId="0" applyNumberFormat="1" applyFont="1" applyFill="1" applyBorder="1" applyAlignment="1">
      <alignment horizontal="center" wrapText="1"/>
    </xf>
    <xf numFmtId="3" fontId="18" fillId="0" borderId="15" xfId="0" applyNumberFormat="1" applyFont="1" applyFill="1" applyBorder="1" applyAlignment="1">
      <alignment horizontal="center" wrapText="1"/>
    </xf>
    <xf numFmtId="3" fontId="18" fillId="0" borderId="16" xfId="0" applyNumberFormat="1" applyFont="1" applyFill="1" applyBorder="1" applyAlignment="1">
      <alignment horizontal="center" wrapText="1"/>
    </xf>
    <xf numFmtId="3" fontId="18" fillId="0" borderId="17" xfId="0" applyNumberFormat="1" applyFont="1" applyFill="1" applyBorder="1" applyAlignment="1">
      <alignment horizontal="center" wrapText="1"/>
    </xf>
    <xf numFmtId="3" fontId="18" fillId="0" borderId="17" xfId="0" applyNumberFormat="1" applyFont="1" applyFill="1" applyBorder="1" applyAlignment="1"/>
    <xf numFmtId="0" fontId="10" fillId="0" borderId="4" xfId="0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left" wrapText="1"/>
    </xf>
    <xf numFmtId="0" fontId="10" fillId="0" borderId="0" xfId="0" applyFont="1" applyFill="1" applyAlignment="1"/>
    <xf numFmtId="0" fontId="10" fillId="0" borderId="4" xfId="0" applyFont="1" applyFill="1" applyBorder="1" applyAlignment="1">
      <alignment horizontal="center" vertical="top"/>
    </xf>
    <xf numFmtId="0" fontId="10" fillId="0" borderId="0" xfId="0" applyFont="1" applyFill="1" applyAlignment="1">
      <alignment vertical="top"/>
    </xf>
    <xf numFmtId="164" fontId="13" fillId="0" borderId="0" xfId="0" applyNumberFormat="1" applyFont="1" applyFill="1" applyBorder="1" applyAlignment="1">
      <alignment horizontal="left" vertical="top" wrapText="1" indent="2"/>
    </xf>
    <xf numFmtId="164" fontId="13" fillId="0" borderId="6" xfId="0" applyNumberFormat="1" applyFont="1" applyFill="1" applyBorder="1" applyAlignment="1">
      <alignment horizontal="left" vertical="center" wrapText="1" indent="3"/>
    </xf>
    <xf numFmtId="0" fontId="14" fillId="0" borderId="0" xfId="0" applyFont="1" applyAlignment="1">
      <alignment horizontal="center"/>
    </xf>
    <xf numFmtId="3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3" fontId="18" fillId="0" borderId="18" xfId="0" applyNumberFormat="1" applyFont="1" applyFill="1" applyBorder="1" applyAlignment="1"/>
    <xf numFmtId="4" fontId="14" fillId="0" borderId="19" xfId="0" applyNumberFormat="1" applyFont="1" applyFill="1" applyBorder="1" applyAlignment="1">
      <alignment horizontal="center"/>
    </xf>
    <xf numFmtId="4" fontId="14" fillId="0" borderId="19" xfId="0" applyNumberFormat="1" applyFont="1" applyFill="1" applyBorder="1" applyAlignment="1">
      <alignment horizontal="center" vertical="top"/>
    </xf>
    <xf numFmtId="4" fontId="14" fillId="0" borderId="19" xfId="0" applyNumberFormat="1" applyFont="1" applyFill="1" applyBorder="1" applyAlignment="1">
      <alignment horizontal="center" vertical="center"/>
    </xf>
    <xf numFmtId="4" fontId="19" fillId="0" borderId="20" xfId="0" applyNumberFormat="1" applyFont="1" applyFill="1" applyBorder="1" applyAlignment="1">
      <alignment horizontal="center" vertical="center"/>
    </xf>
    <xf numFmtId="4" fontId="14" fillId="0" borderId="19" xfId="0" applyNumberFormat="1" applyFont="1" applyFill="1" applyBorder="1" applyAlignment="1">
      <alignment horizontal="center" vertical="center" wrapText="1"/>
    </xf>
    <xf numFmtId="4" fontId="14" fillId="0" borderId="19" xfId="0" applyNumberFormat="1" applyFont="1" applyFill="1" applyBorder="1" applyAlignment="1">
      <alignment horizontal="center" vertical="top" wrapText="1"/>
    </xf>
    <xf numFmtId="4" fontId="14" fillId="0" borderId="20" xfId="0" applyNumberFormat="1" applyFont="1" applyFill="1" applyBorder="1" applyAlignment="1">
      <alignment horizontal="center" vertical="center"/>
    </xf>
    <xf numFmtId="4" fontId="14" fillId="0" borderId="0" xfId="0" applyNumberFormat="1" applyFont="1" applyFill="1" applyBorder="1" applyAlignment="1">
      <alignment horizontal="center" vertical="center"/>
    </xf>
    <xf numFmtId="4" fontId="19" fillId="0" borderId="0" xfId="0" applyNumberFormat="1" applyFont="1" applyFill="1" applyAlignment="1">
      <alignment horizontal="center" vertical="center"/>
    </xf>
    <xf numFmtId="0" fontId="2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/>
    <xf numFmtId="0" fontId="10" fillId="0" borderId="0" xfId="0" applyFont="1" applyFill="1" applyBorder="1"/>
    <xf numFmtId="0" fontId="12" fillId="0" borderId="0" xfId="0" applyFont="1" applyFill="1" applyAlignment="1"/>
    <xf numFmtId="0" fontId="10" fillId="0" borderId="0" xfId="0" applyFont="1" applyFill="1" applyBorder="1" applyAlignment="1">
      <alignment vertical="top"/>
    </xf>
    <xf numFmtId="3" fontId="21" fillId="0" borderId="0" xfId="0" applyNumberFormat="1" applyFont="1" applyFill="1" applyBorder="1" applyAlignment="1">
      <alignment vertical="top"/>
    </xf>
    <xf numFmtId="3" fontId="21" fillId="0" borderId="0" xfId="0" applyNumberFormat="1" applyFont="1" applyFill="1" applyAlignment="1">
      <alignment vertical="top"/>
    </xf>
    <xf numFmtId="3" fontId="20" fillId="0" borderId="0" xfId="0" applyNumberFormat="1" applyFont="1" applyFill="1" applyAlignment="1">
      <alignment vertical="top"/>
    </xf>
    <xf numFmtId="3" fontId="21" fillId="0" borderId="0" xfId="0" applyNumberFormat="1" applyFont="1" applyFill="1" applyAlignment="1"/>
    <xf numFmtId="3" fontId="20" fillId="0" borderId="0" xfId="0" applyNumberFormat="1" applyFont="1" applyFill="1" applyBorder="1" applyAlignment="1">
      <alignment horizontal="right" vertical="center"/>
    </xf>
    <xf numFmtId="3" fontId="21" fillId="0" borderId="0" xfId="0" applyNumberFormat="1" applyFont="1" applyFill="1" applyAlignment="1">
      <alignment horizontal="right"/>
    </xf>
    <xf numFmtId="3" fontId="25" fillId="0" borderId="0" xfId="18" applyNumberFormat="1" applyFont="1" applyFill="1" applyAlignment="1">
      <alignment horizontal="center" vertical="center"/>
    </xf>
    <xf numFmtId="3" fontId="20" fillId="0" borderId="17" xfId="0" applyNumberFormat="1" applyFont="1" applyFill="1" applyBorder="1" applyAlignment="1"/>
    <xf numFmtId="3" fontId="14" fillId="0" borderId="0" xfId="0" applyNumberFormat="1" applyFont="1" applyFill="1" applyBorder="1"/>
    <xf numFmtId="3" fontId="19" fillId="0" borderId="0" xfId="0" applyNumberFormat="1" applyFont="1" applyFill="1" applyBorder="1"/>
    <xf numFmtId="3" fontId="18" fillId="0" borderId="16" xfId="18" applyNumberFormat="1" applyFont="1" applyFill="1" applyBorder="1" applyAlignment="1">
      <alignment horizontal="center"/>
    </xf>
    <xf numFmtId="3" fontId="18" fillId="0" borderId="17" xfId="18" applyNumberFormat="1" applyFont="1" applyFill="1" applyBorder="1" applyAlignment="1">
      <alignment horizontal="center"/>
    </xf>
    <xf numFmtId="3" fontId="18" fillId="0" borderId="17" xfId="18" applyNumberFormat="1" applyFont="1" applyFill="1" applyBorder="1" applyAlignment="1">
      <alignment wrapText="1"/>
    </xf>
    <xf numFmtId="3" fontId="18" fillId="0" borderId="17" xfId="18" applyNumberFormat="1" applyFont="1" applyFill="1" applyBorder="1" applyAlignment="1">
      <alignment horizontal="right"/>
    </xf>
    <xf numFmtId="3" fontId="18" fillId="0" borderId="16" xfId="18" applyNumberFormat="1" applyFont="1" applyFill="1" applyBorder="1" applyAlignment="1">
      <alignment horizontal="center" vertical="center"/>
    </xf>
    <xf numFmtId="3" fontId="18" fillId="0" borderId="17" xfId="18" applyNumberFormat="1" applyFont="1" applyFill="1" applyBorder="1" applyAlignment="1">
      <alignment horizontal="center" vertical="center"/>
    </xf>
    <xf numFmtId="3" fontId="18" fillId="0" borderId="24" xfId="18" applyNumberFormat="1" applyFont="1" applyFill="1" applyBorder="1" applyAlignment="1">
      <alignment wrapText="1"/>
    </xf>
    <xf numFmtId="3" fontId="18" fillId="0" borderId="17" xfId="0" applyNumberFormat="1" applyFont="1" applyFill="1" applyBorder="1" applyAlignment="1">
      <alignment horizontal="right" wrapText="1"/>
    </xf>
    <xf numFmtId="3" fontId="18" fillId="0" borderId="18" xfId="0" applyNumberFormat="1" applyFont="1" applyFill="1" applyBorder="1" applyAlignment="1">
      <alignment horizontal="right" wrapText="1"/>
    </xf>
    <xf numFmtId="3" fontId="20" fillId="0" borderId="24" xfId="18" applyNumberFormat="1" applyFont="1" applyFill="1" applyBorder="1" applyAlignment="1">
      <alignment horizontal="right"/>
    </xf>
    <xf numFmtId="3" fontId="18" fillId="0" borderId="17" xfId="0" applyNumberFormat="1" applyFont="1" applyFill="1" applyBorder="1" applyAlignment="1">
      <alignment horizontal="right" vertical="center" wrapText="1"/>
    </xf>
    <xf numFmtId="3" fontId="18" fillId="0" borderId="18" xfId="0" applyNumberFormat="1" applyFont="1" applyFill="1" applyBorder="1" applyAlignment="1">
      <alignment horizontal="right" vertical="center" wrapText="1"/>
    </xf>
    <xf numFmtId="3" fontId="20" fillId="0" borderId="16" xfId="18" applyNumberFormat="1" applyFont="1" applyFill="1" applyBorder="1" applyAlignment="1">
      <alignment horizontal="center" vertical="center"/>
    </xf>
    <xf numFmtId="3" fontId="20" fillId="0" borderId="17" xfId="18" applyNumberFormat="1" applyFont="1" applyFill="1" applyBorder="1" applyAlignment="1">
      <alignment horizontal="right"/>
    </xf>
    <xf numFmtId="3" fontId="20" fillId="0" borderId="17" xfId="0" applyNumberFormat="1" applyFont="1" applyFill="1" applyBorder="1" applyAlignment="1">
      <alignment horizontal="right" vertical="center" wrapText="1"/>
    </xf>
    <xf numFmtId="3" fontId="20" fillId="0" borderId="18" xfId="0" applyNumberFormat="1" applyFont="1" applyFill="1" applyBorder="1" applyAlignment="1">
      <alignment horizontal="right" vertical="center" wrapText="1"/>
    </xf>
    <xf numFmtId="3" fontId="20" fillId="0" borderId="17" xfId="18" applyNumberFormat="1" applyFont="1" applyFill="1" applyBorder="1" applyAlignment="1">
      <alignment vertical="center" wrapText="1"/>
    </xf>
    <xf numFmtId="3" fontId="18" fillId="0" borderId="17" xfId="18" applyNumberFormat="1" applyFont="1" applyFill="1" applyBorder="1" applyAlignment="1"/>
    <xf numFmtId="3" fontId="18" fillId="0" borderId="16" xfId="18" applyNumberFormat="1" applyFont="1" applyFill="1" applyBorder="1" applyAlignment="1">
      <alignment horizontal="center" vertical="top"/>
    </xf>
    <xf numFmtId="49" fontId="20" fillId="0" borderId="17" xfId="18" applyNumberFormat="1" applyFont="1" applyFill="1" applyBorder="1" applyAlignment="1">
      <alignment horizontal="left" vertical="center" wrapText="1" indent="4"/>
    </xf>
    <xf numFmtId="3" fontId="30" fillId="0" borderId="17" xfId="18" applyNumberFormat="1" applyFont="1" applyFill="1" applyBorder="1" applyAlignment="1">
      <alignment wrapText="1"/>
    </xf>
    <xf numFmtId="3" fontId="18" fillId="0" borderId="27" xfId="18" applyNumberFormat="1" applyFont="1" applyFill="1" applyBorder="1" applyAlignment="1">
      <alignment horizontal="center" vertical="center"/>
    </xf>
    <xf numFmtId="3" fontId="24" fillId="0" borderId="27" xfId="18" applyNumberFormat="1" applyFont="1" applyFill="1" applyBorder="1" applyAlignment="1">
      <alignment horizontal="center"/>
    </xf>
    <xf numFmtId="3" fontId="25" fillId="0" borderId="0" xfId="18" applyNumberFormat="1" applyFont="1" applyFill="1" applyAlignment="1">
      <alignment horizontal="center"/>
    </xf>
    <xf numFmtId="3" fontId="20" fillId="0" borderId="17" xfId="0" applyNumberFormat="1" applyFont="1" applyFill="1" applyBorder="1" applyAlignment="1">
      <alignment horizontal="right" wrapText="1"/>
    </xf>
    <xf numFmtId="3" fontId="20" fillId="0" borderId="18" xfId="0" applyNumberFormat="1" applyFont="1" applyFill="1" applyBorder="1" applyAlignment="1">
      <alignment horizontal="right" wrapText="1"/>
    </xf>
    <xf numFmtId="3" fontId="20" fillId="0" borderId="17" xfId="18" applyNumberFormat="1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/>
    <xf numFmtId="3" fontId="18" fillId="0" borderId="27" xfId="18" applyNumberFormat="1" applyFont="1" applyFill="1" applyBorder="1" applyAlignment="1">
      <alignment horizontal="center"/>
    </xf>
    <xf numFmtId="3" fontId="10" fillId="0" borderId="16" xfId="18" applyNumberFormat="1" applyFont="1" applyFill="1" applyBorder="1" applyAlignment="1">
      <alignment vertical="center" wrapText="1"/>
    </xf>
    <xf numFmtId="3" fontId="10" fillId="0" borderId="18" xfId="0" applyNumberFormat="1" applyFont="1" applyFill="1" applyBorder="1" applyAlignment="1">
      <alignment horizontal="right" vertical="center" wrapText="1"/>
    </xf>
    <xf numFmtId="3" fontId="12" fillId="0" borderId="28" xfId="18" applyNumberFormat="1" applyFont="1" applyFill="1" applyBorder="1" applyAlignment="1">
      <alignment horizontal="center" vertical="center" wrapText="1"/>
    </xf>
    <xf numFmtId="3" fontId="12" fillId="0" borderId="29" xfId="18" applyNumberFormat="1" applyFont="1" applyFill="1" applyBorder="1" applyAlignment="1">
      <alignment vertical="center"/>
    </xf>
    <xf numFmtId="3" fontId="18" fillId="0" borderId="24" xfId="0" applyNumberFormat="1" applyFont="1" applyFill="1" applyBorder="1" applyAlignment="1">
      <alignment horizontal="right" wrapText="1"/>
    </xf>
    <xf numFmtId="3" fontId="18" fillId="0" borderId="24" xfId="18" applyNumberFormat="1" applyFont="1" applyFill="1" applyBorder="1" applyAlignment="1">
      <alignment horizontal="right"/>
    </xf>
    <xf numFmtId="0" fontId="17" fillId="0" borderId="0" xfId="18" applyNumberFormat="1" applyFont="1" applyFill="1" applyBorder="1" applyAlignment="1">
      <alignment horizontal="center" vertical="center"/>
    </xf>
    <xf numFmtId="0" fontId="27" fillId="0" borderId="0" xfId="18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3" fontId="24" fillId="0" borderId="0" xfId="0" applyNumberFormat="1" applyFont="1" applyFill="1" applyBorder="1" applyAlignment="1">
      <alignment vertical="top"/>
    </xf>
    <xf numFmtId="3" fontId="18" fillId="0" borderId="25" xfId="0" applyNumberFormat="1" applyFont="1" applyFill="1" applyBorder="1" applyAlignment="1">
      <alignment horizontal="right" wrapText="1"/>
    </xf>
    <xf numFmtId="164" fontId="13" fillId="0" borderId="0" xfId="0" applyNumberFormat="1" applyFont="1" applyFill="1" applyBorder="1" applyAlignment="1">
      <alignment horizontal="left" vertical="center" wrapText="1" indent="2"/>
    </xf>
    <xf numFmtId="0" fontId="14" fillId="0" borderId="0" xfId="20" applyFont="1" applyAlignment="1">
      <alignment horizontal="center" vertical="center"/>
    </xf>
    <xf numFmtId="0" fontId="10" fillId="0" borderId="0" xfId="20" applyFont="1" applyAlignment="1">
      <alignment vertical="center"/>
    </xf>
    <xf numFmtId="0" fontId="14" fillId="0" borderId="0" xfId="20" applyFont="1" applyAlignment="1">
      <alignment horizontal="center"/>
    </xf>
    <xf numFmtId="3" fontId="12" fillId="0" borderId="0" xfId="20" applyNumberFormat="1" applyFont="1" applyAlignment="1">
      <alignment horizontal="center"/>
    </xf>
    <xf numFmtId="0" fontId="10" fillId="0" borderId="0" xfId="20" applyFont="1" applyAlignment="1"/>
    <xf numFmtId="3" fontId="12" fillId="0" borderId="0" xfId="2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wrapText="1"/>
    </xf>
    <xf numFmtId="3" fontId="14" fillId="0" borderId="0" xfId="0" applyNumberFormat="1" applyFont="1" applyBorder="1" applyAlignment="1">
      <alignment horizontal="center"/>
    </xf>
    <xf numFmtId="3" fontId="12" fillId="0" borderId="30" xfId="0" applyNumberFormat="1" applyFont="1" applyBorder="1" applyAlignment="1">
      <alignment horizontal="center"/>
    </xf>
    <xf numFmtId="3" fontId="12" fillId="0" borderId="0" xfId="0" applyNumberFormat="1" applyFont="1" applyBorder="1" applyAlignment="1">
      <alignment horizontal="center"/>
    </xf>
    <xf numFmtId="3" fontId="12" fillId="0" borderId="31" xfId="0" applyNumberFormat="1" applyFont="1" applyBorder="1" applyAlignment="1">
      <alignment horizontal="center"/>
    </xf>
    <xf numFmtId="0" fontId="12" fillId="0" borderId="4" xfId="0" applyFont="1" applyBorder="1" applyAlignment="1">
      <alignment horizontal="left" vertical="center" wrapText="1"/>
    </xf>
    <xf numFmtId="3" fontId="12" fillId="0" borderId="0" xfId="0" applyNumberFormat="1" applyFont="1" applyBorder="1" applyAlignment="1">
      <alignment horizontal="right" vertical="center"/>
    </xf>
    <xf numFmtId="10" fontId="12" fillId="0" borderId="19" xfId="36" applyNumberFormat="1" applyFont="1" applyBorder="1" applyAlignment="1">
      <alignment vertical="center"/>
    </xf>
    <xf numFmtId="3" fontId="12" fillId="0" borderId="0" xfId="36" applyNumberFormat="1" applyFont="1" applyBorder="1" applyAlignment="1">
      <alignment vertical="center"/>
    </xf>
    <xf numFmtId="3" fontId="12" fillId="0" borderId="0" xfId="0" applyNumberFormat="1" applyFont="1"/>
    <xf numFmtId="0" fontId="12" fillId="0" borderId="4" xfId="20" applyFont="1" applyBorder="1" applyAlignment="1">
      <alignment vertical="center" wrapText="1"/>
    </xf>
    <xf numFmtId="3" fontId="12" fillId="0" borderId="0" xfId="20" applyNumberFormat="1" applyFont="1" applyBorder="1" applyAlignment="1">
      <alignment vertical="center"/>
    </xf>
    <xf numFmtId="0" fontId="10" fillId="0" borderId="4" xfId="20" applyFont="1" applyBorder="1" applyAlignment="1">
      <alignment horizontal="left" vertical="center" wrapText="1" indent="2"/>
    </xf>
    <xf numFmtId="3" fontId="10" fillId="0" borderId="0" xfId="20" applyNumberFormat="1" applyFont="1" applyBorder="1" applyAlignment="1">
      <alignment vertical="center"/>
    </xf>
    <xf numFmtId="10" fontId="10" fillId="0" borderId="19" xfId="36" applyNumberFormat="1" applyFont="1" applyBorder="1" applyAlignment="1">
      <alignment vertical="center"/>
    </xf>
    <xf numFmtId="3" fontId="10" fillId="0" borderId="0" xfId="36" applyNumberFormat="1" applyFont="1" applyBorder="1" applyAlignment="1">
      <alignment vertical="center"/>
    </xf>
    <xf numFmtId="0" fontId="12" fillId="0" borderId="4" xfId="20" applyFont="1" applyFill="1" applyBorder="1" applyAlignment="1">
      <alignment vertical="center" wrapText="1"/>
    </xf>
    <xf numFmtId="3" fontId="12" fillId="0" borderId="0" xfId="20" applyNumberFormat="1" applyFont="1" applyFill="1" applyBorder="1" applyAlignment="1">
      <alignment vertical="center"/>
    </xf>
    <xf numFmtId="0" fontId="10" fillId="0" borderId="4" xfId="20" applyFont="1" applyFill="1" applyBorder="1" applyAlignment="1">
      <alignment horizontal="left" vertical="center" wrapText="1" indent="2"/>
    </xf>
    <xf numFmtId="3" fontId="10" fillId="0" borderId="0" xfId="20" applyNumberFormat="1" applyFont="1" applyFill="1" applyBorder="1" applyAlignment="1">
      <alignment vertical="center"/>
    </xf>
    <xf numFmtId="0" fontId="12" fillId="0" borderId="12" xfId="20" applyFont="1" applyBorder="1" applyAlignment="1">
      <alignment horizontal="center" vertical="center" wrapText="1"/>
    </xf>
    <xf numFmtId="3" fontId="12" fillId="0" borderId="13" xfId="20" applyNumberFormat="1" applyFont="1" applyBorder="1" applyAlignment="1">
      <alignment vertical="center"/>
    </xf>
    <xf numFmtId="10" fontId="12" fillId="0" borderId="32" xfId="36" applyNumberFormat="1" applyFont="1" applyBorder="1" applyAlignment="1">
      <alignment vertical="center"/>
    </xf>
    <xf numFmtId="0" fontId="12" fillId="0" borderId="0" xfId="20" applyFont="1" applyAlignment="1">
      <alignment vertical="center"/>
    </xf>
    <xf numFmtId="0" fontId="10" fillId="0" borderId="0" xfId="20" applyFont="1" applyAlignment="1">
      <alignment wrapText="1"/>
    </xf>
    <xf numFmtId="3" fontId="10" fillId="0" borderId="0" xfId="20" applyNumberFormat="1" applyFont="1"/>
    <xf numFmtId="0" fontId="10" fillId="0" borderId="0" xfId="20" applyFont="1"/>
    <xf numFmtId="3" fontId="18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top"/>
    </xf>
    <xf numFmtId="3" fontId="12" fillId="0" borderId="33" xfId="0" applyNumberFormat="1" applyFont="1" applyBorder="1" applyAlignment="1">
      <alignment horizontal="center" vertical="center" wrapText="1"/>
    </xf>
    <xf numFmtId="0" fontId="10" fillId="0" borderId="0" xfId="0" applyFont="1" applyBorder="1" applyAlignment="1"/>
    <xf numFmtId="3" fontId="10" fillId="0" borderId="19" xfId="0" applyNumberFormat="1" applyFont="1" applyBorder="1" applyAlignment="1"/>
    <xf numFmtId="0" fontId="10" fillId="0" borderId="0" xfId="0" applyFont="1" applyBorder="1" applyAlignment="1">
      <alignment horizontal="left" indent="2"/>
    </xf>
    <xf numFmtId="0" fontId="10" fillId="0" borderId="0" xfId="0" applyFont="1" applyBorder="1" applyAlignment="1">
      <alignment vertical="top"/>
    </xf>
    <xf numFmtId="3" fontId="13" fillId="0" borderId="19" xfId="0" applyNumberFormat="1" applyFont="1" applyBorder="1" applyAlignment="1">
      <alignment vertical="top"/>
    </xf>
    <xf numFmtId="0" fontId="10" fillId="0" borderId="0" xfId="0" applyFont="1" applyBorder="1" applyAlignment="1">
      <alignment vertical="center" wrapText="1"/>
    </xf>
    <xf numFmtId="3" fontId="13" fillId="0" borderId="19" xfId="0" applyNumberFormat="1" applyFont="1" applyBorder="1" applyAlignment="1">
      <alignment vertical="center"/>
    </xf>
    <xf numFmtId="3" fontId="12" fillId="0" borderId="32" xfId="0" applyNumberFormat="1" applyFont="1" applyBorder="1" applyAlignment="1">
      <alignment vertical="center"/>
    </xf>
    <xf numFmtId="0" fontId="10" fillId="0" borderId="0" xfId="0" applyFont="1" applyAlignment="1">
      <alignment horizontal="center" vertical="top"/>
    </xf>
    <xf numFmtId="0" fontId="10" fillId="0" borderId="0" xfId="0" applyFont="1" applyBorder="1"/>
    <xf numFmtId="0" fontId="10" fillId="0" borderId="0" xfId="0" applyFont="1" applyFill="1" applyBorder="1" applyAlignment="1">
      <alignment horizontal="center" vertical="center"/>
    </xf>
    <xf numFmtId="3" fontId="12" fillId="0" borderId="11" xfId="17" applyNumberFormat="1" applyFont="1" applyFill="1" applyBorder="1" applyAlignment="1">
      <alignment horizontal="left" textRotation="90" wrapText="1"/>
    </xf>
    <xf numFmtId="3" fontId="10" fillId="0" borderId="11" xfId="17" applyNumberFormat="1" applyFont="1" applyFill="1" applyBorder="1" applyAlignment="1">
      <alignment horizontal="center" wrapText="1"/>
    </xf>
    <xf numFmtId="3" fontId="12" fillId="0" borderId="11" xfId="17" applyNumberFormat="1" applyFont="1" applyFill="1" applyBorder="1" applyAlignment="1">
      <alignment horizontal="left" wrapText="1"/>
    </xf>
    <xf numFmtId="3" fontId="12" fillId="0" borderId="0" xfId="17" applyNumberFormat="1" applyFont="1" applyFill="1" applyBorder="1" applyAlignment="1">
      <alignment horizontal="left"/>
    </xf>
    <xf numFmtId="3" fontId="12" fillId="0" borderId="0" xfId="17" applyNumberFormat="1" applyFont="1" applyFill="1" applyAlignment="1">
      <alignment horizontal="left"/>
    </xf>
    <xf numFmtId="3" fontId="12" fillId="0" borderId="0" xfId="17" applyNumberFormat="1" applyFont="1" applyFill="1" applyBorder="1" applyAlignment="1">
      <alignment horizontal="left" wrapText="1"/>
    </xf>
    <xf numFmtId="3" fontId="10" fillId="0" borderId="0" xfId="17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/>
    <xf numFmtId="0" fontId="10" fillId="0" borderId="0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 vertical="top"/>
    </xf>
    <xf numFmtId="0" fontId="12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top"/>
    </xf>
    <xf numFmtId="0" fontId="12" fillId="0" borderId="10" xfId="0" applyFont="1" applyFill="1" applyBorder="1" applyAlignment="1">
      <alignment wrapText="1"/>
    </xf>
    <xf numFmtId="3" fontId="12" fillId="0" borderId="10" xfId="17" applyNumberFormat="1" applyFont="1" applyFill="1" applyBorder="1" applyAlignment="1">
      <alignment horizontal="left" textRotation="90" wrapText="1"/>
    </xf>
    <xf numFmtId="3" fontId="10" fillId="0" borderId="10" xfId="17" applyNumberFormat="1" applyFont="1" applyFill="1" applyBorder="1" applyAlignment="1">
      <alignment horizontal="center" wrapText="1"/>
    </xf>
    <xf numFmtId="3" fontId="12" fillId="0" borderId="10" xfId="17" applyNumberFormat="1" applyFont="1" applyFill="1" applyBorder="1" applyAlignment="1">
      <alignment horizontal="left" wrapText="1"/>
    </xf>
    <xf numFmtId="0" fontId="12" fillId="0" borderId="0" xfId="0" applyFont="1" applyFill="1" applyBorder="1" applyAlignment="1">
      <alignment vertical="top" wrapText="1"/>
    </xf>
    <xf numFmtId="0" fontId="12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/>
    </xf>
    <xf numFmtId="0" fontId="12" fillId="0" borderId="34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horizontal="left" indent="1"/>
    </xf>
    <xf numFmtId="0" fontId="10" fillId="0" borderId="10" xfId="0" applyFont="1" applyFill="1" applyBorder="1" applyAlignment="1">
      <alignment horizontal="left" indent="1"/>
    </xf>
    <xf numFmtId="0" fontId="12" fillId="0" borderId="35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vertical="center"/>
    </xf>
    <xf numFmtId="0" fontId="10" fillId="0" borderId="0" xfId="0" applyFont="1" applyFill="1" applyAlignment="1">
      <alignment horizontal="center"/>
    </xf>
    <xf numFmtId="0" fontId="0" fillId="0" borderId="0" xfId="0" applyFont="1" applyFill="1"/>
    <xf numFmtId="0" fontId="29" fillId="0" borderId="0" xfId="0" applyFont="1" applyFill="1"/>
    <xf numFmtId="0" fontId="28" fillId="0" borderId="0" xfId="0" applyFont="1" applyFill="1"/>
    <xf numFmtId="0" fontId="0" fillId="0" borderId="0" xfId="0" applyFont="1" applyFill="1" applyAlignment="1"/>
    <xf numFmtId="3" fontId="21" fillId="0" borderId="0" xfId="0" applyNumberFormat="1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center"/>
    </xf>
    <xf numFmtId="3" fontId="18" fillId="0" borderId="0" xfId="0" applyNumberFormat="1" applyFont="1" applyFill="1" applyAlignment="1">
      <alignment horizontal="right"/>
    </xf>
    <xf numFmtId="3" fontId="18" fillId="0" borderId="0" xfId="0" applyNumberFormat="1" applyFont="1" applyFill="1"/>
    <xf numFmtId="3" fontId="21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Alignment="1">
      <alignment horizontal="right" vertical="top"/>
    </xf>
    <xf numFmtId="3" fontId="20" fillId="0" borderId="0" xfId="0" applyNumberFormat="1" applyFont="1" applyFill="1" applyBorder="1" applyAlignment="1">
      <alignment horizontal="right"/>
    </xf>
    <xf numFmtId="3" fontId="21" fillId="0" borderId="0" xfId="0" applyNumberFormat="1" applyFont="1" applyFill="1" applyBorder="1" applyAlignment="1">
      <alignment horizontal="right" vertical="top"/>
    </xf>
    <xf numFmtId="0" fontId="31" fillId="0" borderId="0" xfId="0" applyFont="1" applyFill="1"/>
    <xf numFmtId="0" fontId="31" fillId="0" borderId="0" xfId="0" applyFont="1" applyFill="1" applyAlignment="1">
      <alignment vertical="center"/>
    </xf>
    <xf numFmtId="0" fontId="31" fillId="0" borderId="0" xfId="0" applyFont="1" applyFill="1" applyBorder="1" applyAlignment="1">
      <alignment vertical="center"/>
    </xf>
    <xf numFmtId="3" fontId="10" fillId="0" borderId="0" xfId="18" applyNumberFormat="1" applyFont="1" applyFill="1" applyBorder="1" applyAlignment="1">
      <alignment vertical="center" wrapText="1"/>
    </xf>
    <xf numFmtId="3" fontId="10" fillId="0" borderId="0" xfId="22" applyNumberFormat="1" applyFont="1"/>
    <xf numFmtId="3" fontId="10" fillId="0" borderId="0" xfId="22" applyNumberFormat="1" applyFont="1" applyAlignment="1">
      <alignment horizontal="center"/>
    </xf>
    <xf numFmtId="14" fontId="10" fillId="0" borderId="0" xfId="22" applyNumberFormat="1" applyFont="1" applyAlignment="1">
      <alignment horizontal="center"/>
    </xf>
    <xf numFmtId="3" fontId="10" fillId="0" borderId="0" xfId="22" applyNumberFormat="1" applyFont="1" applyAlignment="1">
      <alignment horizontal="center" vertical="center" wrapText="1"/>
    </xf>
    <xf numFmtId="3" fontId="12" fillId="0" borderId="37" xfId="22" applyNumberFormat="1" applyFont="1" applyBorder="1" applyAlignment="1">
      <alignment horizontal="right" vertical="center"/>
    </xf>
    <xf numFmtId="3" fontId="10" fillId="0" borderId="38" xfId="22" applyNumberFormat="1" applyFont="1" applyBorder="1" applyAlignment="1">
      <alignment horizontal="right" vertical="center" wrapText="1"/>
    </xf>
    <xf numFmtId="3" fontId="10" fillId="0" borderId="0" xfId="0" applyNumberFormat="1" applyFont="1" applyFill="1" applyAlignment="1">
      <alignment horizontal="right"/>
    </xf>
    <xf numFmtId="3" fontId="10" fillId="0" borderId="41" xfId="17" applyNumberFormat="1" applyFont="1" applyFill="1" applyBorder="1" applyAlignment="1">
      <alignment horizontal="center" vertical="center" wrapText="1"/>
    </xf>
    <xf numFmtId="3" fontId="10" fillId="0" borderId="0" xfId="17" applyNumberFormat="1" applyFont="1" applyFill="1" applyBorder="1" applyAlignment="1">
      <alignment horizontal="center" vertical="top" wrapText="1"/>
    </xf>
    <xf numFmtId="3" fontId="18" fillId="0" borderId="16" xfId="0" applyNumberFormat="1" applyFont="1" applyFill="1" applyBorder="1" applyAlignment="1">
      <alignment horizontal="center"/>
    </xf>
    <xf numFmtId="3" fontId="18" fillId="0" borderId="17" xfId="0" applyNumberFormat="1" applyFont="1" applyFill="1" applyBorder="1" applyAlignment="1">
      <alignment horizontal="center"/>
    </xf>
    <xf numFmtId="3" fontId="18" fillId="0" borderId="16" xfId="0" applyNumberFormat="1" applyFont="1" applyFill="1" applyBorder="1" applyAlignment="1">
      <alignment horizontal="center" vertical="center"/>
    </xf>
    <xf numFmtId="3" fontId="18" fillId="0" borderId="17" xfId="0" applyNumberFormat="1" applyFont="1" applyFill="1" applyBorder="1" applyAlignment="1">
      <alignment horizontal="center" vertical="center"/>
    </xf>
    <xf numFmtId="3" fontId="18" fillId="0" borderId="16" xfId="0" applyNumberFormat="1" applyFont="1" applyFill="1" applyBorder="1" applyAlignment="1">
      <alignment horizontal="center" vertical="top"/>
    </xf>
    <xf numFmtId="3" fontId="18" fillId="0" borderId="17" xfId="0" applyNumberFormat="1" applyFont="1" applyFill="1" applyBorder="1" applyAlignment="1">
      <alignment horizontal="center" vertical="top"/>
    </xf>
    <xf numFmtId="3" fontId="18" fillId="0" borderId="17" xfId="0" applyNumberFormat="1" applyFont="1" applyFill="1" applyBorder="1" applyAlignment="1">
      <alignment vertical="center"/>
    </xf>
    <xf numFmtId="3" fontId="20" fillId="0" borderId="17" xfId="0" applyNumberFormat="1" applyFont="1" applyFill="1" applyBorder="1" applyAlignment="1">
      <alignment vertical="center"/>
    </xf>
    <xf numFmtId="3" fontId="21" fillId="0" borderId="18" xfId="0" applyNumberFormat="1" applyFont="1" applyFill="1" applyBorder="1" applyAlignment="1">
      <alignment vertical="center"/>
    </xf>
    <xf numFmtId="3" fontId="18" fillId="0" borderId="17" xfId="0" applyNumberFormat="1" applyFont="1" applyFill="1" applyBorder="1" applyAlignment="1">
      <alignment vertical="top"/>
    </xf>
    <xf numFmtId="3" fontId="20" fillId="0" borderId="17" xfId="0" applyNumberFormat="1" applyFont="1" applyFill="1" applyBorder="1" applyAlignment="1">
      <alignment vertical="top"/>
    </xf>
    <xf numFmtId="3" fontId="21" fillId="0" borderId="18" xfId="0" applyNumberFormat="1" applyFont="1" applyFill="1" applyBorder="1" applyAlignment="1">
      <alignment vertical="top"/>
    </xf>
    <xf numFmtId="0" fontId="0" fillId="0" borderId="17" xfId="0" applyFont="1" applyFill="1" applyBorder="1"/>
    <xf numFmtId="0" fontId="29" fillId="0" borderId="17" xfId="0" applyFont="1" applyFill="1" applyBorder="1"/>
    <xf numFmtId="3" fontId="18" fillId="0" borderId="27" xfId="0" applyNumberFormat="1" applyFont="1" applyFill="1" applyBorder="1" applyAlignment="1">
      <alignment horizontal="center"/>
    </xf>
    <xf numFmtId="3" fontId="18" fillId="0" borderId="24" xfId="0" applyNumberFormat="1" applyFont="1" applyFill="1" applyBorder="1" applyAlignment="1">
      <alignment horizontal="center"/>
    </xf>
    <xf numFmtId="3" fontId="18" fillId="0" borderId="24" xfId="0" applyNumberFormat="1" applyFont="1" applyFill="1" applyBorder="1" applyAlignment="1">
      <alignment vertical="center"/>
    </xf>
    <xf numFmtId="3" fontId="20" fillId="0" borderId="24" xfId="0" applyNumberFormat="1" applyFont="1" applyFill="1" applyBorder="1" applyAlignment="1">
      <alignment vertical="center"/>
    </xf>
    <xf numFmtId="3" fontId="21" fillId="0" borderId="25" xfId="0" applyNumberFormat="1" applyFont="1" applyFill="1" applyBorder="1" applyAlignment="1">
      <alignment vertical="center"/>
    </xf>
    <xf numFmtId="3" fontId="18" fillId="0" borderId="18" xfId="0" applyNumberFormat="1" applyFont="1" applyFill="1" applyBorder="1" applyAlignment="1">
      <alignment vertical="center"/>
    </xf>
    <xf numFmtId="3" fontId="21" fillId="0" borderId="18" xfId="0" applyNumberFormat="1" applyFont="1" applyFill="1" applyBorder="1" applyAlignment="1"/>
    <xf numFmtId="3" fontId="18" fillId="0" borderId="17" xfId="28" applyNumberFormat="1" applyFont="1" applyFill="1" applyBorder="1" applyAlignment="1">
      <alignment wrapText="1"/>
    </xf>
    <xf numFmtId="3" fontId="24" fillId="0" borderId="0" xfId="0" applyNumberFormat="1" applyFont="1" applyFill="1" applyAlignment="1">
      <alignment vertical="center"/>
    </xf>
    <xf numFmtId="0" fontId="28" fillId="0" borderId="18" xfId="0" applyFont="1" applyFill="1" applyBorder="1"/>
    <xf numFmtId="3" fontId="18" fillId="0" borderId="25" xfId="0" applyNumberFormat="1" applyFont="1" applyFill="1" applyBorder="1" applyAlignment="1">
      <alignment vertical="center"/>
    </xf>
    <xf numFmtId="3" fontId="18" fillId="0" borderId="24" xfId="0" applyNumberFormat="1" applyFont="1" applyFill="1" applyBorder="1" applyAlignment="1"/>
    <xf numFmtId="3" fontId="20" fillId="0" borderId="24" xfId="0" applyNumberFormat="1" applyFont="1" applyFill="1" applyBorder="1" applyAlignment="1"/>
    <xf numFmtId="3" fontId="21" fillId="0" borderId="25" xfId="0" applyNumberFormat="1" applyFont="1" applyFill="1" applyBorder="1" applyAlignment="1"/>
    <xf numFmtId="3" fontId="18" fillId="0" borderId="45" xfId="0" applyNumberFormat="1" applyFont="1" applyFill="1" applyBorder="1" applyAlignment="1">
      <alignment horizontal="center" vertical="center"/>
    </xf>
    <xf numFmtId="3" fontId="18" fillId="0" borderId="45" xfId="0" applyNumberFormat="1" applyFont="1" applyFill="1" applyBorder="1" applyAlignment="1">
      <alignment vertical="center"/>
    </xf>
    <xf numFmtId="3" fontId="18" fillId="0" borderId="46" xfId="0" applyNumberFormat="1" applyFont="1" applyFill="1" applyBorder="1" applyAlignment="1">
      <alignment vertical="center"/>
    </xf>
    <xf numFmtId="3" fontId="18" fillId="0" borderId="24" xfId="0" applyNumberFormat="1" applyFont="1" applyFill="1" applyBorder="1" applyAlignment="1">
      <alignment horizontal="center" vertical="center"/>
    </xf>
    <xf numFmtId="3" fontId="18" fillId="0" borderId="52" xfId="0" applyNumberFormat="1" applyFont="1" applyFill="1" applyBorder="1" applyAlignment="1">
      <alignment vertical="center"/>
    </xf>
    <xf numFmtId="3" fontId="21" fillId="0" borderId="29" xfId="0" applyNumberFormat="1" applyFont="1" applyFill="1" applyBorder="1" applyAlignment="1">
      <alignment vertical="center"/>
    </xf>
    <xf numFmtId="3" fontId="18" fillId="0" borderId="54" xfId="0" applyNumberFormat="1" applyFont="1" applyFill="1" applyBorder="1" applyAlignment="1">
      <alignment horizontal="center" vertical="top"/>
    </xf>
    <xf numFmtId="3" fontId="21" fillId="0" borderId="56" xfId="0" applyNumberFormat="1" applyFont="1" applyFill="1" applyBorder="1" applyAlignment="1">
      <alignment vertical="center"/>
    </xf>
    <xf numFmtId="3" fontId="21" fillId="0" borderId="17" xfId="28" applyNumberFormat="1" applyFont="1" applyFill="1" applyBorder="1" applyAlignment="1"/>
    <xf numFmtId="3" fontId="21" fillId="0" borderId="24" xfId="28" applyNumberFormat="1" applyFont="1" applyFill="1" applyBorder="1" applyAlignment="1">
      <alignment wrapText="1"/>
    </xf>
    <xf numFmtId="3" fontId="21" fillId="0" borderId="24" xfId="28" applyNumberFormat="1" applyFont="1" applyFill="1" applyBorder="1" applyAlignment="1"/>
    <xf numFmtId="3" fontId="18" fillId="0" borderId="17" xfId="0" applyNumberFormat="1" applyFont="1" applyFill="1" applyBorder="1" applyAlignment="1">
      <alignment horizontal="right"/>
    </xf>
    <xf numFmtId="3" fontId="18" fillId="0" borderId="18" xfId="0" applyNumberFormat="1" applyFont="1" applyFill="1" applyBorder="1" applyAlignment="1">
      <alignment horizontal="right"/>
    </xf>
    <xf numFmtId="3" fontId="18" fillId="0" borderId="17" xfId="0" applyNumberFormat="1" applyFont="1" applyFill="1" applyBorder="1" applyAlignment="1">
      <alignment horizontal="right" vertical="top"/>
    </xf>
    <xf numFmtId="3" fontId="18" fillId="0" borderId="18" xfId="0" applyNumberFormat="1" applyFont="1" applyFill="1" applyBorder="1" applyAlignment="1">
      <alignment horizontal="right" vertical="top"/>
    </xf>
    <xf numFmtId="3" fontId="18" fillId="0" borderId="17" xfId="0" applyNumberFormat="1" applyFont="1" applyFill="1" applyBorder="1" applyAlignment="1">
      <alignment horizontal="right" vertical="center"/>
    </xf>
    <xf numFmtId="3" fontId="18" fillId="0" borderId="23" xfId="0" applyNumberFormat="1" applyFont="1" applyFill="1" applyBorder="1" applyAlignment="1"/>
    <xf numFmtId="3" fontId="21" fillId="0" borderId="57" xfId="0" applyNumberFormat="1" applyFont="1" applyFill="1" applyBorder="1" applyAlignment="1">
      <alignment vertical="center"/>
    </xf>
    <xf numFmtId="3" fontId="21" fillId="0" borderId="57" xfId="0" applyNumberFormat="1" applyFont="1" applyFill="1" applyBorder="1" applyAlignment="1"/>
    <xf numFmtId="3" fontId="24" fillId="0" borderId="16" xfId="0" applyNumberFormat="1" applyFont="1" applyFill="1" applyBorder="1" applyAlignment="1">
      <alignment horizontal="center" vertical="center"/>
    </xf>
    <xf numFmtId="3" fontId="24" fillId="0" borderId="0" xfId="0" applyNumberFormat="1" applyFont="1" applyFill="1" applyBorder="1" applyAlignment="1">
      <alignment horizontal="right" vertical="center"/>
    </xf>
    <xf numFmtId="3" fontId="18" fillId="0" borderId="25" xfId="0" applyNumberFormat="1" applyFont="1" applyFill="1" applyBorder="1" applyAlignment="1"/>
    <xf numFmtId="3" fontId="20" fillId="0" borderId="17" xfId="0" applyNumberFormat="1" applyFont="1" applyFill="1" applyBorder="1" applyAlignment="1">
      <alignment horizontal="right"/>
    </xf>
    <xf numFmtId="3" fontId="20" fillId="0" borderId="18" xfId="0" applyNumberFormat="1" applyFont="1" applyFill="1" applyBorder="1" applyAlignment="1">
      <alignment horizontal="right"/>
    </xf>
    <xf numFmtId="3" fontId="18" fillId="0" borderId="18" xfId="0" applyNumberFormat="1" applyFont="1" applyFill="1" applyBorder="1" applyAlignment="1">
      <alignment horizontal="right" vertical="center"/>
    </xf>
    <xf numFmtId="3" fontId="24" fillId="0" borderId="0" xfId="0" applyNumberFormat="1" applyFont="1" applyFill="1" applyBorder="1" applyAlignment="1">
      <alignment horizontal="right" vertical="top"/>
    </xf>
    <xf numFmtId="3" fontId="24" fillId="0" borderId="57" xfId="0" applyNumberFormat="1" applyFont="1" applyFill="1" applyBorder="1" applyAlignment="1"/>
    <xf numFmtId="3" fontId="21" fillId="0" borderId="17" xfId="0" applyNumberFormat="1" applyFont="1" applyFill="1" applyBorder="1" applyAlignment="1">
      <alignment horizontal="right" vertical="center"/>
    </xf>
    <xf numFmtId="3" fontId="21" fillId="0" borderId="18" xfId="0" applyNumberFormat="1" applyFont="1" applyFill="1" applyBorder="1" applyAlignment="1">
      <alignment horizontal="right" vertical="center"/>
    </xf>
    <xf numFmtId="3" fontId="21" fillId="0" borderId="43" xfId="0" applyNumberFormat="1" applyFont="1" applyFill="1" applyBorder="1" applyAlignment="1">
      <alignment horizontal="right" vertical="center"/>
    </xf>
    <xf numFmtId="3" fontId="21" fillId="0" borderId="44" xfId="0" applyNumberFormat="1" applyFont="1" applyFill="1" applyBorder="1" applyAlignment="1">
      <alignment horizontal="right" vertical="center"/>
    </xf>
    <xf numFmtId="3" fontId="21" fillId="0" borderId="57" xfId="0" applyNumberFormat="1" applyFont="1" applyFill="1" applyBorder="1" applyAlignment="1">
      <alignment horizontal="right" vertical="center"/>
    </xf>
    <xf numFmtId="3" fontId="21" fillId="0" borderId="60" xfId="0" applyNumberFormat="1" applyFont="1" applyFill="1" applyBorder="1" applyAlignment="1">
      <alignment horizontal="right" vertical="center"/>
    </xf>
    <xf numFmtId="3" fontId="24" fillId="0" borderId="57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center"/>
    </xf>
    <xf numFmtId="0" fontId="10" fillId="0" borderId="64" xfId="22" applyNumberFormat="1" applyFont="1" applyBorder="1" applyAlignment="1">
      <alignment horizontal="center" vertical="center" wrapText="1"/>
    </xf>
    <xf numFmtId="3" fontId="10" fillId="0" borderId="65" xfId="22" applyNumberFormat="1" applyFont="1" applyBorder="1" applyAlignment="1">
      <alignment horizontal="center" vertical="center" wrapText="1"/>
    </xf>
    <xf numFmtId="3" fontId="10" fillId="0" borderId="64" xfId="22" applyNumberFormat="1" applyFont="1" applyBorder="1" applyAlignment="1">
      <alignment horizontal="center" vertical="center" wrapText="1"/>
    </xf>
    <xf numFmtId="3" fontId="18" fillId="0" borderId="0" xfId="18" applyNumberFormat="1" applyFont="1" applyFill="1"/>
    <xf numFmtId="3" fontId="33" fillId="0" borderId="17" xfId="18" applyNumberFormat="1" applyFont="1" applyFill="1" applyBorder="1" applyAlignment="1">
      <alignment wrapText="1"/>
    </xf>
    <xf numFmtId="3" fontId="10" fillId="0" borderId="0" xfId="18" applyNumberFormat="1" applyFont="1" applyFill="1" applyBorder="1"/>
    <xf numFmtId="3" fontId="21" fillId="0" borderId="27" xfId="18" applyNumberFormat="1" applyFont="1" applyFill="1" applyBorder="1" applyAlignment="1">
      <alignment horizontal="center" vertical="center"/>
    </xf>
    <xf numFmtId="3" fontId="10" fillId="0" borderId="66" xfId="17" applyNumberFormat="1" applyFont="1" applyFill="1" applyBorder="1" applyAlignment="1">
      <alignment horizontal="center" textRotation="90" wrapText="1"/>
    </xf>
    <xf numFmtId="3" fontId="10" fillId="0" borderId="4" xfId="17" applyNumberFormat="1" applyFont="1" applyFill="1" applyBorder="1" applyAlignment="1">
      <alignment horizont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>
      <alignment horizontal="center" vertical="top"/>
    </xf>
    <xf numFmtId="3" fontId="10" fillId="0" borderId="67" xfId="17" applyNumberFormat="1" applyFont="1" applyFill="1" applyBorder="1" applyAlignment="1">
      <alignment horizontal="center" textRotation="90" wrapText="1"/>
    </xf>
    <xf numFmtId="0" fontId="10" fillId="0" borderId="68" xfId="0" applyFont="1" applyFill="1" applyBorder="1" applyAlignment="1">
      <alignment horizontal="center" vertical="center"/>
    </xf>
    <xf numFmtId="0" fontId="10" fillId="0" borderId="69" xfId="0" applyFont="1" applyFill="1" applyBorder="1" applyAlignment="1">
      <alignment horizontal="center" vertical="center"/>
    </xf>
    <xf numFmtId="0" fontId="10" fillId="0" borderId="67" xfId="0" applyFont="1" applyFill="1" applyBorder="1" applyAlignment="1">
      <alignment horizontal="center" vertical="center"/>
    </xf>
    <xf numFmtId="0" fontId="10" fillId="0" borderId="70" xfId="0" applyFont="1" applyFill="1" applyBorder="1" applyAlignment="1">
      <alignment horizontal="center" vertical="center"/>
    </xf>
    <xf numFmtId="49" fontId="10" fillId="0" borderId="66" xfId="17" applyNumberFormat="1" applyFont="1" applyFill="1" applyBorder="1" applyAlignment="1">
      <alignment horizontal="center"/>
    </xf>
    <xf numFmtId="49" fontId="10" fillId="0" borderId="67" xfId="17" applyNumberFormat="1" applyFont="1" applyFill="1" applyBorder="1" applyAlignment="1">
      <alignment horizontal="center"/>
    </xf>
    <xf numFmtId="49" fontId="13" fillId="0" borderId="4" xfId="17" applyNumberFormat="1" applyFont="1" applyFill="1" applyBorder="1" applyAlignment="1">
      <alignment horizontal="center"/>
    </xf>
    <xf numFmtId="49" fontId="10" fillId="0" borderId="4" xfId="17" applyNumberFormat="1" applyFont="1" applyFill="1" applyBorder="1" applyAlignment="1">
      <alignment horizontal="center" vertical="center"/>
    </xf>
    <xf numFmtId="3" fontId="18" fillId="0" borderId="41" xfId="17" applyNumberFormat="1" applyFont="1" applyFill="1" applyBorder="1" applyAlignment="1">
      <alignment horizontal="center" vertical="center" wrapText="1"/>
    </xf>
    <xf numFmtId="3" fontId="10" fillId="0" borderId="71" xfId="17" applyNumberFormat="1" applyFont="1" applyFill="1" applyBorder="1" applyAlignment="1">
      <alignment horizontal="center" vertical="center" textRotation="90" wrapText="1"/>
    </xf>
    <xf numFmtId="3" fontId="10" fillId="0" borderId="41" xfId="17" applyNumberFormat="1" applyFont="1" applyFill="1" applyBorder="1" applyAlignment="1">
      <alignment horizontal="center" vertical="center" textRotation="90" wrapText="1"/>
    </xf>
    <xf numFmtId="3" fontId="12" fillId="0" borderId="41" xfId="17" applyNumberFormat="1" applyFont="1" applyFill="1" applyBorder="1" applyAlignment="1">
      <alignment horizontal="center" vertical="center" wrapText="1"/>
    </xf>
    <xf numFmtId="3" fontId="10" fillId="0" borderId="72" xfId="17" applyNumberFormat="1" applyFont="1" applyFill="1" applyBorder="1" applyAlignment="1">
      <alignment horizontal="center" vertical="center" wrapText="1"/>
    </xf>
    <xf numFmtId="3" fontId="12" fillId="0" borderId="11" xfId="17" applyNumberFormat="1" applyFont="1" applyFill="1" applyBorder="1" applyAlignment="1">
      <alignment horizontal="right" wrapText="1"/>
    </xf>
    <xf numFmtId="3" fontId="12" fillId="0" borderId="10" xfId="0" applyNumberFormat="1" applyFont="1" applyFill="1" applyBorder="1"/>
    <xf numFmtId="3" fontId="12" fillId="0" borderId="10" xfId="17" applyNumberFormat="1" applyFont="1" applyFill="1" applyBorder="1" applyAlignment="1">
      <alignment horizontal="right" wrapText="1"/>
    </xf>
    <xf numFmtId="3" fontId="12" fillId="0" borderId="34" xfId="0" applyNumberFormat="1" applyFont="1" applyFill="1" applyBorder="1" applyAlignment="1">
      <alignment vertical="center"/>
    </xf>
    <xf numFmtId="3" fontId="12" fillId="0" borderId="0" xfId="0" applyNumberFormat="1" applyFont="1" applyFill="1" applyBorder="1" applyAlignment="1">
      <alignment vertical="center"/>
    </xf>
    <xf numFmtId="3" fontId="12" fillId="0" borderId="35" xfId="0" applyNumberFormat="1" applyFont="1" applyFill="1" applyBorder="1" applyAlignment="1">
      <alignment vertical="center"/>
    </xf>
    <xf numFmtId="3" fontId="13" fillId="0" borderId="0" xfId="17" applyNumberFormat="1" applyFont="1" applyFill="1" applyBorder="1" applyAlignment="1">
      <alignment horizontal="right"/>
    </xf>
    <xf numFmtId="3" fontId="10" fillId="0" borderId="6" xfId="17" applyNumberFormat="1" applyFont="1" applyFill="1" applyBorder="1" applyAlignment="1">
      <alignment horizontal="center"/>
    </xf>
    <xf numFmtId="49" fontId="10" fillId="0" borderId="71" xfId="17" applyNumberFormat="1" applyFont="1" applyFill="1" applyBorder="1" applyAlignment="1">
      <alignment horizontal="center" vertical="center" textRotation="90"/>
    </xf>
    <xf numFmtId="3" fontId="10" fillId="0" borderId="41" xfId="17" applyNumberFormat="1" applyFont="1" applyFill="1" applyBorder="1" applyAlignment="1">
      <alignment horizontal="center" vertical="center" textRotation="90"/>
    </xf>
    <xf numFmtId="3" fontId="12" fillId="0" borderId="41" xfId="17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73" xfId="24" applyFont="1" applyFill="1" applyBorder="1" applyAlignment="1">
      <alignment horizontal="center" vertical="center" wrapText="1"/>
    </xf>
    <xf numFmtId="0" fontId="10" fillId="0" borderId="24" xfId="27" applyFont="1" applyFill="1" applyBorder="1" applyAlignment="1">
      <alignment vertical="center" wrapText="1"/>
    </xf>
    <xf numFmtId="14" fontId="10" fillId="0" borderId="24" xfId="27" applyNumberFormat="1" applyFont="1" applyFill="1" applyBorder="1" applyAlignment="1">
      <alignment horizontal="center" vertical="center"/>
    </xf>
    <xf numFmtId="3" fontId="10" fillId="0" borderId="24" xfId="26" applyNumberFormat="1" applyFont="1" applyFill="1" applyBorder="1" applyAlignment="1">
      <alignment horizontal="right" vertical="center"/>
    </xf>
    <xf numFmtId="0" fontId="10" fillId="0" borderId="17" xfId="27" applyFont="1" applyFill="1" applyBorder="1" applyAlignment="1">
      <alignment horizontal="center" vertical="center" wrapText="1"/>
    </xf>
    <xf numFmtId="0" fontId="10" fillId="0" borderId="45" xfId="27" applyFont="1" applyFill="1" applyBorder="1" applyAlignment="1">
      <alignment horizontal="center" vertical="center" wrapText="1"/>
    </xf>
    <xf numFmtId="0" fontId="10" fillId="0" borderId="0" xfId="31" applyFont="1" applyFill="1" applyBorder="1"/>
    <xf numFmtId="0" fontId="10" fillId="0" borderId="0" xfId="31" applyFont="1" applyFill="1" applyBorder="1" applyAlignment="1">
      <alignment horizontal="center" vertical="center"/>
    </xf>
    <xf numFmtId="0" fontId="10" fillId="0" borderId="0" xfId="31" applyFont="1" applyFill="1" applyBorder="1" applyAlignment="1"/>
    <xf numFmtId="0" fontId="10" fillId="0" borderId="16" xfId="31" applyFont="1" applyFill="1" applyBorder="1" applyAlignment="1">
      <alignment horizontal="center" vertical="center"/>
    </xf>
    <xf numFmtId="0" fontId="10" fillId="0" borderId="17" xfId="31" applyFont="1" applyFill="1" applyBorder="1" applyAlignment="1">
      <alignment horizontal="center" vertical="top"/>
    </xf>
    <xf numFmtId="0" fontId="10" fillId="0" borderId="17" xfId="21" applyFont="1" applyFill="1" applyBorder="1" applyAlignment="1">
      <alignment wrapText="1"/>
    </xf>
    <xf numFmtId="0" fontId="10" fillId="0" borderId="17" xfId="21" applyFont="1" applyFill="1" applyBorder="1" applyAlignment="1">
      <alignment vertical="top" wrapText="1"/>
    </xf>
    <xf numFmtId="0" fontId="10" fillId="0" borderId="0" xfId="31" applyFont="1" applyFill="1" applyBorder="1" applyAlignment="1">
      <alignment vertical="center"/>
    </xf>
    <xf numFmtId="0" fontId="10" fillId="0" borderId="17" xfId="31" applyFont="1" applyFill="1" applyBorder="1" applyAlignment="1">
      <alignment vertical="center" wrapText="1"/>
    </xf>
    <xf numFmtId="3" fontId="10" fillId="0" borderId="24" xfId="21" applyNumberFormat="1" applyFont="1" applyFill="1" applyBorder="1" applyAlignment="1">
      <alignment horizontal="right"/>
    </xf>
    <xf numFmtId="3" fontId="10" fillId="0" borderId="26" xfId="31" applyNumberFormat="1" applyFont="1" applyFill="1" applyBorder="1" applyAlignment="1">
      <alignment horizontal="right"/>
    </xf>
    <xf numFmtId="3" fontId="10" fillId="0" borderId="24" xfId="31" applyNumberFormat="1" applyFont="1" applyFill="1" applyBorder="1" applyAlignment="1">
      <alignment horizontal="right"/>
    </xf>
    <xf numFmtId="0" fontId="12" fillId="0" borderId="0" xfId="31" applyFont="1" applyFill="1" applyBorder="1" applyAlignment="1">
      <alignment vertical="center"/>
    </xf>
    <xf numFmtId="0" fontId="10" fillId="0" borderId="0" xfId="31" applyFont="1" applyFill="1" applyBorder="1" applyAlignment="1">
      <alignment horizontal="left"/>
    </xf>
    <xf numFmtId="3" fontId="10" fillId="0" borderId="17" xfId="31" applyNumberFormat="1" applyFont="1" applyFill="1" applyBorder="1" applyAlignment="1">
      <alignment horizontal="right"/>
    </xf>
    <xf numFmtId="3" fontId="10" fillId="0" borderId="23" xfId="31" applyNumberFormat="1" applyFont="1" applyFill="1" applyBorder="1" applyAlignment="1">
      <alignment horizontal="right"/>
    </xf>
    <xf numFmtId="3" fontId="10" fillId="0" borderId="0" xfId="32" applyNumberFormat="1" applyFont="1" applyFill="1" applyBorder="1" applyAlignment="1">
      <alignment horizontal="right"/>
    </xf>
    <xf numFmtId="3" fontId="10" fillId="0" borderId="0" xfId="32" applyNumberFormat="1" applyFont="1" applyFill="1" applyBorder="1" applyAlignment="1">
      <alignment horizontal="right" wrapText="1"/>
    </xf>
    <xf numFmtId="0" fontId="10" fillId="0" borderId="0" xfId="0" applyFont="1" applyFill="1" applyBorder="1" applyAlignment="1">
      <alignment horizontal="right"/>
    </xf>
    <xf numFmtId="3" fontId="21" fillId="0" borderId="53" xfId="0" applyNumberFormat="1" applyFont="1" applyFill="1" applyBorder="1" applyAlignment="1">
      <alignment vertical="center"/>
    </xf>
    <xf numFmtId="3" fontId="24" fillId="0" borderId="53" xfId="0" applyNumberFormat="1" applyFont="1" applyFill="1" applyBorder="1" applyAlignment="1">
      <alignment vertical="center"/>
    </xf>
    <xf numFmtId="3" fontId="24" fillId="0" borderId="78" xfId="0" applyNumberFormat="1" applyFont="1" applyFill="1" applyBorder="1" applyAlignment="1"/>
    <xf numFmtId="3" fontId="18" fillId="0" borderId="50" xfId="0" applyNumberFormat="1" applyFont="1" applyFill="1" applyBorder="1" applyAlignment="1"/>
    <xf numFmtId="3" fontId="21" fillId="0" borderId="18" xfId="0" applyNumberFormat="1" applyFont="1" applyFill="1" applyBorder="1" applyAlignment="1">
      <alignment horizontal="right" wrapText="1"/>
    </xf>
    <xf numFmtId="3" fontId="20" fillId="0" borderId="17" xfId="18" applyNumberFormat="1" applyFont="1" applyFill="1" applyBorder="1" applyAlignment="1">
      <alignment wrapText="1"/>
    </xf>
    <xf numFmtId="3" fontId="20" fillId="0" borderId="17" xfId="18" applyNumberFormat="1" applyFont="1" applyFill="1" applyBorder="1" applyAlignment="1">
      <alignment horizontal="left" wrapText="1"/>
    </xf>
    <xf numFmtId="3" fontId="20" fillId="0" borderId="17" xfId="18" applyNumberFormat="1" applyFont="1" applyFill="1" applyBorder="1" applyAlignment="1">
      <alignment horizontal="left" wrapText="1" indent="3"/>
    </xf>
    <xf numFmtId="3" fontId="21" fillId="0" borderId="17" xfId="0" applyNumberFormat="1" applyFont="1" applyFill="1" applyBorder="1" applyAlignment="1">
      <alignment horizontal="right" wrapText="1"/>
    </xf>
    <xf numFmtId="3" fontId="18" fillId="0" borderId="54" xfId="18" applyNumberFormat="1" applyFont="1" applyFill="1" applyBorder="1" applyAlignment="1">
      <alignment horizontal="center" vertical="center"/>
    </xf>
    <xf numFmtId="0" fontId="18" fillId="0" borderId="51" xfId="33" applyFont="1" applyFill="1" applyBorder="1" applyAlignment="1">
      <alignment wrapText="1"/>
    </xf>
    <xf numFmtId="3" fontId="21" fillId="0" borderId="79" xfId="18" applyNumberFormat="1" applyFont="1" applyFill="1" applyBorder="1" applyAlignment="1">
      <alignment horizontal="right" vertical="center"/>
    </xf>
    <xf numFmtId="3" fontId="18" fillId="0" borderId="51" xfId="0" applyNumberFormat="1" applyFont="1" applyFill="1" applyBorder="1" applyAlignment="1">
      <alignment horizontal="right" vertical="center" wrapText="1"/>
    </xf>
    <xf numFmtId="3" fontId="21" fillId="0" borderId="80" xfId="0" applyNumberFormat="1" applyFont="1" applyFill="1" applyBorder="1" applyAlignment="1">
      <alignment vertical="center"/>
    </xf>
    <xf numFmtId="3" fontId="18" fillId="0" borderId="15" xfId="0" applyNumberFormat="1" applyFont="1" applyFill="1" applyBorder="1" applyAlignment="1">
      <alignment horizontal="right" wrapText="1"/>
    </xf>
    <xf numFmtId="3" fontId="10" fillId="0" borderId="0" xfId="0" applyNumberFormat="1" applyFont="1" applyFill="1" applyAlignment="1">
      <alignment horizontal="right" vertical="center"/>
    </xf>
    <xf numFmtId="3" fontId="18" fillId="0" borderId="0" xfId="0" applyNumberFormat="1" applyFont="1" applyFill="1" applyBorder="1" applyAlignment="1">
      <alignment horizontal="center"/>
    </xf>
    <xf numFmtId="3" fontId="18" fillId="0" borderId="17" xfId="28" applyNumberFormat="1" applyFont="1" applyFill="1" applyBorder="1" applyAlignment="1"/>
    <xf numFmtId="3" fontId="18" fillId="0" borderId="17" xfId="28" applyNumberFormat="1" applyFont="1" applyFill="1" applyBorder="1" applyAlignment="1">
      <alignment horizontal="center"/>
    </xf>
    <xf numFmtId="3" fontId="18" fillId="0" borderId="24" xfId="28" applyNumberFormat="1" applyFont="1" applyFill="1" applyBorder="1" applyAlignment="1">
      <alignment horizontal="center"/>
    </xf>
    <xf numFmtId="3" fontId="18" fillId="0" borderId="26" xfId="0" applyNumberFormat="1" applyFont="1" applyFill="1" applyBorder="1" applyAlignment="1"/>
    <xf numFmtId="3" fontId="18" fillId="0" borderId="17" xfId="28" applyNumberFormat="1" applyFont="1" applyFill="1" applyBorder="1" applyAlignment="1">
      <alignment horizontal="center" vertical="top" wrapText="1"/>
    </xf>
    <xf numFmtId="3" fontId="21" fillId="0" borderId="24" xfId="0" applyNumberFormat="1" applyFont="1" applyFill="1" applyBorder="1" applyAlignment="1">
      <alignment horizontal="left"/>
    </xf>
    <xf numFmtId="3" fontId="21" fillId="0" borderId="43" xfId="28" applyNumberFormat="1" applyFont="1" applyFill="1" applyBorder="1" applyAlignment="1">
      <alignment horizontal="center"/>
    </xf>
    <xf numFmtId="3" fontId="21" fillId="0" borderId="43" xfId="0" applyNumberFormat="1" applyFont="1" applyFill="1" applyBorder="1" applyAlignment="1">
      <alignment vertical="center"/>
    </xf>
    <xf numFmtId="3" fontId="21" fillId="0" borderId="16" xfId="0" applyNumberFormat="1" applyFont="1" applyFill="1" applyBorder="1" applyAlignment="1">
      <alignment horizontal="center" vertical="center"/>
    </xf>
    <xf numFmtId="3" fontId="21" fillId="0" borderId="43" xfId="0" applyNumberFormat="1" applyFont="1" applyFill="1" applyBorder="1" applyAlignment="1">
      <alignment horizontal="center" vertical="center"/>
    </xf>
    <xf numFmtId="3" fontId="18" fillId="0" borderId="17" xfId="0" applyNumberFormat="1" applyFont="1" applyFill="1" applyBorder="1" applyAlignment="1">
      <alignment horizontal="center" vertical="center" wrapText="1"/>
    </xf>
    <xf numFmtId="0" fontId="31" fillId="0" borderId="0" xfId="0" applyFont="1" applyFill="1" applyAlignment="1">
      <alignment vertical="top"/>
    </xf>
    <xf numFmtId="0" fontId="10" fillId="0" borderId="17" xfId="31" applyFont="1" applyFill="1" applyBorder="1" applyAlignment="1">
      <alignment horizontal="center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/>
    <xf numFmtId="4" fontId="10" fillId="0" borderId="0" xfId="0" applyNumberFormat="1" applyFont="1" applyFill="1" applyBorder="1" applyAlignment="1">
      <alignment vertical="top"/>
    </xf>
    <xf numFmtId="4" fontId="12" fillId="0" borderId="6" xfId="0" applyNumberFormat="1" applyFont="1" applyFill="1" applyBorder="1" applyAlignment="1">
      <alignment vertical="center"/>
    </xf>
    <xf numFmtId="4" fontId="10" fillId="0" borderId="6" xfId="0" applyNumberFormat="1" applyFont="1" applyFill="1" applyBorder="1" applyAlignment="1">
      <alignment vertical="center"/>
    </xf>
    <xf numFmtId="3" fontId="10" fillId="0" borderId="0" xfId="0" applyNumberFormat="1" applyFont="1" applyFill="1" applyBorder="1" applyAlignment="1">
      <alignment vertical="center"/>
    </xf>
    <xf numFmtId="0" fontId="12" fillId="0" borderId="66" xfId="0" applyFont="1" applyFill="1" applyBorder="1" applyAlignment="1">
      <alignment horizontal="left"/>
    </xf>
    <xf numFmtId="0" fontId="12" fillId="0" borderId="84" xfId="0" applyFont="1" applyFill="1" applyBorder="1" applyAlignment="1">
      <alignment horizontal="center"/>
    </xf>
    <xf numFmtId="3" fontId="12" fillId="0" borderId="85" xfId="0" applyNumberFormat="1" applyFont="1" applyFill="1" applyBorder="1" applyAlignment="1">
      <alignment horizontal="center" wrapText="1"/>
    </xf>
    <xf numFmtId="0" fontId="12" fillId="0" borderId="86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3" fontId="12" fillId="0" borderId="87" xfId="0" applyNumberFormat="1" applyFont="1" applyFill="1" applyBorder="1" applyAlignment="1">
      <alignment horizontal="center" wrapText="1"/>
    </xf>
    <xf numFmtId="3" fontId="10" fillId="0" borderId="88" xfId="0" applyNumberFormat="1" applyFont="1" applyFill="1" applyBorder="1"/>
    <xf numFmtId="0" fontId="10" fillId="0" borderId="89" xfId="0" applyFont="1" applyFill="1" applyBorder="1" applyAlignment="1">
      <alignment horizontal="center"/>
    </xf>
    <xf numFmtId="0" fontId="10" fillId="0" borderId="0" xfId="0" applyFont="1" applyFill="1" applyBorder="1" applyAlignment="1">
      <alignment wrapText="1"/>
    </xf>
    <xf numFmtId="0" fontId="10" fillId="0" borderId="89" xfId="0" applyFont="1" applyFill="1" applyBorder="1" applyAlignment="1">
      <alignment horizontal="center" vertical="top"/>
    </xf>
    <xf numFmtId="0" fontId="12" fillId="0" borderId="67" xfId="0" applyFont="1" applyFill="1" applyBorder="1" applyAlignment="1">
      <alignment horizontal="right" vertical="center"/>
    </xf>
    <xf numFmtId="0" fontId="12" fillId="0" borderId="8" xfId="0" applyFont="1" applyFill="1" applyBorder="1" applyAlignment="1">
      <alignment horizontal="left" vertical="center"/>
    </xf>
    <xf numFmtId="3" fontId="12" fillId="0" borderId="90" xfId="0" applyNumberFormat="1" applyFont="1" applyFill="1" applyBorder="1" applyAlignment="1">
      <alignment vertical="center"/>
    </xf>
    <xf numFmtId="3" fontId="12" fillId="0" borderId="91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/>
    </xf>
    <xf numFmtId="0" fontId="12" fillId="0" borderId="89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3" fontId="10" fillId="0" borderId="88" xfId="0" applyNumberFormat="1" applyFont="1" applyFill="1" applyBorder="1" applyAlignment="1">
      <alignment horizontal="right"/>
    </xf>
    <xf numFmtId="1" fontId="10" fillId="0" borderId="89" xfId="0" applyNumberFormat="1" applyFont="1" applyFill="1" applyBorder="1" applyAlignment="1">
      <alignment horizontal="center"/>
    </xf>
    <xf numFmtId="0" fontId="12" fillId="0" borderId="68" xfId="0" applyFont="1" applyFill="1" applyBorder="1" applyAlignment="1">
      <alignment horizontal="right" vertical="center"/>
    </xf>
    <xf numFmtId="0" fontId="12" fillId="0" borderId="34" xfId="0" applyFont="1" applyFill="1" applyBorder="1" applyAlignment="1">
      <alignment horizontal="left" vertical="center"/>
    </xf>
    <xf numFmtId="3" fontId="12" fillId="0" borderId="93" xfId="0" applyNumberFormat="1" applyFont="1" applyFill="1" applyBorder="1" applyAlignment="1">
      <alignment horizontal="center" vertical="center"/>
    </xf>
    <xf numFmtId="0" fontId="12" fillId="0" borderId="94" xfId="0" applyFont="1" applyFill="1" applyBorder="1" applyAlignment="1">
      <alignment vertical="center"/>
    </xf>
    <xf numFmtId="0" fontId="12" fillId="0" borderId="95" xfId="0" applyFont="1" applyFill="1" applyBorder="1" applyAlignment="1">
      <alignment horizontal="center" vertical="center"/>
    </xf>
    <xf numFmtId="0" fontId="12" fillId="0" borderId="96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right" vertical="center"/>
    </xf>
    <xf numFmtId="0" fontId="10" fillId="0" borderId="89" xfId="0" applyFont="1" applyFill="1" applyBorder="1" applyAlignment="1">
      <alignment horizontal="center" vertical="center"/>
    </xf>
    <xf numFmtId="0" fontId="10" fillId="0" borderId="9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vertical="center"/>
    </xf>
    <xf numFmtId="0" fontId="10" fillId="0" borderId="68" xfId="0" applyFont="1" applyFill="1" applyBorder="1" applyAlignment="1">
      <alignment horizontal="right" vertical="center"/>
    </xf>
    <xf numFmtId="0" fontId="12" fillId="0" borderId="93" xfId="0" applyFont="1" applyFill="1" applyBorder="1" applyAlignment="1">
      <alignment horizontal="right" vertical="center"/>
    </xf>
    <xf numFmtId="0" fontId="12" fillId="0" borderId="97" xfId="0" applyFont="1" applyFill="1" applyBorder="1" applyAlignment="1">
      <alignment horizontal="right" vertical="center"/>
    </xf>
    <xf numFmtId="0" fontId="12" fillId="0" borderId="98" xfId="0" applyFont="1" applyFill="1" applyBorder="1" applyAlignment="1">
      <alignment horizontal="left" vertical="center"/>
    </xf>
    <xf numFmtId="3" fontId="12" fillId="0" borderId="89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indent="2"/>
    </xf>
    <xf numFmtId="0" fontId="12" fillId="0" borderId="99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100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left" vertical="center" wrapText="1"/>
    </xf>
    <xf numFmtId="3" fontId="12" fillId="0" borderId="101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right"/>
    </xf>
    <xf numFmtId="0" fontId="10" fillId="0" borderId="89" xfId="0" applyFont="1" applyFill="1" applyBorder="1" applyAlignment="1">
      <alignment horizontal="right"/>
    </xf>
    <xf numFmtId="0" fontId="10" fillId="0" borderId="5" xfId="0" applyFont="1" applyFill="1" applyBorder="1" applyAlignment="1">
      <alignment horizontal="right"/>
    </xf>
    <xf numFmtId="0" fontId="10" fillId="0" borderId="6" xfId="0" applyFont="1" applyFill="1" applyBorder="1"/>
    <xf numFmtId="0" fontId="10" fillId="0" borderId="102" xfId="0" applyFont="1" applyFill="1" applyBorder="1" applyAlignment="1">
      <alignment horizontal="right"/>
    </xf>
    <xf numFmtId="3" fontId="12" fillId="0" borderId="88" xfId="0" applyNumberFormat="1" applyFont="1" applyFill="1" applyBorder="1" applyAlignment="1">
      <alignment horizontal="right"/>
    </xf>
    <xf numFmtId="3" fontId="12" fillId="0" borderId="103" xfId="0" applyNumberFormat="1" applyFont="1" applyFill="1" applyBorder="1" applyAlignment="1">
      <alignment horizontal="right" vertical="center"/>
    </xf>
    <xf numFmtId="3" fontId="12" fillId="0" borderId="104" xfId="0" applyNumberFormat="1" applyFont="1" applyFill="1" applyBorder="1" applyAlignment="1">
      <alignment horizontal="right" vertical="center"/>
    </xf>
    <xf numFmtId="3" fontId="10" fillId="0" borderId="88" xfId="0" applyNumberFormat="1" applyFont="1" applyFill="1" applyBorder="1" applyAlignment="1">
      <alignment horizontal="right" vertical="center"/>
    </xf>
    <xf numFmtId="3" fontId="10" fillId="0" borderId="103" xfId="0" applyNumberFormat="1" applyFont="1" applyFill="1" applyBorder="1" applyAlignment="1">
      <alignment horizontal="right" vertical="center"/>
    </xf>
    <xf numFmtId="3" fontId="12" fillId="0" borderId="105" xfId="0" applyNumberFormat="1" applyFont="1" applyFill="1" applyBorder="1" applyAlignment="1">
      <alignment horizontal="right" vertical="center"/>
    </xf>
    <xf numFmtId="3" fontId="12" fillId="0" borderId="88" xfId="0" applyNumberFormat="1" applyFont="1" applyFill="1" applyBorder="1" applyAlignment="1">
      <alignment horizontal="right" vertical="center"/>
    </xf>
    <xf numFmtId="3" fontId="12" fillId="0" borderId="106" xfId="0" applyNumberFormat="1" applyFont="1" applyFill="1" applyBorder="1" applyAlignment="1">
      <alignment horizontal="right" vertical="center"/>
    </xf>
    <xf numFmtId="165" fontId="10" fillId="0" borderId="88" xfId="34" applyNumberFormat="1" applyFont="1" applyFill="1" applyBorder="1" applyAlignment="1">
      <alignment horizontal="right"/>
    </xf>
    <xf numFmtId="165" fontId="10" fillId="0" borderId="107" xfId="34" applyNumberFormat="1" applyFont="1" applyFill="1" applyBorder="1" applyAlignment="1">
      <alignment horizontal="right"/>
    </xf>
    <xf numFmtId="3" fontId="18" fillId="0" borderId="52" xfId="0" applyNumberFormat="1" applyFont="1" applyFill="1" applyBorder="1" applyAlignment="1">
      <alignment horizontal="right" vertical="center" wrapText="1"/>
    </xf>
    <xf numFmtId="3" fontId="18" fillId="0" borderId="39" xfId="0" applyNumberFormat="1" applyFont="1" applyFill="1" applyBorder="1" applyAlignment="1">
      <alignment horizontal="center"/>
    </xf>
    <xf numFmtId="3" fontId="18" fillId="0" borderId="39" xfId="0" applyNumberFormat="1" applyFont="1" applyFill="1" applyBorder="1" applyAlignment="1">
      <alignment horizontal="right"/>
    </xf>
    <xf numFmtId="3" fontId="21" fillId="0" borderId="39" xfId="0" applyNumberFormat="1" applyFont="1" applyFill="1" applyBorder="1" applyAlignment="1">
      <alignment horizontal="right"/>
    </xf>
    <xf numFmtId="3" fontId="31" fillId="0" borderId="0" xfId="0" applyNumberFormat="1" applyFont="1" applyFill="1" applyBorder="1" applyAlignment="1">
      <alignment vertical="center"/>
    </xf>
    <xf numFmtId="14" fontId="10" fillId="0" borderId="24" xfId="27" applyNumberFormat="1" applyFont="1" applyFill="1" applyBorder="1" applyAlignment="1">
      <alignment horizontal="center" vertical="center" wrapText="1"/>
    </xf>
    <xf numFmtId="0" fontId="10" fillId="0" borderId="0" xfId="27" applyFont="1" applyFill="1" applyAlignment="1">
      <alignment horizontal="center" vertical="center"/>
    </xf>
    <xf numFmtId="0" fontId="10" fillId="0" borderId="0" xfId="24" applyFont="1" applyFill="1" applyAlignment="1">
      <alignment horizontal="center"/>
    </xf>
    <xf numFmtId="0" fontId="10" fillId="0" borderId="0" xfId="27" applyFont="1" applyFill="1"/>
    <xf numFmtId="0" fontId="10" fillId="0" borderId="0" xfId="27" applyFont="1" applyFill="1" applyAlignment="1">
      <alignment vertical="center"/>
    </xf>
    <xf numFmtId="0" fontId="10" fillId="0" borderId="0" xfId="24" applyFont="1" applyFill="1" applyAlignment="1">
      <alignment horizontal="center" vertical="center"/>
    </xf>
    <xf numFmtId="0" fontId="10" fillId="0" borderId="0" xfId="25" applyFont="1" applyFill="1" applyAlignment="1">
      <alignment horizontal="center"/>
    </xf>
    <xf numFmtId="0" fontId="10" fillId="0" borderId="0" xfId="27" applyFont="1" applyFill="1" applyAlignment="1">
      <alignment horizontal="center"/>
    </xf>
    <xf numFmtId="0" fontId="10" fillId="0" borderId="27" xfId="27" applyFont="1" applyFill="1" applyBorder="1" applyAlignment="1">
      <alignment horizontal="center" vertical="top"/>
    </xf>
    <xf numFmtId="0" fontId="10" fillId="0" borderId="24" xfId="27" applyFont="1" applyFill="1" applyBorder="1" applyAlignment="1">
      <alignment horizontal="center" vertical="center" wrapText="1"/>
    </xf>
    <xf numFmtId="0" fontId="10" fillId="0" borderId="16" xfId="27" applyFont="1" applyFill="1" applyBorder="1" applyAlignment="1">
      <alignment horizontal="center" vertical="top"/>
    </xf>
    <xf numFmtId="0" fontId="10" fillId="0" borderId="17" xfId="27" applyFont="1" applyFill="1" applyBorder="1" applyAlignment="1">
      <alignment vertical="center" wrapText="1"/>
    </xf>
    <xf numFmtId="14" fontId="10" fillId="0" borderId="17" xfId="27" applyNumberFormat="1" applyFont="1" applyFill="1" applyBorder="1" applyAlignment="1">
      <alignment horizontal="center" vertical="center"/>
    </xf>
    <xf numFmtId="0" fontId="10" fillId="0" borderId="50" xfId="27" applyFont="1" applyFill="1" applyBorder="1" applyAlignment="1">
      <alignment horizontal="center" vertical="top"/>
    </xf>
    <xf numFmtId="0" fontId="10" fillId="0" borderId="45" xfId="27" applyFont="1" applyFill="1" applyBorder="1" applyAlignment="1">
      <alignment vertical="center" wrapText="1"/>
    </xf>
    <xf numFmtId="14" fontId="10" fillId="0" borderId="45" xfId="27" applyNumberFormat="1" applyFont="1" applyFill="1" applyBorder="1" applyAlignment="1">
      <alignment horizontal="center" vertical="center"/>
    </xf>
    <xf numFmtId="0" fontId="10" fillId="0" borderId="108" xfId="27" applyFont="1" applyFill="1" applyBorder="1" applyAlignment="1">
      <alignment horizontal="center" vertical="top"/>
    </xf>
    <xf numFmtId="0" fontId="10" fillId="0" borderId="109" xfId="27" applyFont="1" applyFill="1" applyBorder="1" applyAlignment="1">
      <alignment vertical="center" wrapText="1"/>
    </xf>
    <xf numFmtId="0" fontId="12" fillId="0" borderId="76" xfId="24" applyFont="1" applyFill="1" applyBorder="1" applyAlignment="1">
      <alignment horizontal="center" vertical="center"/>
    </xf>
    <xf numFmtId="3" fontId="12" fillId="0" borderId="75" xfId="27" applyNumberFormat="1" applyFont="1" applyFill="1" applyBorder="1" applyAlignment="1">
      <alignment vertical="center"/>
    </xf>
    <xf numFmtId="0" fontId="10" fillId="0" borderId="0" xfId="24" applyFont="1" applyFill="1"/>
    <xf numFmtId="3" fontId="10" fillId="0" borderId="0" xfId="36" applyNumberFormat="1" applyFont="1" applyFill="1" applyBorder="1" applyAlignment="1">
      <alignment vertical="center"/>
    </xf>
    <xf numFmtId="3" fontId="12" fillId="0" borderId="0" xfId="36" applyNumberFormat="1" applyFont="1" applyFill="1" applyBorder="1" applyAlignment="1">
      <alignment vertical="center"/>
    </xf>
    <xf numFmtId="0" fontId="12" fillId="0" borderId="0" xfId="20" applyFont="1" applyFill="1" applyAlignment="1">
      <alignment vertical="center"/>
    </xf>
    <xf numFmtId="0" fontId="10" fillId="0" borderId="0" xfId="20" applyFont="1" applyFill="1" applyAlignment="1">
      <alignment vertical="center"/>
    </xf>
    <xf numFmtId="3" fontId="18" fillId="0" borderId="17" xfId="18" applyNumberFormat="1" applyFont="1" applyFill="1" applyBorder="1" applyAlignment="1">
      <alignment horizontal="center" vertical="top"/>
    </xf>
    <xf numFmtId="3" fontId="18" fillId="0" borderId="17" xfId="18" applyNumberFormat="1" applyFont="1" applyFill="1" applyBorder="1" applyAlignment="1">
      <alignment shrinkToFit="1"/>
    </xf>
    <xf numFmtId="0" fontId="10" fillId="0" borderId="111" xfId="0" applyFont="1" applyFill="1" applyBorder="1" applyAlignment="1">
      <alignment horizontal="center" vertical="center"/>
    </xf>
    <xf numFmtId="164" fontId="12" fillId="0" borderId="39" xfId="0" applyNumberFormat="1" applyFont="1" applyFill="1" applyBorder="1" applyAlignment="1">
      <alignment vertical="center" wrapText="1"/>
    </xf>
    <xf numFmtId="4" fontId="12" fillId="0" borderId="39" xfId="0" applyNumberFormat="1" applyFont="1" applyFill="1" applyBorder="1" applyAlignment="1">
      <alignment vertical="center"/>
    </xf>
    <xf numFmtId="4" fontId="19" fillId="0" borderId="112" xfId="0" applyNumberFormat="1" applyFont="1" applyFill="1" applyBorder="1" applyAlignment="1">
      <alignment horizontal="center" vertical="center"/>
    </xf>
    <xf numFmtId="164" fontId="10" fillId="0" borderId="0" xfId="28" applyNumberFormat="1" applyFont="1" applyFill="1" applyBorder="1" applyAlignment="1">
      <alignment wrapText="1"/>
    </xf>
    <xf numFmtId="0" fontId="10" fillId="0" borderId="113" xfId="0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28" applyNumberFormat="1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3" fontId="21" fillId="0" borderId="80" xfId="18" applyNumberFormat="1" applyFont="1" applyFill="1" applyBorder="1" applyAlignment="1">
      <alignment horizontal="right"/>
    </xf>
    <xf numFmtId="3" fontId="21" fillId="0" borderId="115" xfId="18" applyNumberFormat="1" applyFont="1" applyFill="1" applyBorder="1" applyAlignment="1">
      <alignment horizontal="right"/>
    </xf>
    <xf numFmtId="3" fontId="21" fillId="0" borderId="115" xfId="18" applyNumberFormat="1" applyFont="1" applyFill="1" applyBorder="1" applyAlignment="1">
      <alignment horizontal="right" vertical="center"/>
    </xf>
    <xf numFmtId="3" fontId="24" fillId="0" borderId="115" xfId="18" applyNumberFormat="1" applyFont="1" applyFill="1" applyBorder="1" applyAlignment="1">
      <alignment horizontal="right"/>
    </xf>
    <xf numFmtId="3" fontId="24" fillId="0" borderId="115" xfId="18" applyNumberFormat="1" applyFont="1" applyFill="1" applyBorder="1" applyAlignment="1">
      <alignment horizontal="right" vertical="center"/>
    </xf>
    <xf numFmtId="3" fontId="21" fillId="0" borderId="117" xfId="0" applyNumberFormat="1" applyFont="1" applyFill="1" applyBorder="1" applyAlignment="1">
      <alignment horizontal="right"/>
    </xf>
    <xf numFmtId="0" fontId="12" fillId="0" borderId="8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wrapText="1" indent="1"/>
    </xf>
    <xf numFmtId="3" fontId="14" fillId="0" borderId="0" xfId="0" applyNumberFormat="1" applyFont="1" applyFill="1" applyBorder="1" applyAlignment="1">
      <alignment horizontal="center"/>
    </xf>
    <xf numFmtId="3" fontId="21" fillId="0" borderId="80" xfId="0" applyNumberFormat="1" applyFont="1" applyFill="1" applyBorder="1" applyAlignment="1">
      <alignment horizontal="right"/>
    </xf>
    <xf numFmtId="3" fontId="21" fillId="0" borderId="16" xfId="18" applyNumberFormat="1" applyFont="1" applyFill="1" applyBorder="1" applyAlignment="1">
      <alignment horizontal="center" vertical="center"/>
    </xf>
    <xf numFmtId="3" fontId="21" fillId="0" borderId="24" xfId="18" applyNumberFormat="1" applyFont="1" applyFill="1" applyBorder="1" applyAlignment="1">
      <alignment wrapText="1"/>
    </xf>
    <xf numFmtId="3" fontId="21" fillId="0" borderId="17" xfId="18" applyNumberFormat="1" applyFont="1" applyFill="1" applyBorder="1" applyAlignment="1">
      <alignment wrapText="1"/>
    </xf>
    <xf numFmtId="3" fontId="21" fillId="0" borderId="16" xfId="18" applyNumberFormat="1" applyFont="1" applyFill="1" applyBorder="1" applyAlignment="1">
      <alignment horizontal="center"/>
    </xf>
    <xf numFmtId="3" fontId="24" fillId="0" borderId="16" xfId="18" applyNumberFormat="1" applyFont="1" applyFill="1" applyBorder="1" applyAlignment="1">
      <alignment horizontal="center" vertical="center"/>
    </xf>
    <xf numFmtId="3" fontId="12" fillId="0" borderId="17" xfId="18" applyNumberFormat="1" applyFont="1" applyFill="1" applyBorder="1" applyAlignment="1">
      <alignment shrinkToFit="1"/>
    </xf>
    <xf numFmtId="3" fontId="21" fillId="0" borderId="17" xfId="18" applyNumberFormat="1" applyFont="1" applyFill="1" applyBorder="1" applyAlignment="1">
      <alignment horizontal="left" wrapText="1"/>
    </xf>
    <xf numFmtId="3" fontId="21" fillId="0" borderId="24" xfId="18" applyNumberFormat="1" applyFont="1" applyFill="1" applyBorder="1" applyAlignment="1">
      <alignment horizontal="right" vertical="center"/>
    </xf>
    <xf numFmtId="1" fontId="26" fillId="0" borderId="0" xfId="18" applyNumberFormat="1" applyFont="1" applyFill="1" applyBorder="1" applyAlignment="1">
      <alignment horizontal="center" vertical="center"/>
    </xf>
    <xf numFmtId="1" fontId="26" fillId="0" borderId="0" xfId="18" applyNumberFormat="1" applyFont="1" applyFill="1" applyBorder="1" applyAlignment="1">
      <alignment horizontal="left" vertical="center"/>
    </xf>
    <xf numFmtId="3" fontId="10" fillId="0" borderId="0" xfId="31" applyNumberFormat="1" applyFont="1" applyFill="1" applyBorder="1" applyAlignment="1">
      <alignment vertical="center"/>
    </xf>
    <xf numFmtId="0" fontId="13" fillId="0" borderId="0" xfId="31" applyFont="1" applyFill="1" applyBorder="1" applyAlignment="1">
      <alignment horizontal="right" vertical="center"/>
    </xf>
    <xf numFmtId="0" fontId="10" fillId="0" borderId="6" xfId="31" applyFont="1" applyFill="1" applyBorder="1" applyAlignment="1">
      <alignment horizontal="center" vertical="center"/>
    </xf>
    <xf numFmtId="0" fontId="10" fillId="0" borderId="0" xfId="19" applyFont="1" applyFill="1" applyBorder="1" applyAlignment="1">
      <alignment vertical="center"/>
    </xf>
    <xf numFmtId="0" fontId="10" fillId="0" borderId="43" xfId="31" applyFont="1" applyFill="1" applyBorder="1" applyAlignment="1">
      <alignment horizontal="left" vertical="center" wrapText="1"/>
    </xf>
    <xf numFmtId="0" fontId="10" fillId="0" borderId="0" xfId="30" applyFont="1" applyFill="1" applyBorder="1" applyAlignment="1">
      <alignment vertical="center"/>
    </xf>
    <xf numFmtId="0" fontId="10" fillId="0" borderId="17" xfId="31" applyFont="1" applyFill="1" applyBorder="1" applyAlignment="1">
      <alignment horizontal="left" vertical="center" wrapText="1"/>
    </xf>
    <xf numFmtId="3" fontId="10" fillId="0" borderId="17" xfId="30" applyNumberFormat="1" applyFont="1" applyFill="1" applyBorder="1" applyAlignment="1">
      <alignment vertical="center"/>
    </xf>
    <xf numFmtId="3" fontId="10" fillId="0" borderId="17" xfId="31" applyNumberFormat="1" applyFont="1" applyFill="1" applyBorder="1" applyAlignment="1">
      <alignment vertical="center"/>
    </xf>
    <xf numFmtId="3" fontId="10" fillId="0" borderId="17" xfId="31" applyNumberFormat="1" applyFont="1" applyFill="1" applyBorder="1" applyAlignment="1">
      <alignment horizontal="right" vertical="center" wrapText="1"/>
    </xf>
    <xf numFmtId="3" fontId="12" fillId="0" borderId="119" xfId="31" applyNumberFormat="1" applyFont="1" applyFill="1" applyBorder="1" applyAlignment="1">
      <alignment horizontal="right" vertical="center" wrapText="1"/>
    </xf>
    <xf numFmtId="3" fontId="12" fillId="0" borderId="53" xfId="31" applyNumberFormat="1" applyFont="1" applyFill="1" applyBorder="1" applyAlignment="1">
      <alignment horizontal="right" vertical="center" wrapText="1"/>
    </xf>
    <xf numFmtId="0" fontId="10" fillId="0" borderId="0" xfId="31" applyFont="1" applyFill="1" applyBorder="1" applyAlignment="1">
      <alignment vertical="center" wrapText="1"/>
    </xf>
    <xf numFmtId="3" fontId="18" fillId="0" borderId="57" xfId="18" applyNumberFormat="1" applyFont="1" applyFill="1" applyBorder="1" applyAlignment="1">
      <alignment horizontal="center"/>
    </xf>
    <xf numFmtId="3" fontId="20" fillId="0" borderId="57" xfId="18" applyNumberFormat="1" applyFont="1" applyFill="1" applyBorder="1" applyAlignment="1">
      <alignment horizontal="center"/>
    </xf>
    <xf numFmtId="3" fontId="18" fillId="0" borderId="78" xfId="18" applyNumberFormat="1" applyFont="1" applyFill="1" applyBorder="1" applyAlignment="1">
      <alignment horizontal="center"/>
    </xf>
    <xf numFmtId="3" fontId="18" fillId="0" borderId="120" xfId="0" applyNumberFormat="1" applyFont="1" applyFill="1" applyBorder="1" applyAlignment="1">
      <alignment horizontal="center" wrapText="1"/>
    </xf>
    <xf numFmtId="3" fontId="18" fillId="0" borderId="57" xfId="0" applyNumberFormat="1" applyFont="1" applyFill="1" applyBorder="1" applyAlignment="1">
      <alignment horizontal="center" wrapText="1"/>
    </xf>
    <xf numFmtId="0" fontId="10" fillId="0" borderId="0" xfId="23" applyFont="1" applyFill="1" applyBorder="1" applyAlignment="1">
      <alignment horizontal="center" vertical="top"/>
    </xf>
    <xf numFmtId="0" fontId="12" fillId="0" borderId="0" xfId="23" applyFont="1" applyFill="1" applyBorder="1" applyAlignment="1">
      <alignment vertical="top"/>
    </xf>
    <xf numFmtId="0" fontId="10" fillId="0" borderId="0" xfId="23" applyFont="1" applyFill="1" applyBorder="1" applyAlignment="1">
      <alignment vertical="top"/>
    </xf>
    <xf numFmtId="0" fontId="10" fillId="0" borderId="0" xfId="23" applyFont="1" applyFill="1" applyBorder="1" applyAlignment="1"/>
    <xf numFmtId="0" fontId="10" fillId="0" borderId="0" xfId="23" applyFont="1" applyFill="1" applyBorder="1" applyAlignment="1">
      <alignment vertical="center"/>
    </xf>
    <xf numFmtId="0" fontId="10" fillId="0" borderId="0" xfId="23" applyFont="1" applyFill="1" applyBorder="1" applyAlignment="1">
      <alignment horizontal="center" vertical="center"/>
    </xf>
    <xf numFmtId="0" fontId="12" fillId="0" borderId="0" xfId="23" applyFont="1" applyFill="1" applyBorder="1" applyAlignment="1">
      <alignment horizontal="right" vertical="center"/>
    </xf>
    <xf numFmtId="0" fontId="12" fillId="0" borderId="0" xfId="23" applyFont="1" applyFill="1" applyBorder="1" applyAlignment="1">
      <alignment vertical="center"/>
    </xf>
    <xf numFmtId="3" fontId="18" fillId="0" borderId="121" xfId="0" applyNumberFormat="1" applyFont="1" applyFill="1" applyBorder="1" applyAlignment="1">
      <alignment horizontal="right" wrapText="1"/>
    </xf>
    <xf numFmtId="3" fontId="10" fillId="0" borderId="0" xfId="23" applyNumberFormat="1" applyFont="1" applyFill="1" applyBorder="1" applyAlignment="1">
      <alignment horizontal="center"/>
    </xf>
    <xf numFmtId="3" fontId="0" fillId="0" borderId="0" xfId="0" applyNumberFormat="1" applyFont="1" applyFill="1"/>
    <xf numFmtId="3" fontId="18" fillId="0" borderId="17" xfId="28" applyNumberFormat="1" applyFont="1" applyFill="1" applyBorder="1" applyAlignment="1">
      <alignment horizontal="center" vertical="center" wrapText="1"/>
    </xf>
    <xf numFmtId="3" fontId="20" fillId="0" borderId="0" xfId="18" applyNumberFormat="1" applyFont="1" applyFill="1" applyAlignment="1">
      <alignment horizontal="center" vertical="center"/>
    </xf>
    <xf numFmtId="3" fontId="18" fillId="0" borderId="0" xfId="18" applyNumberFormat="1" applyFont="1" applyFill="1" applyAlignment="1">
      <alignment horizontal="center" vertical="center"/>
    </xf>
    <xf numFmtId="49" fontId="14" fillId="0" borderId="19" xfId="0" applyNumberFormat="1" applyFont="1" applyFill="1" applyBorder="1" applyAlignment="1">
      <alignment horizontal="center" wrapText="1"/>
    </xf>
    <xf numFmtId="0" fontId="10" fillId="0" borderId="16" xfId="31" applyFont="1" applyFill="1" applyBorder="1" applyAlignment="1">
      <alignment horizontal="center"/>
    </xf>
    <xf numFmtId="3" fontId="20" fillId="0" borderId="27" xfId="18" applyNumberFormat="1" applyFont="1" applyFill="1" applyBorder="1" applyAlignment="1">
      <alignment horizontal="center" vertical="center"/>
    </xf>
    <xf numFmtId="3" fontId="20" fillId="0" borderId="78" xfId="18" applyNumberFormat="1" applyFont="1" applyFill="1" applyBorder="1" applyAlignment="1">
      <alignment horizontal="center"/>
    </xf>
    <xf numFmtId="3" fontId="20" fillId="0" borderId="24" xfId="0" applyNumberFormat="1" applyFont="1" applyFill="1" applyBorder="1" applyAlignment="1">
      <alignment horizontal="right" wrapText="1"/>
    </xf>
    <xf numFmtId="3" fontId="20" fillId="0" borderId="25" xfId="0" applyNumberFormat="1" applyFont="1" applyFill="1" applyBorder="1" applyAlignment="1">
      <alignment horizontal="right" wrapText="1"/>
    </xf>
    <xf numFmtId="3" fontId="18" fillId="0" borderId="78" xfId="18" applyNumberFormat="1" applyFont="1" applyFill="1" applyBorder="1" applyAlignment="1">
      <alignment horizontal="center" vertical="center"/>
    </xf>
    <xf numFmtId="3" fontId="18" fillId="0" borderId="24" xfId="0" applyNumberFormat="1" applyFont="1" applyFill="1" applyBorder="1" applyAlignment="1">
      <alignment horizontal="right" vertical="center" wrapText="1"/>
    </xf>
    <xf numFmtId="3" fontId="21" fillId="0" borderId="17" xfId="18" applyNumberFormat="1" applyFont="1" applyFill="1" applyBorder="1" applyAlignment="1">
      <alignment horizontal="right" vertical="center"/>
    </xf>
    <xf numFmtId="3" fontId="18" fillId="0" borderId="57" xfId="18" applyNumberFormat="1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vertical="top"/>
    </xf>
    <xf numFmtId="3" fontId="18" fillId="0" borderId="25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left" vertical="center"/>
    </xf>
    <xf numFmtId="0" fontId="12" fillId="0" borderId="0" xfId="23" applyFont="1" applyFill="1" applyBorder="1" applyAlignment="1">
      <alignment horizontal="center" vertical="center"/>
    </xf>
    <xf numFmtId="0" fontId="10" fillId="0" borderId="0" xfId="23" applyFont="1" applyFill="1" applyBorder="1" applyAlignment="1">
      <alignment horizontal="center"/>
    </xf>
    <xf numFmtId="0" fontId="10" fillId="0" borderId="0" xfId="23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0" fillId="0" borderId="109" xfId="27" applyFont="1" applyFill="1" applyBorder="1" applyAlignment="1">
      <alignment horizontal="center" vertical="center" wrapText="1"/>
    </xf>
    <xf numFmtId="3" fontId="10" fillId="0" borderId="23" xfId="31" applyNumberFormat="1" applyFont="1" applyFill="1" applyBorder="1" applyAlignment="1">
      <alignment vertical="center"/>
    </xf>
    <xf numFmtId="3" fontId="10" fillId="0" borderId="0" xfId="12" applyNumberFormat="1" applyFont="1" applyFill="1" applyBorder="1" applyAlignment="1">
      <alignment horizontal="right"/>
    </xf>
    <xf numFmtId="3" fontId="10" fillId="0" borderId="124" xfId="22" applyNumberFormat="1" applyFont="1" applyBorder="1" applyAlignment="1">
      <alignment horizontal="center" vertical="center" wrapText="1"/>
    </xf>
    <xf numFmtId="3" fontId="10" fillId="0" borderId="125" xfId="22" applyNumberFormat="1" applyFont="1" applyBorder="1" applyAlignment="1">
      <alignment horizontal="right" vertical="center" wrapText="1"/>
    </xf>
    <xf numFmtId="0" fontId="10" fillId="0" borderId="36" xfId="21" applyFont="1" applyFill="1" applyBorder="1" applyAlignment="1">
      <alignment wrapText="1"/>
    </xf>
    <xf numFmtId="3" fontId="10" fillId="0" borderId="43" xfId="30" applyNumberFormat="1" applyFont="1" applyFill="1" applyBorder="1" applyAlignment="1">
      <alignment vertical="center" wrapText="1"/>
    </xf>
    <xf numFmtId="3" fontId="10" fillId="0" borderId="119" xfId="30" applyNumberFormat="1" applyFont="1" applyFill="1" applyBorder="1" applyAlignment="1">
      <alignment vertical="center"/>
    </xf>
    <xf numFmtId="3" fontId="10" fillId="0" borderId="81" xfId="30" applyNumberFormat="1" applyFont="1" applyFill="1" applyBorder="1" applyAlignment="1">
      <alignment vertical="center"/>
    </xf>
    <xf numFmtId="3" fontId="10" fillId="0" borderId="23" xfId="30" applyNumberFormat="1" applyFont="1" applyFill="1" applyBorder="1" applyAlignment="1">
      <alignment vertical="center"/>
    </xf>
    <xf numFmtId="3" fontId="10" fillId="0" borderId="17" xfId="30" applyNumberFormat="1" applyFont="1" applyFill="1" applyBorder="1" applyAlignment="1">
      <alignment vertical="center" wrapText="1"/>
    </xf>
    <xf numFmtId="3" fontId="10" fillId="0" borderId="23" xfId="31" applyNumberFormat="1" applyFont="1" applyFill="1" applyBorder="1" applyAlignment="1">
      <alignment horizontal="right" vertical="center" wrapText="1"/>
    </xf>
    <xf numFmtId="0" fontId="10" fillId="0" borderId="45" xfId="31" applyFont="1" applyFill="1" applyBorder="1" applyAlignment="1">
      <alignment vertical="center" wrapText="1"/>
    </xf>
    <xf numFmtId="3" fontId="10" fillId="0" borderId="45" xfId="31" applyNumberFormat="1" applyFont="1" applyFill="1" applyBorder="1" applyAlignment="1">
      <alignment horizontal="right" vertical="center" wrapText="1"/>
    </xf>
    <xf numFmtId="164" fontId="10" fillId="0" borderId="126" xfId="28" applyNumberFormat="1" applyFont="1" applyFill="1" applyBorder="1" applyAlignment="1">
      <alignment wrapText="1"/>
    </xf>
    <xf numFmtId="4" fontId="10" fillId="0" borderId="126" xfId="0" applyNumberFormat="1" applyFont="1" applyFill="1" applyBorder="1" applyAlignment="1">
      <alignment vertical="center"/>
    </xf>
    <xf numFmtId="4" fontId="14" fillId="0" borderId="127" xfId="0" applyNumberFormat="1" applyFont="1" applyFill="1" applyBorder="1" applyAlignment="1">
      <alignment horizontal="center" vertical="center"/>
    </xf>
    <xf numFmtId="3" fontId="10" fillId="0" borderId="0" xfId="17" applyNumberFormat="1" applyFont="1" applyFill="1" applyBorder="1" applyAlignment="1">
      <alignment horizontal="left" wrapText="1" indent="3"/>
    </xf>
    <xf numFmtId="3" fontId="10" fillId="0" borderId="0" xfId="17" applyNumberFormat="1" applyFont="1" applyFill="1" applyBorder="1" applyAlignment="1">
      <alignment vertical="center"/>
    </xf>
    <xf numFmtId="0" fontId="10" fillId="0" borderId="17" xfId="31" applyFont="1" applyFill="1" applyBorder="1" applyAlignment="1">
      <alignment horizontal="left" vertical="top" wrapText="1"/>
    </xf>
    <xf numFmtId="3" fontId="10" fillId="0" borderId="128" xfId="30" applyNumberFormat="1" applyFont="1" applyFill="1" applyBorder="1" applyAlignment="1">
      <alignment vertical="center"/>
    </xf>
    <xf numFmtId="3" fontId="10" fillId="0" borderId="115" xfId="30" applyNumberFormat="1" applyFont="1" applyFill="1" applyBorder="1" applyAlignment="1">
      <alignment vertical="center"/>
    </xf>
    <xf numFmtId="3" fontId="10" fillId="0" borderId="115" xfId="31" applyNumberFormat="1" applyFont="1" applyFill="1" applyBorder="1" applyAlignment="1">
      <alignment vertical="center"/>
    </xf>
    <xf numFmtId="3" fontId="10" fillId="0" borderId="115" xfId="31" applyNumberFormat="1" applyFont="1" applyFill="1" applyBorder="1" applyAlignment="1">
      <alignment horizontal="right" vertical="center" wrapText="1"/>
    </xf>
    <xf numFmtId="3" fontId="10" fillId="0" borderId="129" xfId="31" applyNumberFormat="1" applyFont="1" applyFill="1" applyBorder="1" applyAlignment="1">
      <alignment horizontal="right" vertical="center" wrapText="1"/>
    </xf>
    <xf numFmtId="3" fontId="12" fillId="0" borderId="130" xfId="31" applyNumberFormat="1" applyFont="1" applyFill="1" applyBorder="1" applyAlignment="1">
      <alignment horizontal="right" vertical="center" wrapText="1"/>
    </xf>
    <xf numFmtId="3" fontId="12" fillId="0" borderId="131" xfId="31" applyNumberFormat="1" applyFont="1" applyFill="1" applyBorder="1" applyAlignment="1">
      <alignment horizontal="right" vertical="center" wrapText="1"/>
    </xf>
    <xf numFmtId="3" fontId="10" fillId="0" borderId="44" xfId="30" applyNumberFormat="1" applyFont="1" applyFill="1" applyBorder="1" applyAlignment="1">
      <alignment vertical="center"/>
    </xf>
    <xf numFmtId="3" fontId="10" fillId="0" borderId="18" xfId="30" applyNumberFormat="1" applyFont="1" applyFill="1" applyBorder="1" applyAlignment="1">
      <alignment vertical="center"/>
    </xf>
    <xf numFmtId="3" fontId="10" fillId="0" borderId="18" xfId="31" applyNumberFormat="1" applyFont="1" applyFill="1" applyBorder="1" applyAlignment="1">
      <alignment vertical="center"/>
    </xf>
    <xf numFmtId="3" fontId="10" fillId="0" borderId="18" xfId="31" applyNumberFormat="1" applyFont="1" applyFill="1" applyBorder="1" applyAlignment="1">
      <alignment horizontal="right" vertical="center" wrapText="1"/>
    </xf>
    <xf numFmtId="3" fontId="20" fillId="0" borderId="27" xfId="18" applyNumberFormat="1" applyFont="1" applyFill="1" applyBorder="1" applyAlignment="1">
      <alignment horizontal="center"/>
    </xf>
    <xf numFmtId="3" fontId="13" fillId="0" borderId="0" xfId="18" applyNumberFormat="1" applyFont="1" applyFill="1" applyAlignment="1">
      <alignment horizontal="center"/>
    </xf>
    <xf numFmtId="3" fontId="18" fillId="0" borderId="108" xfId="18" applyNumberFormat="1" applyFont="1" applyFill="1" applyBorder="1" applyAlignment="1">
      <alignment horizontal="center" vertical="center"/>
    </xf>
    <xf numFmtId="3" fontId="18" fillId="0" borderId="132" xfId="18" applyNumberFormat="1" applyFont="1" applyFill="1" applyBorder="1" applyAlignment="1">
      <alignment horizontal="center"/>
    </xf>
    <xf numFmtId="0" fontId="14" fillId="0" borderId="0" xfId="18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3" fillId="0" borderId="0" xfId="23" applyFont="1" applyFill="1" applyBorder="1" applyAlignment="1">
      <alignment horizontal="right" vertical="center" wrapText="1"/>
    </xf>
    <xf numFmtId="0" fontId="10" fillId="0" borderId="6" xfId="23" applyFont="1" applyFill="1" applyBorder="1" applyAlignment="1">
      <alignment horizontal="center"/>
    </xf>
    <xf numFmtId="2" fontId="12" fillId="0" borderId="12" xfId="23" applyNumberFormat="1" applyFont="1" applyFill="1" applyBorder="1" applyAlignment="1">
      <alignment horizontal="center" vertical="center" wrapText="1"/>
    </xf>
    <xf numFmtId="0" fontId="10" fillId="0" borderId="134" xfId="24" applyFont="1" applyFill="1" applyBorder="1" applyAlignment="1">
      <alignment horizontal="center" vertical="center" wrapText="1"/>
    </xf>
    <xf numFmtId="3" fontId="10" fillId="0" borderId="25" xfId="26" applyNumberFormat="1" applyFont="1" applyFill="1" applyBorder="1" applyAlignment="1">
      <alignment horizontal="right" vertical="center"/>
    </xf>
    <xf numFmtId="3" fontId="12" fillId="0" borderId="136" xfId="27" applyNumberFormat="1" applyFont="1" applyFill="1" applyBorder="1" applyAlignment="1">
      <alignment vertical="center"/>
    </xf>
    <xf numFmtId="3" fontId="18" fillId="0" borderId="51" xfId="18" applyNumberFormat="1" applyFont="1" applyFill="1" applyBorder="1" applyAlignment="1">
      <alignment horizontal="right"/>
    </xf>
    <xf numFmtId="3" fontId="18" fillId="0" borderId="109" xfId="18" applyNumberFormat="1" applyFont="1" applyFill="1" applyBorder="1" applyAlignment="1">
      <alignment horizontal="right"/>
    </xf>
    <xf numFmtId="3" fontId="18" fillId="0" borderId="138" xfId="18" applyNumberFormat="1" applyFont="1" applyFill="1" applyBorder="1" applyAlignment="1">
      <alignment horizontal="right"/>
    </xf>
    <xf numFmtId="0" fontId="12" fillId="0" borderId="0" xfId="31" applyFont="1" applyFill="1" applyBorder="1" applyAlignment="1">
      <alignment vertical="center" wrapText="1"/>
    </xf>
    <xf numFmtId="3" fontId="10" fillId="0" borderId="36" xfId="22" applyNumberFormat="1" applyFont="1" applyFill="1" applyBorder="1" applyAlignment="1">
      <alignment horizontal="left" vertical="center" wrapText="1"/>
    </xf>
    <xf numFmtId="3" fontId="21" fillId="0" borderId="80" xfId="28" applyNumberFormat="1" applyFont="1" applyFill="1" applyBorder="1" applyAlignment="1">
      <alignment horizontal="left"/>
    </xf>
    <xf numFmtId="3" fontId="18" fillId="0" borderId="115" xfId="28" applyNumberFormat="1" applyFont="1" applyFill="1" applyBorder="1" applyAlignment="1"/>
    <xf numFmtId="3" fontId="21" fillId="0" borderId="115" xfId="28" applyNumberFormat="1" applyFont="1" applyFill="1" applyBorder="1" applyAlignment="1">
      <alignment horizontal="left"/>
    </xf>
    <xf numFmtId="3" fontId="21" fillId="0" borderId="115" xfId="28" applyNumberFormat="1" applyFont="1" applyFill="1" applyBorder="1" applyAlignment="1"/>
    <xf numFmtId="3" fontId="21" fillId="0" borderId="80" xfId="28" applyNumberFormat="1" applyFont="1" applyFill="1" applyBorder="1" applyAlignment="1"/>
    <xf numFmtId="3" fontId="21" fillId="0" borderId="80" xfId="28" applyNumberFormat="1" applyFont="1" applyFill="1" applyBorder="1" applyAlignment="1">
      <alignment wrapText="1"/>
    </xf>
    <xf numFmtId="3" fontId="21" fillId="0" borderId="115" xfId="28" applyNumberFormat="1" applyFont="1" applyFill="1" applyBorder="1" applyAlignment="1">
      <alignment wrapText="1"/>
    </xf>
    <xf numFmtId="3" fontId="21" fillId="0" borderId="122" xfId="28" applyNumberFormat="1" applyFont="1" applyFill="1" applyBorder="1" applyAlignment="1">
      <alignment horizontal="left"/>
    </xf>
    <xf numFmtId="3" fontId="18" fillId="0" borderId="36" xfId="28" applyNumberFormat="1" applyFont="1" applyFill="1" applyBorder="1" applyAlignment="1">
      <alignment horizontal="left"/>
    </xf>
    <xf numFmtId="3" fontId="18" fillId="0" borderId="124" xfId="0" applyNumberFormat="1" applyFont="1" applyFill="1" applyBorder="1" applyAlignment="1">
      <alignment horizontal="center" vertical="center"/>
    </xf>
    <xf numFmtId="3" fontId="24" fillId="0" borderId="124" xfId="0" applyNumberFormat="1" applyFont="1" applyFill="1" applyBorder="1" applyAlignment="1">
      <alignment horizontal="center" vertical="center"/>
    </xf>
    <xf numFmtId="3" fontId="18" fillId="0" borderId="124" xfId="0" applyNumberFormat="1" applyFont="1" applyFill="1" applyBorder="1" applyAlignment="1">
      <alignment horizontal="center" vertical="top"/>
    </xf>
    <xf numFmtId="3" fontId="18" fillId="0" borderId="75" xfId="0" applyNumberFormat="1" applyFont="1" applyFill="1" applyBorder="1" applyAlignment="1">
      <alignment horizontal="center" vertical="center"/>
    </xf>
    <xf numFmtId="3" fontId="18" fillId="0" borderId="63" xfId="0" applyNumberFormat="1" applyFont="1" applyFill="1" applyBorder="1" applyAlignment="1">
      <alignment horizontal="center" vertical="center"/>
    </xf>
    <xf numFmtId="3" fontId="18" fillId="0" borderId="4" xfId="0" applyNumberFormat="1" applyFont="1" applyFill="1" applyBorder="1" applyAlignment="1">
      <alignment horizontal="center" vertical="center"/>
    </xf>
    <xf numFmtId="3" fontId="18" fillId="0" borderId="174" xfId="0" applyNumberFormat="1" applyFont="1" applyFill="1" applyBorder="1" applyAlignment="1">
      <alignment vertical="center" wrapText="1"/>
    </xf>
    <xf numFmtId="3" fontId="18" fillId="0" borderId="115" xfId="0" applyNumberFormat="1" applyFont="1" applyFill="1" applyBorder="1" applyAlignment="1">
      <alignment horizontal="center"/>
    </xf>
    <xf numFmtId="3" fontId="18" fillId="0" borderId="115" xfId="0" applyNumberFormat="1" applyFont="1" applyFill="1" applyBorder="1" applyAlignment="1">
      <alignment horizontal="center" vertical="top"/>
    </xf>
    <xf numFmtId="3" fontId="18" fillId="0" borderId="80" xfId="0" applyNumberFormat="1" applyFont="1" applyFill="1" applyBorder="1" applyAlignment="1">
      <alignment horizontal="center"/>
    </xf>
    <xf numFmtId="3" fontId="21" fillId="0" borderId="78" xfId="0" applyNumberFormat="1" applyFont="1" applyFill="1" applyBorder="1" applyAlignment="1"/>
    <xf numFmtId="3" fontId="18" fillId="0" borderId="115" xfId="28" applyNumberFormat="1" applyFont="1" applyFill="1" applyBorder="1" applyAlignment="1">
      <alignment wrapText="1"/>
    </xf>
    <xf numFmtId="3" fontId="18" fillId="0" borderId="23" xfId="28" applyNumberFormat="1" applyFont="1" applyFill="1" applyBorder="1" applyAlignment="1"/>
    <xf numFmtId="3" fontId="18" fillId="0" borderId="17" xfId="28" applyNumberFormat="1" applyFont="1" applyFill="1" applyBorder="1" applyAlignment="1">
      <alignment vertical="top" wrapText="1"/>
    </xf>
    <xf numFmtId="3" fontId="24" fillId="0" borderId="29" xfId="0" applyNumberFormat="1" applyFont="1" applyFill="1" applyBorder="1" applyAlignment="1">
      <alignment vertical="center"/>
    </xf>
    <xf numFmtId="3" fontId="10" fillId="0" borderId="0" xfId="0" applyNumberFormat="1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3" fontId="18" fillId="0" borderId="51" xfId="0" applyNumberFormat="1" applyFont="1" applyFill="1" applyBorder="1" applyAlignment="1">
      <alignment vertical="center"/>
    </xf>
    <xf numFmtId="3" fontId="21" fillId="0" borderId="55" xfId="0" applyNumberFormat="1" applyFont="1" applyFill="1" applyBorder="1" applyAlignment="1">
      <alignment vertical="center"/>
    </xf>
    <xf numFmtId="3" fontId="18" fillId="0" borderId="0" xfId="31" applyNumberFormat="1" applyFont="1" applyFill="1" applyBorder="1" applyAlignment="1">
      <alignment horizontal="right"/>
    </xf>
    <xf numFmtId="0" fontId="18" fillId="0" borderId="0" xfId="31" applyFont="1" applyFill="1" applyBorder="1"/>
    <xf numFmtId="0" fontId="18" fillId="0" borderId="0" xfId="31" applyFont="1" applyFill="1" applyBorder="1" applyAlignment="1">
      <alignment horizontal="center" vertical="center"/>
    </xf>
    <xf numFmtId="0" fontId="18" fillId="0" borderId="0" xfId="31" applyFont="1" applyFill="1" applyBorder="1" applyAlignment="1">
      <alignment horizontal="center" vertical="top"/>
    </xf>
    <xf numFmtId="0" fontId="18" fillId="0" borderId="0" xfId="31" applyFont="1" applyFill="1" applyBorder="1" applyAlignment="1">
      <alignment wrapText="1"/>
    </xf>
    <xf numFmtId="3" fontId="18" fillId="0" borderId="0" xfId="31" applyNumberFormat="1" applyFont="1" applyFill="1" applyBorder="1" applyAlignment="1">
      <alignment horizontal="center" vertical="center" wrapText="1"/>
    </xf>
    <xf numFmtId="3" fontId="20" fillId="0" borderId="0" xfId="31" applyNumberFormat="1" applyFont="1" applyFill="1" applyBorder="1" applyAlignment="1">
      <alignment horizontal="right"/>
    </xf>
    <xf numFmtId="3" fontId="18" fillId="0" borderId="24" xfId="31" applyNumberFormat="1" applyFont="1" applyFill="1" applyBorder="1" applyAlignment="1">
      <alignment horizontal="right" vertical="center"/>
    </xf>
    <xf numFmtId="3" fontId="18" fillId="0" borderId="0" xfId="32" applyNumberFormat="1" applyFont="1" applyFill="1" applyBorder="1" applyAlignment="1">
      <alignment horizontal="right"/>
    </xf>
    <xf numFmtId="3" fontId="18" fillId="0" borderId="0" xfId="32" applyNumberFormat="1" applyFont="1" applyFill="1" applyBorder="1" applyAlignment="1">
      <alignment horizontal="right" wrapText="1"/>
    </xf>
    <xf numFmtId="3" fontId="18" fillId="0" borderId="0" xfId="31" applyNumberFormat="1" applyFont="1" applyFill="1" applyBorder="1" applyAlignment="1">
      <alignment horizontal="right" vertical="center"/>
    </xf>
    <xf numFmtId="0" fontId="14" fillId="0" borderId="0" xfId="31" applyFont="1" applyFill="1" applyBorder="1" applyAlignment="1">
      <alignment horizontal="center" vertical="center"/>
    </xf>
    <xf numFmtId="3" fontId="14" fillId="0" borderId="0" xfId="31" applyNumberFormat="1" applyFont="1" applyFill="1" applyBorder="1" applyAlignment="1">
      <alignment horizontal="center" vertical="center"/>
    </xf>
    <xf numFmtId="0" fontId="18" fillId="0" borderId="0" xfId="31" applyFont="1" applyFill="1" applyBorder="1" applyAlignment="1">
      <alignment vertical="center"/>
    </xf>
    <xf numFmtId="3" fontId="24" fillId="0" borderId="15" xfId="0" applyNumberFormat="1" applyFont="1" applyFill="1" applyBorder="1" applyAlignment="1">
      <alignment vertical="center"/>
    </xf>
    <xf numFmtId="3" fontId="24" fillId="0" borderId="121" xfId="0" applyNumberFormat="1" applyFont="1" applyFill="1" applyBorder="1" applyAlignment="1">
      <alignment vertical="center"/>
    </xf>
    <xf numFmtId="3" fontId="24" fillId="0" borderId="114" xfId="0" applyNumberFormat="1" applyFont="1" applyFill="1" applyBorder="1" applyAlignment="1">
      <alignment vertical="center"/>
    </xf>
    <xf numFmtId="3" fontId="24" fillId="0" borderId="120" xfId="0" applyNumberFormat="1" applyFont="1" applyFill="1" applyBorder="1" applyAlignment="1">
      <alignment vertical="center"/>
    </xf>
    <xf numFmtId="3" fontId="24" fillId="0" borderId="15" xfId="0" applyNumberFormat="1" applyFont="1" applyFill="1" applyBorder="1" applyAlignment="1">
      <alignment horizontal="center" vertical="center"/>
    </xf>
    <xf numFmtId="3" fontId="24" fillId="0" borderId="15" xfId="0" applyNumberFormat="1" applyFont="1" applyFill="1" applyBorder="1" applyAlignment="1">
      <alignment horizontal="right" vertical="center"/>
    </xf>
    <xf numFmtId="3" fontId="24" fillId="0" borderId="121" xfId="0" applyNumberFormat="1" applyFont="1" applyFill="1" applyBorder="1" applyAlignment="1">
      <alignment horizontal="right" vertical="center"/>
    </xf>
    <xf numFmtId="3" fontId="24" fillId="0" borderId="15" xfId="28" applyNumberFormat="1" applyFont="1" applyFill="1" applyBorder="1" applyAlignment="1">
      <alignment horizontal="center" vertical="center"/>
    </xf>
    <xf numFmtId="3" fontId="24" fillId="0" borderId="117" xfId="0" applyNumberFormat="1" applyFont="1" applyFill="1" applyBorder="1" applyAlignment="1">
      <alignment horizontal="right" vertical="center"/>
    </xf>
    <xf numFmtId="3" fontId="18" fillId="0" borderId="122" xfId="22" applyNumberFormat="1" applyFont="1" applyBorder="1" applyAlignment="1">
      <alignment horizontal="left" vertical="center" wrapText="1"/>
    </xf>
    <xf numFmtId="3" fontId="18" fillId="0" borderId="24" xfId="21" applyNumberFormat="1" applyFont="1" applyFill="1" applyBorder="1" applyAlignment="1">
      <alignment horizontal="right" vertical="center"/>
    </xf>
    <xf numFmtId="3" fontId="18" fillId="0" borderId="82" xfId="31" applyNumberFormat="1" applyFont="1" applyFill="1" applyBorder="1" applyAlignment="1">
      <alignment horizontal="right" vertical="center"/>
    </xf>
    <xf numFmtId="0" fontId="18" fillId="0" borderId="16" xfId="31" applyFont="1" applyFill="1" applyBorder="1" applyAlignment="1">
      <alignment horizontal="center" vertical="center"/>
    </xf>
    <xf numFmtId="0" fontId="18" fillId="0" borderId="17" xfId="31" applyFont="1" applyFill="1" applyBorder="1" applyAlignment="1">
      <alignment horizontal="center"/>
    </xf>
    <xf numFmtId="3" fontId="18" fillId="0" borderId="17" xfId="31" applyNumberFormat="1" applyFont="1" applyFill="1" applyBorder="1" applyAlignment="1">
      <alignment horizontal="right" vertical="center"/>
    </xf>
    <xf numFmtId="3" fontId="18" fillId="0" borderId="17" xfId="21" applyNumberFormat="1" applyFont="1" applyFill="1" applyBorder="1" applyAlignment="1">
      <alignment horizontal="right" vertical="center"/>
    </xf>
    <xf numFmtId="3" fontId="18" fillId="0" borderId="83" xfId="31" applyNumberFormat="1" applyFont="1" applyFill="1" applyBorder="1" applyAlignment="1">
      <alignment horizontal="right" vertical="center"/>
    </xf>
    <xf numFmtId="0" fontId="18" fillId="0" borderId="17" xfId="31" applyFont="1" applyFill="1" applyBorder="1" applyAlignment="1">
      <alignment horizontal="center" vertical="top"/>
    </xf>
    <xf numFmtId="0" fontId="18" fillId="2" borderId="0" xfId="31" applyFont="1" applyFill="1" applyBorder="1" applyAlignment="1">
      <alignment vertical="center"/>
    </xf>
    <xf numFmtId="3" fontId="18" fillId="0" borderId="0" xfId="31" applyNumberFormat="1" applyFont="1" applyFill="1" applyBorder="1" applyAlignment="1">
      <alignment vertical="center"/>
    </xf>
    <xf numFmtId="0" fontId="14" fillId="0" borderId="0" xfId="32" applyFont="1" applyFill="1" applyBorder="1" applyAlignment="1">
      <alignment horizontal="center" vertical="center" wrapText="1"/>
    </xf>
    <xf numFmtId="3" fontId="14" fillId="0" borderId="0" xfId="32" applyNumberFormat="1" applyFont="1" applyFill="1" applyBorder="1" applyAlignment="1">
      <alignment horizontal="center" vertical="center"/>
    </xf>
    <xf numFmtId="3" fontId="18" fillId="0" borderId="7" xfId="31" applyNumberFormat="1" applyFont="1" applyFill="1" applyBorder="1" applyAlignment="1">
      <alignment horizontal="center" vertical="center" wrapText="1"/>
    </xf>
    <xf numFmtId="3" fontId="18" fillId="0" borderId="43" xfId="21" applyNumberFormat="1" applyFont="1" applyFill="1" applyBorder="1" applyAlignment="1">
      <alignment horizontal="right" vertical="center" wrapText="1"/>
    </xf>
    <xf numFmtId="3" fontId="18" fillId="0" borderId="179" xfId="21" applyNumberFormat="1" applyFont="1" applyFill="1" applyBorder="1" applyAlignment="1">
      <alignment horizontal="right" vertical="center" wrapText="1"/>
    </xf>
    <xf numFmtId="3" fontId="18" fillId="0" borderId="17" xfId="21" applyNumberFormat="1" applyFont="1" applyFill="1" applyBorder="1" applyAlignment="1">
      <alignment horizontal="right" vertical="center" wrapText="1"/>
    </xf>
    <xf numFmtId="3" fontId="18" fillId="0" borderId="187" xfId="21" applyNumberFormat="1" applyFont="1" applyFill="1" applyBorder="1" applyAlignment="1">
      <alignment horizontal="right" vertical="center" wrapText="1"/>
    </xf>
    <xf numFmtId="3" fontId="18" fillId="0" borderId="187" xfId="31" applyNumberFormat="1" applyFont="1" applyFill="1" applyBorder="1" applyAlignment="1">
      <alignment horizontal="right" vertical="center"/>
    </xf>
    <xf numFmtId="0" fontId="18" fillId="0" borderId="0" xfId="31" applyFont="1" applyFill="1" applyBorder="1" applyAlignment="1">
      <alignment horizontal="center"/>
    </xf>
    <xf numFmtId="3" fontId="10" fillId="0" borderId="0" xfId="12" applyNumberFormat="1" applyFont="1" applyFill="1" applyBorder="1" applyAlignment="1">
      <alignment horizontal="center"/>
    </xf>
    <xf numFmtId="0" fontId="10" fillId="0" borderId="0" xfId="12" applyFont="1" applyFill="1" applyBorder="1" applyAlignment="1"/>
    <xf numFmtId="3" fontId="10" fillId="0" borderId="0" xfId="31" applyNumberFormat="1" applyFont="1" applyFill="1" applyBorder="1" applyAlignment="1">
      <alignment horizontal="center" wrapText="1"/>
    </xf>
    <xf numFmtId="3" fontId="10" fillId="0" borderId="7" xfId="31" applyNumberFormat="1" applyFont="1" applyFill="1" applyBorder="1" applyAlignment="1">
      <alignment horizontal="center" vertical="center" wrapText="1"/>
    </xf>
    <xf numFmtId="3" fontId="10" fillId="0" borderId="5" xfId="31" applyNumberFormat="1" applyFont="1" applyFill="1" applyBorder="1" applyAlignment="1">
      <alignment horizontal="center" vertical="center" wrapText="1"/>
    </xf>
    <xf numFmtId="0" fontId="12" fillId="0" borderId="27" xfId="31" applyFont="1" applyFill="1" applyBorder="1" applyAlignment="1">
      <alignment horizontal="center"/>
    </xf>
    <xf numFmtId="3" fontId="12" fillId="0" borderId="188" xfId="21" applyNumberFormat="1" applyFont="1" applyFill="1" applyBorder="1" applyAlignment="1">
      <alignment horizontal="right" wrapText="1"/>
    </xf>
    <xf numFmtId="0" fontId="12" fillId="0" borderId="0" xfId="31" applyFont="1" applyFill="1" applyBorder="1" applyAlignment="1"/>
    <xf numFmtId="3" fontId="10" fillId="0" borderId="17" xfId="21" applyNumberFormat="1" applyFont="1" applyFill="1" applyBorder="1" applyAlignment="1">
      <alignment horizontal="right" wrapText="1"/>
    </xf>
    <xf numFmtId="3" fontId="10" fillId="0" borderId="82" xfId="31" applyNumberFormat="1" applyFont="1" applyFill="1" applyBorder="1" applyAlignment="1">
      <alignment horizontal="right"/>
    </xf>
    <xf numFmtId="0" fontId="10" fillId="0" borderId="17" xfId="21" applyFont="1" applyFill="1" applyBorder="1" applyAlignment="1">
      <alignment horizontal="left"/>
    </xf>
    <xf numFmtId="3" fontId="10" fillId="0" borderId="17" xfId="21" applyNumberFormat="1" applyFont="1" applyFill="1" applyBorder="1" applyAlignment="1">
      <alignment horizontal="right"/>
    </xf>
    <xf numFmtId="3" fontId="10" fillId="0" borderId="83" xfId="31" applyNumberFormat="1" applyFont="1" applyFill="1" applyBorder="1" applyAlignment="1">
      <alignment horizontal="right"/>
    </xf>
    <xf numFmtId="3" fontId="10" fillId="0" borderId="0" xfId="12" applyNumberFormat="1" applyFont="1" applyFill="1" applyBorder="1" applyAlignment="1">
      <alignment horizontal="left"/>
    </xf>
    <xf numFmtId="3" fontId="37" fillId="0" borderId="0" xfId="12" applyNumberFormat="1" applyFont="1" applyFill="1" applyBorder="1" applyAlignment="1">
      <alignment horizontal="left"/>
    </xf>
    <xf numFmtId="0" fontId="12" fillId="0" borderId="16" xfId="31" applyFont="1" applyFill="1" applyBorder="1" applyAlignment="1">
      <alignment horizontal="center"/>
    </xf>
    <xf numFmtId="3" fontId="12" fillId="0" borderId="187" xfId="21" applyNumberFormat="1" applyFont="1" applyFill="1" applyBorder="1" applyAlignment="1">
      <alignment horizontal="right" wrapText="1"/>
    </xf>
    <xf numFmtId="0" fontId="34" fillId="0" borderId="24" xfId="31" applyFont="1" applyFill="1" applyBorder="1" applyAlignment="1">
      <alignment horizontal="left"/>
    </xf>
    <xf numFmtId="0" fontId="10" fillId="0" borderId="17" xfId="21" applyFont="1" applyFill="1" applyBorder="1" applyAlignment="1"/>
    <xf numFmtId="0" fontId="10" fillId="0" borderId="36" xfId="21" applyFont="1" applyFill="1" applyBorder="1" applyAlignment="1"/>
    <xf numFmtId="0" fontId="10" fillId="0" borderId="36" xfId="21" applyFont="1" applyFill="1" applyBorder="1" applyAlignment="1">
      <alignment horizontal="left"/>
    </xf>
    <xf numFmtId="3" fontId="12" fillId="0" borderId="187" xfId="31" applyNumberFormat="1" applyFont="1" applyFill="1" applyBorder="1" applyAlignment="1">
      <alignment horizontal="right"/>
    </xf>
    <xf numFmtId="3" fontId="18" fillId="0" borderId="0" xfId="31" applyNumberFormat="1" applyFont="1" applyFill="1" applyBorder="1" applyAlignment="1">
      <alignment horizontal="center" vertical="center"/>
    </xf>
    <xf numFmtId="3" fontId="12" fillId="0" borderId="0" xfId="31" applyNumberFormat="1" applyFont="1" applyFill="1" applyBorder="1" applyAlignment="1">
      <alignment horizontal="right"/>
    </xf>
    <xf numFmtId="3" fontId="12" fillId="0" borderId="0" xfId="32" applyNumberFormat="1" applyFont="1" applyFill="1" applyBorder="1" applyAlignment="1">
      <alignment horizontal="right"/>
    </xf>
    <xf numFmtId="3" fontId="10" fillId="0" borderId="119" xfId="21" applyNumberFormat="1" applyFont="1" applyFill="1" applyBorder="1" applyAlignment="1">
      <alignment horizontal="right" wrapText="1"/>
    </xf>
    <xf numFmtId="3" fontId="10" fillId="0" borderId="36" xfId="22" applyNumberFormat="1" applyFont="1" applyFill="1" applyBorder="1" applyAlignment="1">
      <alignment horizontal="left"/>
    </xf>
    <xf numFmtId="3" fontId="10" fillId="0" borderId="0" xfId="20" applyNumberFormat="1" applyFont="1" applyAlignment="1">
      <alignment horizontal="right" vertical="center"/>
    </xf>
    <xf numFmtId="3" fontId="18" fillId="0" borderId="115" xfId="29" applyNumberFormat="1" applyFont="1" applyFill="1" applyBorder="1" applyAlignment="1">
      <alignment horizontal="left" vertical="center" wrapText="1"/>
    </xf>
    <xf numFmtId="3" fontId="18" fillId="0" borderId="129" xfId="29" applyNumberFormat="1" applyFont="1" applyFill="1" applyBorder="1" applyAlignment="1">
      <alignment horizontal="left" vertical="center"/>
    </xf>
    <xf numFmtId="3" fontId="18" fillId="0" borderId="115" xfId="29" applyNumberFormat="1" applyFont="1" applyFill="1" applyBorder="1" applyAlignment="1">
      <alignment horizontal="left" vertical="center"/>
    </xf>
    <xf numFmtId="3" fontId="18" fillId="0" borderId="80" xfId="29" applyNumberFormat="1" applyFont="1" applyFill="1" applyBorder="1" applyAlignment="1">
      <alignment horizontal="left" vertical="center" wrapText="1"/>
    </xf>
    <xf numFmtId="3" fontId="10" fillId="0" borderId="0" xfId="20" applyNumberFormat="1" applyFont="1" applyFill="1" applyBorder="1" applyAlignment="1">
      <alignment horizontal="center" vertical="center"/>
    </xf>
    <xf numFmtId="3" fontId="10" fillId="0" borderId="0" xfId="17" applyNumberFormat="1" applyFont="1" applyFill="1" applyBorder="1" applyAlignment="1">
      <alignment wrapText="1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/>
    <xf numFmtId="0" fontId="14" fillId="0" borderId="6" xfId="0" applyFont="1" applyFill="1" applyBorder="1" applyAlignment="1">
      <alignment horizontal="center"/>
    </xf>
    <xf numFmtId="3" fontId="14" fillId="0" borderId="6" xfId="0" applyNumberFormat="1" applyFont="1" applyFill="1" applyBorder="1" applyAlignment="1">
      <alignment horizontal="center"/>
    </xf>
    <xf numFmtId="0" fontId="14" fillId="0" borderId="0" xfId="0" applyFont="1" applyFill="1"/>
    <xf numFmtId="0" fontId="18" fillId="0" borderId="0" xfId="0" applyFont="1" applyAlignment="1">
      <alignment wrapText="1"/>
    </xf>
    <xf numFmtId="3" fontId="18" fillId="0" borderId="0" xfId="0" applyNumberFormat="1" applyFont="1"/>
    <xf numFmtId="3" fontId="20" fillId="0" borderId="0" xfId="0" applyNumberFormat="1" applyFont="1" applyAlignment="1">
      <alignment horizontal="right"/>
    </xf>
    <xf numFmtId="3" fontId="18" fillId="0" borderId="0" xfId="0" applyNumberFormat="1" applyFont="1" applyAlignment="1">
      <alignment horizontal="right"/>
    </xf>
    <xf numFmtId="0" fontId="18" fillId="0" borderId="0" xfId="0" applyFont="1"/>
    <xf numFmtId="3" fontId="21" fillId="0" borderId="15" xfId="0" applyNumberFormat="1" applyFont="1" applyFill="1" applyBorder="1" applyAlignment="1">
      <alignment vertical="center"/>
    </xf>
    <xf numFmtId="3" fontId="21" fillId="0" borderId="121" xfId="0" applyNumberFormat="1" applyFont="1" applyFill="1" applyBorder="1" applyAlignment="1">
      <alignment vertical="center"/>
    </xf>
    <xf numFmtId="3" fontId="39" fillId="0" borderId="16" xfId="0" applyNumberFormat="1" applyFont="1" applyFill="1" applyBorder="1" applyAlignment="1">
      <alignment horizontal="center" vertical="center"/>
    </xf>
    <xf numFmtId="3" fontId="39" fillId="0" borderId="17" xfId="0" applyNumberFormat="1" applyFont="1" applyFill="1" applyBorder="1" applyAlignment="1">
      <alignment horizontal="center"/>
    </xf>
    <xf numFmtId="3" fontId="39" fillId="0" borderId="36" xfId="0" applyNumberFormat="1" applyFont="1" applyFill="1" applyBorder="1" applyAlignment="1">
      <alignment horizontal="center"/>
    </xf>
    <xf numFmtId="3" fontId="39" fillId="0" borderId="115" xfId="28" applyNumberFormat="1" applyFont="1" applyFill="1" applyBorder="1" applyAlignment="1"/>
    <xf numFmtId="3" fontId="39" fillId="0" borderId="17" xfId="0" applyNumberFormat="1" applyFont="1" applyFill="1" applyBorder="1" applyAlignment="1"/>
    <xf numFmtId="3" fontId="40" fillId="0" borderId="17" xfId="0" applyNumberFormat="1" applyFont="1" applyFill="1" applyBorder="1" applyAlignment="1"/>
    <xf numFmtId="3" fontId="39" fillId="0" borderId="18" xfId="0" applyNumberFormat="1" applyFont="1" applyFill="1" applyBorder="1" applyAlignment="1"/>
    <xf numFmtId="3" fontId="39" fillId="0" borderId="0" xfId="0" applyNumberFormat="1" applyFont="1" applyFill="1" applyAlignment="1">
      <alignment vertical="center"/>
    </xf>
    <xf numFmtId="0" fontId="41" fillId="0" borderId="0" xfId="0" applyFont="1" applyFill="1"/>
    <xf numFmtId="3" fontId="39" fillId="0" borderId="0" xfId="0" applyNumberFormat="1" applyFont="1" applyFill="1" applyAlignment="1">
      <alignment vertical="top"/>
    </xf>
    <xf numFmtId="3" fontId="39" fillId="0" borderId="0" xfId="0" applyNumberFormat="1" applyFont="1" applyFill="1" applyAlignment="1"/>
    <xf numFmtId="3" fontId="40" fillId="0" borderId="0" xfId="0" applyNumberFormat="1" applyFont="1" applyFill="1" applyAlignment="1">
      <alignment vertical="top"/>
    </xf>
    <xf numFmtId="3" fontId="39" fillId="0" borderId="16" xfId="0" applyNumberFormat="1" applyFont="1" applyFill="1" applyBorder="1" applyAlignment="1">
      <alignment horizontal="center" vertical="top"/>
    </xf>
    <xf numFmtId="3" fontId="39" fillId="0" borderId="45" xfId="0" applyNumberFormat="1" applyFont="1" applyFill="1" applyBorder="1" applyAlignment="1">
      <alignment horizontal="center"/>
    </xf>
    <xf numFmtId="3" fontId="39" fillId="0" borderId="171" xfId="0" applyNumberFormat="1" applyFont="1" applyFill="1" applyBorder="1" applyAlignment="1">
      <alignment horizontal="center"/>
    </xf>
    <xf numFmtId="3" fontId="39" fillId="0" borderId="129" xfId="28" applyNumberFormat="1" applyFont="1" applyFill="1" applyBorder="1" applyAlignment="1">
      <alignment horizontal="left"/>
    </xf>
    <xf numFmtId="3" fontId="39" fillId="0" borderId="45" xfId="0" applyNumberFormat="1" applyFont="1" applyFill="1" applyBorder="1" applyAlignment="1">
      <alignment vertical="top"/>
    </xf>
    <xf numFmtId="3" fontId="40" fillId="0" borderId="45" xfId="0" applyNumberFormat="1" applyFont="1" applyFill="1" applyBorder="1" applyAlignment="1">
      <alignment vertical="top"/>
    </xf>
    <xf numFmtId="3" fontId="39" fillId="0" borderId="46" xfId="0" applyNumberFormat="1" applyFont="1" applyFill="1" applyBorder="1" applyAlignment="1">
      <alignment vertical="top"/>
    </xf>
    <xf numFmtId="3" fontId="39" fillId="0" borderId="18" xfId="0" applyNumberFormat="1" applyFont="1" applyFill="1" applyBorder="1" applyAlignment="1">
      <alignment vertical="center"/>
    </xf>
    <xf numFmtId="3" fontId="39" fillId="0" borderId="18" xfId="0" applyNumberFormat="1" applyFont="1" applyFill="1" applyBorder="1" applyAlignment="1">
      <alignment vertical="top"/>
    </xf>
    <xf numFmtId="3" fontId="39" fillId="0" borderId="46" xfId="0" applyNumberFormat="1" applyFont="1" applyFill="1" applyBorder="1" applyAlignment="1">
      <alignment vertical="center"/>
    </xf>
    <xf numFmtId="3" fontId="39" fillId="0" borderId="17" xfId="0" applyNumberFormat="1" applyFont="1" applyFill="1" applyBorder="1" applyAlignment="1">
      <alignment vertical="center"/>
    </xf>
    <xf numFmtId="3" fontId="40" fillId="0" borderId="17" xfId="0" applyNumberFormat="1" applyFont="1" applyFill="1" applyBorder="1" applyAlignment="1">
      <alignment vertical="center"/>
    </xf>
    <xf numFmtId="3" fontId="39" fillId="0" borderId="115" xfId="28" applyNumberFormat="1" applyFont="1" applyFill="1" applyBorder="1" applyAlignment="1">
      <alignment horizontal="left"/>
    </xf>
    <xf numFmtId="3" fontId="39" fillId="0" borderId="17" xfId="0" applyNumberFormat="1" applyFont="1" applyFill="1" applyBorder="1" applyAlignment="1">
      <alignment vertical="top"/>
    </xf>
    <xf numFmtId="3" fontId="40" fillId="0" borderId="17" xfId="0" applyNumberFormat="1" applyFont="1" applyFill="1" applyBorder="1" applyAlignment="1">
      <alignment vertical="top"/>
    </xf>
    <xf numFmtId="3" fontId="40" fillId="0" borderId="0" xfId="0" applyNumberFormat="1" applyFont="1" applyFill="1" applyAlignment="1">
      <alignment vertical="center"/>
    </xf>
    <xf numFmtId="0" fontId="42" fillId="0" borderId="0" xfId="0" applyFont="1" applyFill="1"/>
    <xf numFmtId="3" fontId="39" fillId="0" borderId="129" xfId="28" applyNumberFormat="1" applyFont="1" applyFill="1" applyBorder="1" applyAlignment="1"/>
    <xf numFmtId="3" fontId="39" fillId="0" borderId="45" xfId="0" applyNumberFormat="1" applyFont="1" applyFill="1" applyBorder="1" applyAlignment="1">
      <alignment vertical="center"/>
    </xf>
    <xf numFmtId="3" fontId="40" fillId="0" borderId="45" xfId="0" applyNumberFormat="1" applyFont="1" applyFill="1" applyBorder="1" applyAlignment="1">
      <alignment vertical="center"/>
    </xf>
    <xf numFmtId="3" fontId="18" fillId="0" borderId="43" xfId="0" applyNumberFormat="1" applyFont="1" applyFill="1" applyBorder="1" applyAlignment="1">
      <alignment vertical="center"/>
    </xf>
    <xf numFmtId="3" fontId="20" fillId="0" borderId="43" xfId="0" applyNumberFormat="1" applyFont="1" applyFill="1" applyBorder="1" applyAlignment="1">
      <alignment vertical="center"/>
    </xf>
    <xf numFmtId="3" fontId="21" fillId="0" borderId="44" xfId="0" applyNumberFormat="1" applyFont="1" applyFill="1" applyBorder="1" applyAlignment="1">
      <alignment vertical="center"/>
    </xf>
    <xf numFmtId="3" fontId="24" fillId="0" borderId="43" xfId="0" applyNumberFormat="1" applyFont="1" applyFill="1" applyBorder="1" applyAlignment="1">
      <alignment vertical="center"/>
    </xf>
    <xf numFmtId="3" fontId="39" fillId="0" borderId="50" xfId="0" applyNumberFormat="1" applyFont="1" applyFill="1" applyBorder="1" applyAlignment="1">
      <alignment horizontal="center" vertical="center"/>
    </xf>
    <xf numFmtId="3" fontId="39" fillId="0" borderId="45" xfId="28" applyNumberFormat="1" applyFont="1" applyFill="1" applyBorder="1" applyAlignment="1"/>
    <xf numFmtId="3" fontId="39" fillId="0" borderId="45" xfId="28" applyNumberFormat="1" applyFont="1" applyFill="1" applyBorder="1" applyAlignment="1">
      <alignment horizontal="left"/>
    </xf>
    <xf numFmtId="3" fontId="18" fillId="0" borderId="23" xfId="29" applyNumberFormat="1" applyFont="1" applyFill="1" applyBorder="1" applyAlignment="1">
      <alignment vertical="center" wrapText="1"/>
    </xf>
    <xf numFmtId="3" fontId="18" fillId="0" borderId="58" xfId="29" applyNumberFormat="1" applyFont="1" applyFill="1" applyBorder="1" applyAlignment="1">
      <alignment vertical="center" wrapText="1"/>
    </xf>
    <xf numFmtId="3" fontId="18" fillId="0" borderId="26" xfId="29" applyNumberFormat="1" applyFont="1" applyFill="1" applyBorder="1" applyAlignment="1">
      <alignment vertical="center" wrapText="1"/>
    </xf>
    <xf numFmtId="3" fontId="24" fillId="0" borderId="131" xfId="0" applyNumberFormat="1" applyFont="1" applyFill="1" applyBorder="1" applyAlignment="1">
      <alignment horizontal="left" vertical="center"/>
    </xf>
    <xf numFmtId="3" fontId="18" fillId="0" borderId="77" xfId="29" applyNumberFormat="1" applyFont="1" applyFill="1" applyBorder="1" applyAlignment="1">
      <alignment vertical="center"/>
    </xf>
    <xf numFmtId="3" fontId="39" fillId="0" borderId="115" xfId="0" applyNumberFormat="1" applyFont="1" applyFill="1" applyBorder="1" applyAlignment="1">
      <alignment horizontal="center" vertical="center"/>
    </xf>
    <xf numFmtId="3" fontId="39" fillId="0" borderId="17" xfId="28" applyNumberFormat="1" applyFont="1" applyFill="1" applyBorder="1" applyAlignment="1"/>
    <xf numFmtId="3" fontId="39" fillId="0" borderId="23" xfId="0" applyNumberFormat="1" applyFont="1" applyFill="1" applyBorder="1" applyAlignment="1">
      <alignment vertical="center"/>
    </xf>
    <xf numFmtId="3" fontId="39" fillId="0" borderId="57" xfId="0" applyNumberFormat="1" applyFont="1" applyFill="1" applyBorder="1" applyAlignment="1"/>
    <xf numFmtId="3" fontId="39" fillId="0" borderId="17" xfId="0" applyNumberFormat="1" applyFont="1" applyFill="1" applyBorder="1" applyAlignment="1">
      <alignment horizontal="right"/>
    </xf>
    <xf numFmtId="3" fontId="39" fillId="0" borderId="18" xfId="0" applyNumberFormat="1" applyFont="1" applyFill="1" applyBorder="1" applyAlignment="1">
      <alignment horizontal="right"/>
    </xf>
    <xf numFmtId="3" fontId="39" fillId="0" borderId="0" xfId="0" applyNumberFormat="1" applyFont="1" applyFill="1" applyBorder="1" applyAlignment="1">
      <alignment horizontal="right" vertical="center"/>
    </xf>
    <xf numFmtId="3" fontId="39" fillId="0" borderId="0" xfId="0" applyNumberFormat="1" applyFont="1" applyFill="1" applyBorder="1" applyAlignment="1">
      <alignment vertical="center"/>
    </xf>
    <xf numFmtId="3" fontId="39" fillId="0" borderId="0" xfId="0" applyNumberFormat="1" applyFont="1" applyFill="1" applyBorder="1" applyAlignment="1">
      <alignment horizontal="right"/>
    </xf>
    <xf numFmtId="3" fontId="39" fillId="0" borderId="0" xfId="0" applyNumberFormat="1" applyFont="1" applyFill="1" applyBorder="1" applyAlignment="1"/>
    <xf numFmtId="3" fontId="39" fillId="0" borderId="129" xfId="0" applyNumberFormat="1" applyFont="1" applyFill="1" applyBorder="1" applyAlignment="1">
      <alignment horizontal="center" vertical="center"/>
    </xf>
    <xf numFmtId="3" fontId="39" fillId="0" borderId="58" xfId="0" applyNumberFormat="1" applyFont="1" applyFill="1" applyBorder="1" applyAlignment="1">
      <alignment vertical="center"/>
    </xf>
    <xf numFmtId="3" fontId="39" fillId="0" borderId="21" xfId="0" applyNumberFormat="1" applyFont="1" applyFill="1" applyBorder="1" applyAlignment="1"/>
    <xf numFmtId="3" fontId="39" fillId="0" borderId="45" xfId="0" applyNumberFormat="1" applyFont="1" applyFill="1" applyBorder="1" applyAlignment="1">
      <alignment horizontal="right"/>
    </xf>
    <xf numFmtId="3" fontId="39" fillId="0" borderId="46" xfId="0" applyNumberFormat="1" applyFont="1" applyFill="1" applyBorder="1" applyAlignment="1">
      <alignment horizontal="right"/>
    </xf>
    <xf numFmtId="3" fontId="39" fillId="0" borderId="17" xfId="28" applyNumberFormat="1" applyFont="1" applyFill="1" applyBorder="1" applyAlignment="1">
      <alignment horizontal="left"/>
    </xf>
    <xf numFmtId="3" fontId="39" fillId="0" borderId="17" xfId="28" applyNumberFormat="1" applyFont="1" applyFill="1" applyBorder="1" applyAlignment="1">
      <alignment horizontal="center" vertical="center"/>
    </xf>
    <xf numFmtId="3" fontId="39" fillId="0" borderId="0" xfId="0" applyNumberFormat="1" applyFont="1" applyFill="1" applyAlignment="1">
      <alignment horizontal="right"/>
    </xf>
    <xf numFmtId="3" fontId="40" fillId="0" borderId="0" xfId="0" applyNumberFormat="1" applyFont="1" applyFill="1" applyBorder="1" applyAlignment="1">
      <alignment horizontal="right" vertical="center"/>
    </xf>
    <xf numFmtId="3" fontId="40" fillId="0" borderId="0" xfId="0" applyNumberFormat="1" applyFont="1" applyFill="1" applyBorder="1" applyAlignment="1">
      <alignment vertical="center"/>
    </xf>
    <xf numFmtId="3" fontId="21" fillId="0" borderId="60" xfId="0" applyNumberFormat="1" applyFont="1" applyFill="1" applyBorder="1" applyAlignment="1">
      <alignment vertical="center"/>
    </xf>
    <xf numFmtId="3" fontId="21" fillId="0" borderId="15" xfId="28" applyNumberFormat="1" applyFont="1" applyFill="1" applyBorder="1" applyAlignment="1">
      <alignment horizontal="center" vertical="center"/>
    </xf>
    <xf numFmtId="3" fontId="18" fillId="0" borderId="43" xfId="28" applyNumberFormat="1" applyFont="1" applyFill="1" applyBorder="1" applyAlignment="1">
      <alignment horizontal="center" vertical="center"/>
    </xf>
    <xf numFmtId="3" fontId="24" fillId="0" borderId="60" xfId="0" applyNumberFormat="1" applyFont="1" applyFill="1" applyBorder="1" applyAlignment="1">
      <alignment vertical="center"/>
    </xf>
    <xf numFmtId="3" fontId="24" fillId="0" borderId="44" xfId="0" applyNumberFormat="1" applyFont="1" applyFill="1" applyBorder="1" applyAlignment="1">
      <alignment vertical="center"/>
    </xf>
    <xf numFmtId="3" fontId="39" fillId="0" borderId="17" xfId="0" applyNumberFormat="1" applyFont="1" applyFill="1" applyBorder="1" applyAlignment="1">
      <alignment horizontal="right" vertical="center"/>
    </xf>
    <xf numFmtId="3" fontId="39" fillId="0" borderId="18" xfId="0" applyNumberFormat="1" applyFont="1" applyFill="1" applyBorder="1" applyAlignment="1">
      <alignment horizontal="right" vertical="center"/>
    </xf>
    <xf numFmtId="3" fontId="39" fillId="0" borderId="23" xfId="28" applyNumberFormat="1" applyFont="1" applyFill="1" applyBorder="1" applyAlignment="1"/>
    <xf numFmtId="3" fontId="39" fillId="0" borderId="17" xfId="28" applyNumberFormat="1" applyFont="1" applyFill="1" applyBorder="1" applyAlignment="1">
      <alignment horizontal="center"/>
    </xf>
    <xf numFmtId="3" fontId="39" fillId="0" borderId="0" xfId="0" applyNumberFormat="1" applyFont="1" applyFill="1" applyAlignment="1">
      <alignment horizontal="right" vertical="center"/>
    </xf>
    <xf numFmtId="3" fontId="40" fillId="0" borderId="16" xfId="0" applyNumberFormat="1" applyFont="1" applyFill="1" applyBorder="1" applyAlignment="1">
      <alignment horizontal="left" vertical="center" wrapText="1"/>
    </xf>
    <xf numFmtId="3" fontId="40" fillId="0" borderId="115" xfId="0" applyNumberFormat="1" applyFont="1" applyFill="1" applyBorder="1" applyAlignment="1">
      <alignment horizontal="left" vertical="center" wrapText="1"/>
    </xf>
    <xf numFmtId="3" fontId="40" fillId="0" borderId="17" xfId="0" applyNumberFormat="1" applyFont="1" applyFill="1" applyBorder="1" applyAlignment="1">
      <alignment horizontal="left" vertical="center" wrapText="1"/>
    </xf>
    <xf numFmtId="3" fontId="40" fillId="0" borderId="17" xfId="0" applyNumberFormat="1" applyFont="1" applyFill="1" applyBorder="1" applyAlignment="1">
      <alignment horizontal="right" vertical="center"/>
    </xf>
    <xf numFmtId="3" fontId="39" fillId="0" borderId="57" xfId="0" applyNumberFormat="1" applyFont="1" applyFill="1" applyBorder="1" applyAlignment="1">
      <alignment horizontal="right" vertical="center"/>
    </xf>
    <xf numFmtId="3" fontId="39" fillId="0" borderId="0" xfId="0" applyNumberFormat="1" applyFont="1" applyFill="1"/>
    <xf numFmtId="3" fontId="14" fillId="0" borderId="0" xfId="0" applyNumberFormat="1" applyFont="1" applyFill="1" applyAlignment="1">
      <alignment horizontal="center"/>
    </xf>
    <xf numFmtId="3" fontId="18" fillId="0" borderId="39" xfId="0" applyNumberFormat="1" applyFont="1" applyFill="1" applyBorder="1" applyAlignment="1"/>
    <xf numFmtId="3" fontId="20" fillId="0" borderId="0" xfId="0" applyNumberFormat="1" applyFont="1" applyFill="1" applyAlignment="1"/>
    <xf numFmtId="3" fontId="14" fillId="0" borderId="0" xfId="0" applyNumberFormat="1" applyFont="1" applyFill="1" applyBorder="1" applyAlignment="1"/>
    <xf numFmtId="3" fontId="14" fillId="0" borderId="39" xfId="0" applyNumberFormat="1" applyFont="1" applyFill="1" applyBorder="1" applyAlignment="1"/>
    <xf numFmtId="3" fontId="18" fillId="0" borderId="23" xfId="28" applyNumberFormat="1" applyFont="1" applyFill="1" applyBorder="1" applyAlignment="1">
      <alignment wrapText="1"/>
    </xf>
    <xf numFmtId="3" fontId="14" fillId="0" borderId="0" xfId="17" applyNumberFormat="1" applyFont="1" applyFill="1" applyAlignment="1">
      <alignment horizontal="center" vertical="center"/>
    </xf>
    <xf numFmtId="3" fontId="14" fillId="0" borderId="0" xfId="17" applyNumberFormat="1" applyFont="1" applyFill="1" applyAlignment="1">
      <alignment horizontal="center"/>
    </xf>
    <xf numFmtId="3" fontId="19" fillId="0" borderId="0" xfId="17" applyNumberFormat="1" applyFont="1" applyFill="1" applyAlignment="1">
      <alignment horizontal="center" vertical="center"/>
    </xf>
    <xf numFmtId="3" fontId="18" fillId="0" borderId="0" xfId="18" applyNumberFormat="1" applyFont="1" applyFill="1" applyAlignment="1">
      <alignment horizontal="right"/>
    </xf>
    <xf numFmtId="3" fontId="10" fillId="0" borderId="0" xfId="31" applyNumberFormat="1" applyFont="1" applyFill="1" applyBorder="1" applyAlignment="1">
      <alignment horizontal="right"/>
    </xf>
    <xf numFmtId="0" fontId="10" fillId="0" borderId="0" xfId="31" applyFont="1" applyFill="1" applyBorder="1" applyAlignment="1">
      <alignment horizontal="center"/>
    </xf>
    <xf numFmtId="0" fontId="10" fillId="0" borderId="0" xfId="31" applyFont="1" applyFill="1" applyBorder="1" applyProtection="1">
      <protection locked="0"/>
    </xf>
    <xf numFmtId="0" fontId="10" fillId="0" borderId="0" xfId="31" applyFont="1" applyFill="1" applyBorder="1" applyAlignment="1" applyProtection="1">
      <alignment horizontal="center" vertical="center"/>
      <protection locked="0"/>
    </xf>
    <xf numFmtId="0" fontId="18" fillId="0" borderId="0" xfId="31" applyFont="1" applyFill="1" applyBorder="1" applyAlignment="1" applyProtection="1">
      <alignment horizontal="center" vertical="center"/>
      <protection locked="0"/>
    </xf>
    <xf numFmtId="0" fontId="18" fillId="0" borderId="0" xfId="31" applyFont="1" applyFill="1" applyBorder="1" applyAlignment="1" applyProtection="1">
      <alignment horizontal="center" vertical="top"/>
      <protection locked="0"/>
    </xf>
    <xf numFmtId="0" fontId="18" fillId="0" borderId="0" xfId="31" applyFont="1" applyFill="1" applyBorder="1" applyAlignment="1" applyProtection="1">
      <alignment wrapText="1"/>
      <protection locked="0"/>
    </xf>
    <xf numFmtId="3" fontId="18" fillId="0" borderId="0" xfId="31" applyNumberFormat="1" applyFont="1" applyFill="1" applyBorder="1" applyAlignment="1" applyProtection="1">
      <alignment horizontal="center" vertical="center" wrapText="1"/>
      <protection locked="0"/>
    </xf>
    <xf numFmtId="3" fontId="18" fillId="0" borderId="0" xfId="31" applyNumberFormat="1" applyFont="1" applyFill="1" applyBorder="1" applyAlignment="1" applyProtection="1">
      <alignment horizontal="right"/>
      <protection locked="0"/>
    </xf>
    <xf numFmtId="0" fontId="18" fillId="0" borderId="0" xfId="31" applyFont="1" applyFill="1" applyBorder="1" applyProtection="1">
      <protection locked="0"/>
    </xf>
    <xf numFmtId="0" fontId="14" fillId="0" borderId="0" xfId="31" applyFont="1" applyFill="1" applyBorder="1" applyAlignment="1" applyProtection="1">
      <alignment horizontal="center"/>
      <protection locked="0"/>
    </xf>
    <xf numFmtId="0" fontId="14" fillId="0" borderId="0" xfId="32" applyFont="1" applyFill="1" applyBorder="1" applyAlignment="1" applyProtection="1">
      <alignment horizontal="center" wrapText="1"/>
      <protection locked="0"/>
    </xf>
    <xf numFmtId="3" fontId="14" fillId="0" borderId="0" xfId="32" applyNumberFormat="1" applyFont="1" applyFill="1" applyBorder="1" applyAlignment="1" applyProtection="1">
      <alignment horizontal="center"/>
      <protection locked="0"/>
    </xf>
    <xf numFmtId="0" fontId="14" fillId="0" borderId="0" xfId="0" applyFont="1" applyFill="1" applyAlignment="1" applyProtection="1">
      <protection locked="0"/>
    </xf>
    <xf numFmtId="0" fontId="14" fillId="0" borderId="0" xfId="31" applyFont="1" applyFill="1" applyBorder="1" applyAlignment="1" applyProtection="1">
      <alignment horizontal="center" vertical="center"/>
      <protection locked="0"/>
    </xf>
    <xf numFmtId="3" fontId="18" fillId="0" borderId="0" xfId="31" applyNumberFormat="1" applyFont="1" applyFill="1" applyBorder="1" applyAlignment="1" applyProtection="1">
      <alignment horizontal="center" vertical="center"/>
      <protection locked="0"/>
    </xf>
    <xf numFmtId="0" fontId="18" fillId="0" borderId="27" xfId="32" applyFont="1" applyFill="1" applyBorder="1" applyAlignment="1" applyProtection="1">
      <alignment horizontal="center"/>
      <protection locked="0"/>
    </xf>
    <xf numFmtId="3" fontId="33" fillId="0" borderId="24" xfId="28" applyNumberFormat="1" applyFont="1" applyFill="1" applyBorder="1" applyAlignment="1" applyProtection="1">
      <alignment horizontal="left"/>
      <protection locked="0"/>
    </xf>
    <xf numFmtId="0" fontId="18" fillId="0" borderId="24" xfId="32" applyFont="1" applyFill="1" applyBorder="1" applyAlignment="1" applyProtection="1">
      <alignment horizontal="center"/>
      <protection locked="0"/>
    </xf>
    <xf numFmtId="0" fontId="33" fillId="0" borderId="24" xfId="31" applyFont="1" applyFill="1" applyBorder="1" applyAlignment="1" applyProtection="1">
      <alignment horizontal="left" wrapText="1"/>
      <protection locked="0"/>
    </xf>
    <xf numFmtId="0" fontId="18" fillId="0" borderId="0" xfId="31" applyFont="1" applyFill="1" applyBorder="1" applyAlignment="1" applyProtection="1">
      <alignment horizontal="left"/>
      <protection locked="0"/>
    </xf>
    <xf numFmtId="3" fontId="18" fillId="0" borderId="17" xfId="28" applyNumberFormat="1" applyFont="1" applyFill="1" applyBorder="1" applyAlignment="1" applyProtection="1">
      <alignment horizontal="center"/>
      <protection locked="0"/>
    </xf>
    <xf numFmtId="0" fontId="18" fillId="0" borderId="0" xfId="31" applyFont="1" applyFill="1" applyBorder="1" applyAlignment="1" applyProtection="1">
      <protection locked="0"/>
    </xf>
    <xf numFmtId="0" fontId="24" fillId="0" borderId="17" xfId="31" applyFont="1" applyFill="1" applyBorder="1" applyAlignment="1" applyProtection="1">
      <protection locked="0"/>
    </xf>
    <xf numFmtId="0" fontId="24" fillId="0" borderId="24" xfId="32" applyFont="1" applyFill="1" applyBorder="1" applyAlignment="1" applyProtection="1">
      <alignment horizontal="left"/>
      <protection locked="0"/>
    </xf>
    <xf numFmtId="3" fontId="33" fillId="0" borderId="17" xfId="28" applyNumberFormat="1" applyFont="1" applyFill="1" applyBorder="1" applyAlignment="1" applyProtection="1">
      <alignment horizontal="left"/>
      <protection locked="0"/>
    </xf>
    <xf numFmtId="0" fontId="24" fillId="0" borderId="17" xfId="31" applyFont="1" applyFill="1" applyBorder="1" applyAlignment="1" applyProtection="1">
      <alignment horizontal="left"/>
      <protection locked="0"/>
    </xf>
    <xf numFmtId="0" fontId="21" fillId="0" borderId="17" xfId="31" applyFont="1" applyFill="1" applyBorder="1" applyAlignment="1" applyProtection="1">
      <alignment wrapText="1"/>
      <protection locked="0"/>
    </xf>
    <xf numFmtId="0" fontId="18" fillId="0" borderId="17" xfId="31" applyFont="1" applyFill="1" applyBorder="1" applyAlignment="1" applyProtection="1">
      <alignment horizontal="left" wrapText="1"/>
      <protection locked="0"/>
    </xf>
    <xf numFmtId="3" fontId="18" fillId="0" borderId="17" xfId="28" applyNumberFormat="1" applyFont="1" applyFill="1" applyBorder="1" applyAlignment="1" applyProtection="1">
      <alignment horizontal="center" vertical="top"/>
      <protection locked="0"/>
    </xf>
    <xf numFmtId="3" fontId="33" fillId="0" borderId="24" xfId="0" applyNumberFormat="1" applyFont="1" applyFill="1" applyBorder="1" applyAlignment="1" applyProtection="1">
      <alignment horizontal="left"/>
      <protection locked="0"/>
    </xf>
    <xf numFmtId="0" fontId="21" fillId="0" borderId="0" xfId="31" applyFont="1" applyFill="1" applyBorder="1" applyAlignment="1" applyProtection="1">
      <alignment horizontal="left" vertical="center"/>
      <protection locked="0"/>
    </xf>
    <xf numFmtId="3" fontId="33" fillId="0" borderId="26" xfId="0" applyNumberFormat="1" applyFont="1" applyFill="1" applyBorder="1" applyAlignment="1" applyProtection="1">
      <alignment horizontal="left"/>
      <protection locked="0"/>
    </xf>
    <xf numFmtId="0" fontId="18" fillId="0" borderId="24" xfId="32" applyFont="1" applyFill="1" applyBorder="1" applyAlignment="1" applyProtection="1">
      <alignment horizontal="center" vertical="top"/>
      <protection locked="0"/>
    </xf>
    <xf numFmtId="3" fontId="18" fillId="0" borderId="0" xfId="32" applyNumberFormat="1" applyFont="1" applyFill="1" applyBorder="1" applyAlignment="1" applyProtection="1">
      <alignment horizontal="right"/>
      <protection locked="0"/>
    </xf>
    <xf numFmtId="3" fontId="18" fillId="0" borderId="0" xfId="31" applyNumberFormat="1" applyFont="1" applyFill="1" applyBorder="1" applyAlignment="1" applyProtection="1">
      <alignment horizontal="right" vertical="center"/>
      <protection locked="0"/>
    </xf>
    <xf numFmtId="3" fontId="18" fillId="0" borderId="24" xfId="18" applyNumberFormat="1" applyFont="1" applyFill="1" applyBorder="1" applyAlignment="1">
      <alignment horizontal="center"/>
    </xf>
    <xf numFmtId="3" fontId="18" fillId="0" borderId="31" xfId="0" applyNumberFormat="1" applyFont="1" applyFill="1" applyBorder="1" applyAlignment="1">
      <alignment horizontal="center" vertical="center" wrapText="1"/>
    </xf>
    <xf numFmtId="1" fontId="18" fillId="0" borderId="0" xfId="18" applyNumberFormat="1" applyFont="1" applyFill="1" applyBorder="1" applyAlignment="1">
      <alignment horizontal="center" vertical="center"/>
    </xf>
    <xf numFmtId="1" fontId="10" fillId="0" borderId="0" xfId="18" applyNumberFormat="1" applyFont="1" applyFill="1" applyBorder="1" applyAlignment="1">
      <alignment horizontal="center" vertical="center"/>
    </xf>
    <xf numFmtId="3" fontId="18" fillId="0" borderId="0" xfId="18" applyNumberFormat="1" applyFont="1" applyFill="1" applyAlignment="1">
      <alignment horizontal="center"/>
    </xf>
    <xf numFmtId="3" fontId="18" fillId="0" borderId="0" xfId="18" applyNumberFormat="1" applyFont="1" applyFill="1" applyAlignment="1">
      <alignment horizontal="center" vertical="top"/>
    </xf>
    <xf numFmtId="0" fontId="21" fillId="0" borderId="0" xfId="18" applyFont="1" applyFill="1" applyBorder="1" applyAlignment="1">
      <alignment vertical="top" wrapText="1"/>
    </xf>
    <xf numFmtId="0" fontId="18" fillId="0" borderId="0" xfId="18" applyFont="1" applyFill="1" applyBorder="1" applyAlignment="1">
      <alignment horizontal="center"/>
    </xf>
    <xf numFmtId="3" fontId="21" fillId="0" borderId="0" xfId="18" applyNumberFormat="1" applyFont="1" applyFill="1" applyAlignment="1"/>
    <xf numFmtId="1" fontId="14" fillId="0" borderId="0" xfId="18" applyNumberFormat="1" applyFont="1" applyFill="1" applyBorder="1" applyAlignment="1">
      <alignment horizontal="center" vertical="center"/>
    </xf>
    <xf numFmtId="3" fontId="14" fillId="0" borderId="0" xfId="18" applyNumberFormat="1" applyFont="1" applyFill="1" applyBorder="1" applyAlignment="1">
      <alignment horizontal="center" vertical="center"/>
    </xf>
    <xf numFmtId="3" fontId="14" fillId="0" borderId="0" xfId="18" applyNumberFormat="1" applyFont="1" applyFill="1" applyBorder="1" applyAlignment="1">
      <alignment horizontal="center" vertical="center" wrapText="1"/>
    </xf>
    <xf numFmtId="3" fontId="14" fillId="0" borderId="0" xfId="18" applyNumberFormat="1" applyFont="1" applyFill="1" applyBorder="1" applyAlignment="1">
      <alignment horizontal="center"/>
    </xf>
    <xf numFmtId="3" fontId="18" fillId="0" borderId="42" xfId="18" applyNumberFormat="1" applyFont="1" applyFill="1" applyBorder="1" applyAlignment="1">
      <alignment horizontal="center"/>
    </xf>
    <xf numFmtId="3" fontId="33" fillId="0" borderId="43" xfId="18" applyNumberFormat="1" applyFont="1" applyFill="1" applyBorder="1" applyAlignment="1">
      <alignment horizontal="left"/>
    </xf>
    <xf numFmtId="0" fontId="21" fillId="0" borderId="43" xfId="18" applyFont="1" applyFill="1" applyBorder="1" applyAlignment="1">
      <alignment horizontal="center" vertical="center" wrapText="1"/>
    </xf>
    <xf numFmtId="3" fontId="18" fillId="0" borderId="43" xfId="18" applyNumberFormat="1" applyFont="1" applyFill="1" applyBorder="1" applyAlignment="1">
      <alignment horizontal="center" vertical="center" wrapText="1"/>
    </xf>
    <xf numFmtId="3" fontId="21" fillId="0" borderId="43" xfId="18" applyNumberFormat="1" applyFont="1" applyFill="1" applyBorder="1" applyAlignment="1">
      <alignment horizontal="center" vertical="center" wrapText="1"/>
    </xf>
    <xf numFmtId="3" fontId="18" fillId="0" borderId="43" xfId="0" applyNumberFormat="1" applyFont="1" applyFill="1" applyBorder="1" applyAlignment="1">
      <alignment horizontal="center" vertical="center" wrapText="1"/>
    </xf>
    <xf numFmtId="3" fontId="18" fillId="0" borderId="44" xfId="0" applyNumberFormat="1" applyFont="1" applyFill="1" applyBorder="1" applyAlignment="1">
      <alignment horizontal="center" vertical="center" wrapText="1"/>
    </xf>
    <xf numFmtId="0" fontId="18" fillId="0" borderId="128" xfId="0" applyFont="1" applyFill="1" applyBorder="1" applyAlignment="1">
      <alignment horizontal="center" vertical="center" textRotation="90" wrapText="1"/>
    </xf>
    <xf numFmtId="0" fontId="18" fillId="0" borderId="27" xfId="31" applyFont="1" applyFill="1" applyBorder="1" applyAlignment="1">
      <alignment horizontal="center"/>
    </xf>
    <xf numFmtId="3" fontId="18" fillId="0" borderId="6" xfId="31" applyNumberFormat="1" applyFont="1" applyFill="1" applyBorder="1" applyAlignment="1">
      <alignment horizontal="center" vertical="center" wrapText="1"/>
    </xf>
    <xf numFmtId="3" fontId="18" fillId="0" borderId="128" xfId="21" applyNumberFormat="1" applyFont="1" applyFill="1" applyBorder="1" applyAlignment="1">
      <alignment horizontal="right" vertical="center" wrapText="1"/>
    </xf>
    <xf numFmtId="3" fontId="18" fillId="0" borderId="115" xfId="21" applyNumberFormat="1" applyFont="1" applyFill="1" applyBorder="1" applyAlignment="1">
      <alignment horizontal="right" vertical="center" wrapText="1"/>
    </xf>
    <xf numFmtId="3" fontId="18" fillId="0" borderId="115" xfId="31" applyNumberFormat="1" applyFont="1" applyFill="1" applyBorder="1" applyAlignment="1">
      <alignment horizontal="right" vertical="center"/>
    </xf>
    <xf numFmtId="3" fontId="18" fillId="0" borderId="0" xfId="31" applyNumberFormat="1" applyFont="1" applyFill="1" applyBorder="1" applyAlignment="1" applyProtection="1">
      <protection locked="0"/>
    </xf>
    <xf numFmtId="3" fontId="21" fillId="0" borderId="24" xfId="32" applyNumberFormat="1" applyFont="1" applyFill="1" applyBorder="1" applyAlignment="1" applyProtection="1">
      <protection locked="0"/>
    </xf>
    <xf numFmtId="3" fontId="18" fillId="0" borderId="24" xfId="31" applyNumberFormat="1" applyFont="1" applyFill="1" applyBorder="1" applyAlignment="1" applyProtection="1">
      <protection locked="0"/>
    </xf>
    <xf numFmtId="3" fontId="18" fillId="0" borderId="24" xfId="32" applyNumberFormat="1" applyFont="1" applyFill="1" applyBorder="1" applyAlignment="1" applyProtection="1">
      <alignment vertical="center"/>
      <protection locked="0"/>
    </xf>
    <xf numFmtId="3" fontId="18" fillId="0" borderId="24" xfId="31" applyNumberFormat="1" applyFont="1" applyFill="1" applyBorder="1" applyAlignment="1" applyProtection="1">
      <alignment vertical="center"/>
      <protection locked="0"/>
    </xf>
    <xf numFmtId="3" fontId="18" fillId="0" borderId="0" xfId="32" applyNumberFormat="1" applyFont="1" applyFill="1" applyBorder="1" applyAlignment="1" applyProtection="1">
      <protection locked="0"/>
    </xf>
    <xf numFmtId="3" fontId="18" fillId="0" borderId="0" xfId="32" applyNumberFormat="1" applyFont="1" applyFill="1" applyBorder="1" applyAlignment="1" applyProtection="1">
      <alignment wrapText="1"/>
      <protection locked="0"/>
    </xf>
    <xf numFmtId="3" fontId="18" fillId="0" borderId="24" xfId="32" applyNumberFormat="1" applyFont="1" applyFill="1" applyBorder="1" applyAlignment="1" applyProtection="1">
      <protection locked="0"/>
    </xf>
    <xf numFmtId="0" fontId="21" fillId="0" borderId="55" xfId="32" applyFont="1" applyFill="1" applyBorder="1" applyAlignment="1" applyProtection="1">
      <alignment horizontal="center" vertical="center"/>
      <protection locked="0"/>
    </xf>
    <xf numFmtId="3" fontId="21" fillId="0" borderId="55" xfId="32" applyNumberFormat="1" applyFont="1" applyFill="1" applyBorder="1" applyAlignment="1" applyProtection="1">
      <alignment vertical="center"/>
      <protection locked="0"/>
    </xf>
    <xf numFmtId="3" fontId="21" fillId="0" borderId="55" xfId="31" applyNumberFormat="1" applyFont="1" applyFill="1" applyBorder="1" applyAlignment="1" applyProtection="1">
      <alignment vertical="center"/>
      <protection locked="0"/>
    </xf>
    <xf numFmtId="0" fontId="21" fillId="0" borderId="53" xfId="32" applyFont="1" applyFill="1" applyBorder="1" applyAlignment="1" applyProtection="1">
      <alignment horizontal="center" vertical="center"/>
      <protection locked="0"/>
    </xf>
    <xf numFmtId="3" fontId="21" fillId="0" borderId="53" xfId="32" applyNumberFormat="1" applyFont="1" applyFill="1" applyBorder="1" applyAlignment="1" applyProtection="1">
      <alignment vertical="center"/>
      <protection locked="0"/>
    </xf>
    <xf numFmtId="3" fontId="21" fillId="0" borderId="53" xfId="31" applyNumberFormat="1" applyFont="1" applyFill="1" applyBorder="1" applyAlignment="1" applyProtection="1">
      <alignment vertical="center"/>
      <protection locked="0"/>
    </xf>
    <xf numFmtId="0" fontId="18" fillId="0" borderId="24" xfId="31" applyFont="1" applyFill="1" applyBorder="1" applyAlignment="1" applyProtection="1">
      <alignment horizontal="left" wrapText="1"/>
      <protection locked="0"/>
    </xf>
    <xf numFmtId="0" fontId="18" fillId="0" borderId="24" xfId="31" applyFont="1" applyFill="1" applyBorder="1" applyAlignment="1" applyProtection="1">
      <alignment horizontal="left" vertical="top" wrapText="1"/>
      <protection locked="0"/>
    </xf>
    <xf numFmtId="0" fontId="18" fillId="0" borderId="0" xfId="18" applyNumberFormat="1" applyFont="1" applyFill="1" applyBorder="1" applyAlignment="1">
      <alignment horizontal="center" vertical="center"/>
    </xf>
    <xf numFmtId="0" fontId="10" fillId="0" borderId="0" xfId="18" applyNumberFormat="1" applyFont="1" applyFill="1" applyBorder="1" applyAlignment="1">
      <alignment horizontal="center" vertical="center"/>
    </xf>
    <xf numFmtId="0" fontId="9" fillId="0" borderId="0" xfId="0" applyFont="1" applyFill="1" applyAlignment="1"/>
    <xf numFmtId="0" fontId="18" fillId="0" borderId="0" xfId="31" applyFont="1" applyFill="1" applyBorder="1" applyAlignment="1"/>
    <xf numFmtId="3" fontId="18" fillId="0" borderId="0" xfId="31" applyNumberFormat="1" applyFont="1" applyFill="1" applyBorder="1" applyAlignment="1">
      <alignment horizontal="center" wrapText="1"/>
    </xf>
    <xf numFmtId="3" fontId="21" fillId="0" borderId="0" xfId="31" applyNumberFormat="1" applyFont="1" applyFill="1" applyBorder="1" applyAlignment="1">
      <alignment horizontal="right"/>
    </xf>
    <xf numFmtId="0" fontId="14" fillId="0" borderId="0" xfId="31" applyFont="1" applyFill="1" applyBorder="1" applyAlignment="1">
      <alignment horizontal="center"/>
    </xf>
    <xf numFmtId="0" fontId="14" fillId="0" borderId="0" xfId="32" applyFont="1" applyFill="1" applyBorder="1" applyAlignment="1">
      <alignment horizontal="center" wrapText="1"/>
    </xf>
    <xf numFmtId="3" fontId="14" fillId="0" borderId="0" xfId="32" applyNumberFormat="1" applyFont="1" applyFill="1" applyBorder="1" applyAlignment="1">
      <alignment horizontal="center"/>
    </xf>
    <xf numFmtId="0" fontId="14" fillId="0" borderId="0" xfId="0" applyFont="1" applyFill="1" applyAlignment="1"/>
    <xf numFmtId="0" fontId="18" fillId="0" borderId="78" xfId="31" applyFont="1" applyFill="1" applyBorder="1" applyAlignment="1">
      <alignment horizontal="center" vertical="center" wrapText="1"/>
    </xf>
    <xf numFmtId="0" fontId="18" fillId="0" borderId="57" xfId="31" applyFont="1" applyFill="1" applyBorder="1" applyAlignment="1">
      <alignment horizontal="center" vertical="center" wrapText="1"/>
    </xf>
    <xf numFmtId="3" fontId="18" fillId="0" borderId="57" xfId="21" applyNumberFormat="1" applyFont="1" applyFill="1" applyBorder="1" applyAlignment="1">
      <alignment horizontal="center" vertical="center" wrapText="1"/>
    </xf>
    <xf numFmtId="0" fontId="10" fillId="0" borderId="36" xfId="21" applyFont="1" applyFill="1" applyBorder="1" applyAlignment="1">
      <alignment vertical="top" wrapText="1"/>
    </xf>
    <xf numFmtId="3" fontId="10" fillId="0" borderId="36" xfId="22" applyNumberFormat="1" applyFont="1" applyFill="1" applyBorder="1" applyAlignment="1">
      <alignment horizontal="left" vertical="top" wrapText="1"/>
    </xf>
    <xf numFmtId="0" fontId="10" fillId="0" borderId="17" xfId="21" applyFont="1" applyFill="1" applyBorder="1" applyAlignment="1">
      <alignment horizontal="left" vertical="top" wrapText="1"/>
    </xf>
    <xf numFmtId="3" fontId="10" fillId="0" borderId="122" xfId="22" applyNumberFormat="1" applyFont="1" applyFill="1" applyBorder="1" applyAlignment="1">
      <alignment horizontal="left"/>
    </xf>
    <xf numFmtId="3" fontId="43" fillId="0" borderId="187" xfId="21" applyNumberFormat="1" applyFont="1" applyFill="1" applyBorder="1" applyAlignment="1">
      <alignment horizontal="right" wrapText="1"/>
    </xf>
    <xf numFmtId="0" fontId="43" fillId="0" borderId="16" xfId="31" applyFont="1" applyFill="1" applyBorder="1" applyAlignment="1">
      <alignment horizontal="center"/>
    </xf>
    <xf numFmtId="0" fontId="43" fillId="0" borderId="17" xfId="31" applyFont="1" applyFill="1" applyBorder="1" applyAlignment="1">
      <alignment horizontal="center"/>
    </xf>
    <xf numFmtId="0" fontId="43" fillId="0" borderId="17" xfId="21" applyFont="1" applyFill="1" applyBorder="1" applyAlignment="1">
      <alignment horizontal="left"/>
    </xf>
    <xf numFmtId="3" fontId="43" fillId="0" borderId="17" xfId="31" applyNumberFormat="1" applyFont="1" applyFill="1" applyBorder="1" applyAlignment="1">
      <alignment horizontal="right"/>
    </xf>
    <xf numFmtId="3" fontId="43" fillId="0" borderId="17" xfId="21" applyNumberFormat="1" applyFont="1" applyFill="1" applyBorder="1" applyAlignment="1">
      <alignment horizontal="right"/>
    </xf>
    <xf numFmtId="3" fontId="43" fillId="0" borderId="23" xfId="31" applyNumberFormat="1" applyFont="1" applyFill="1" applyBorder="1" applyAlignment="1">
      <alignment horizontal="right"/>
    </xf>
    <xf numFmtId="3" fontId="43" fillId="0" borderId="17" xfId="21" applyNumberFormat="1" applyFont="1" applyFill="1" applyBorder="1" applyAlignment="1">
      <alignment horizontal="right" wrapText="1"/>
    </xf>
    <xf numFmtId="3" fontId="43" fillId="0" borderId="83" xfId="31" applyNumberFormat="1" applyFont="1" applyFill="1" applyBorder="1" applyAlignment="1">
      <alignment horizontal="right"/>
    </xf>
    <xf numFmtId="0" fontId="43" fillId="0" borderId="0" xfId="31" applyFont="1" applyFill="1" applyBorder="1" applyAlignment="1"/>
    <xf numFmtId="0" fontId="43" fillId="0" borderId="36" xfId="21" applyFont="1" applyFill="1" applyBorder="1" applyAlignment="1"/>
    <xf numFmtId="3" fontId="10" fillId="0" borderId="20" xfId="31" applyNumberFormat="1" applyFont="1" applyFill="1" applyBorder="1" applyAlignment="1">
      <alignment horizontal="center" vertical="center" wrapText="1"/>
    </xf>
    <xf numFmtId="3" fontId="10" fillId="0" borderId="130" xfId="21" applyNumberFormat="1" applyFont="1" applyFill="1" applyBorder="1" applyAlignment="1">
      <alignment horizontal="right" wrapText="1"/>
    </xf>
    <xf numFmtId="3" fontId="10" fillId="0" borderId="115" xfId="21" applyNumberFormat="1" applyFont="1" applyFill="1" applyBorder="1" applyAlignment="1">
      <alignment horizontal="right" wrapText="1"/>
    </xf>
    <xf numFmtId="3" fontId="43" fillId="0" borderId="115" xfId="21" applyNumberFormat="1" applyFont="1" applyFill="1" applyBorder="1" applyAlignment="1">
      <alignment horizontal="right" wrapText="1"/>
    </xf>
    <xf numFmtId="3" fontId="10" fillId="0" borderId="115" xfId="31" applyNumberFormat="1" applyFont="1" applyFill="1" applyBorder="1" applyAlignment="1">
      <alignment horizontal="right"/>
    </xf>
    <xf numFmtId="0" fontId="10" fillId="0" borderId="78" xfId="31" applyFont="1" applyFill="1" applyBorder="1" applyAlignment="1">
      <alignment horizontal="center" wrapText="1"/>
    </xf>
    <xf numFmtId="0" fontId="10" fillId="0" borderId="57" xfId="31" applyFont="1" applyFill="1" applyBorder="1" applyAlignment="1">
      <alignment horizontal="center" wrapText="1"/>
    </xf>
    <xf numFmtId="0" fontId="43" fillId="0" borderId="57" xfId="31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4" fontId="10" fillId="0" borderId="0" xfId="0" applyNumberFormat="1" applyFont="1" applyFill="1" applyAlignment="1">
      <alignment horizontal="center" vertical="center"/>
    </xf>
    <xf numFmtId="3" fontId="18" fillId="0" borderId="0" xfId="22" applyNumberFormat="1" applyFont="1"/>
    <xf numFmtId="3" fontId="18" fillId="0" borderId="0" xfId="22" applyNumberFormat="1" applyFont="1" applyAlignment="1">
      <alignment horizontal="center"/>
    </xf>
    <xf numFmtId="3" fontId="18" fillId="0" borderId="0" xfId="22" applyNumberFormat="1" applyFont="1" applyAlignment="1">
      <alignment horizontal="left" wrapText="1"/>
    </xf>
    <xf numFmtId="14" fontId="18" fillId="0" borderId="0" xfId="22" applyNumberFormat="1" applyFont="1" applyAlignment="1">
      <alignment horizontal="center"/>
    </xf>
    <xf numFmtId="3" fontId="14" fillId="0" borderId="6" xfId="0" applyNumberFormat="1" applyFont="1" applyBorder="1" applyAlignment="1">
      <alignment horizontal="center"/>
    </xf>
    <xf numFmtId="0" fontId="14" fillId="0" borderId="0" xfId="0" applyFont="1" applyAlignment="1"/>
    <xf numFmtId="3" fontId="44" fillId="0" borderId="17" xfId="31" applyNumberFormat="1" applyFont="1" applyFill="1" applyBorder="1" applyAlignment="1">
      <alignment horizontal="right"/>
    </xf>
    <xf numFmtId="3" fontId="44" fillId="0" borderId="17" xfId="21" applyNumberFormat="1" applyFont="1" applyFill="1" applyBorder="1" applyAlignment="1">
      <alignment horizontal="right" wrapText="1"/>
    </xf>
    <xf numFmtId="3" fontId="44" fillId="0" borderId="130" xfId="21" applyNumberFormat="1" applyFont="1" applyFill="1" applyBorder="1" applyAlignment="1">
      <alignment horizontal="right" wrapText="1"/>
    </xf>
    <xf numFmtId="3" fontId="44" fillId="0" borderId="119" xfId="21" applyNumberFormat="1" applyFont="1" applyFill="1" applyBorder="1" applyAlignment="1">
      <alignment horizontal="right" wrapText="1"/>
    </xf>
    <xf numFmtId="3" fontId="43" fillId="0" borderId="188" xfId="21" applyNumberFormat="1" applyFont="1" applyFill="1" applyBorder="1" applyAlignment="1">
      <alignment horizontal="right" wrapText="1"/>
    </xf>
    <xf numFmtId="3" fontId="44" fillId="0" borderId="115" xfId="21" applyNumberFormat="1" applyFont="1" applyFill="1" applyBorder="1" applyAlignment="1">
      <alignment horizontal="right" wrapText="1"/>
    </xf>
    <xf numFmtId="3" fontId="44" fillId="0" borderId="115" xfId="31" applyNumberFormat="1" applyFont="1" applyFill="1" applyBorder="1" applyAlignment="1">
      <alignment horizontal="right"/>
    </xf>
    <xf numFmtId="3" fontId="43" fillId="0" borderId="187" xfId="31" applyNumberFormat="1" applyFont="1" applyFill="1" applyBorder="1" applyAlignment="1">
      <alignment horizontal="right"/>
    </xf>
    <xf numFmtId="0" fontId="10" fillId="0" borderId="36" xfId="21" applyFont="1" applyFill="1" applyBorder="1" applyAlignment="1">
      <alignment horizontal="left" wrapText="1"/>
    </xf>
    <xf numFmtId="2" fontId="10" fillId="0" borderId="17" xfId="21" applyNumberFormat="1" applyFont="1" applyFill="1" applyBorder="1" applyAlignment="1">
      <alignment wrapText="1"/>
    </xf>
    <xf numFmtId="0" fontId="44" fillId="0" borderId="0" xfId="31" applyFont="1" applyFill="1" applyBorder="1" applyAlignment="1"/>
    <xf numFmtId="3" fontId="10" fillId="0" borderId="0" xfId="31" applyNumberFormat="1" applyFont="1" applyFill="1" applyBorder="1" applyAlignment="1">
      <alignment horizontal="right"/>
    </xf>
    <xf numFmtId="0" fontId="35" fillId="0" borderId="17" xfId="21" applyFont="1" applyFill="1" applyBorder="1" applyAlignment="1">
      <alignment horizontal="left"/>
    </xf>
    <xf numFmtId="0" fontId="10" fillId="0" borderId="57" xfId="31" applyFont="1" applyFill="1" applyBorder="1" applyAlignment="1">
      <alignment horizontal="center" vertical="top" wrapText="1"/>
    </xf>
    <xf numFmtId="3" fontId="44" fillId="0" borderId="17" xfId="21" applyNumberFormat="1" applyFont="1" applyFill="1" applyBorder="1" applyAlignment="1">
      <alignment horizontal="right"/>
    </xf>
    <xf numFmtId="0" fontId="10" fillId="0" borderId="17" xfId="31" applyFont="1" applyFill="1" applyBorder="1" applyAlignment="1">
      <alignment wrapText="1"/>
    </xf>
    <xf numFmtId="0" fontId="34" fillId="0" borderId="17" xfId="31" applyFont="1" applyFill="1" applyBorder="1" applyAlignment="1"/>
    <xf numFmtId="0" fontId="10" fillId="0" borderId="17" xfId="31" applyFont="1" applyFill="1" applyBorder="1" applyAlignment="1">
      <alignment horizontal="left" wrapText="1" indent="1"/>
    </xf>
    <xf numFmtId="0" fontId="34" fillId="0" borderId="17" xfId="31" applyFont="1" applyFill="1" applyBorder="1" applyAlignment="1">
      <alignment wrapText="1"/>
    </xf>
    <xf numFmtId="0" fontId="25" fillId="0" borderId="17" xfId="31" applyFont="1" applyFill="1" applyBorder="1" applyAlignment="1">
      <alignment wrapText="1"/>
    </xf>
    <xf numFmtId="0" fontId="34" fillId="0" borderId="17" xfId="31" applyFont="1" applyFill="1" applyBorder="1" applyAlignment="1">
      <alignment horizontal="left" wrapText="1"/>
    </xf>
    <xf numFmtId="0" fontId="25" fillId="0" borderId="17" xfId="31" applyFont="1" applyFill="1" applyBorder="1" applyAlignment="1">
      <alignment shrinkToFit="1"/>
    </xf>
    <xf numFmtId="0" fontId="34" fillId="0" borderId="17" xfId="31" applyFont="1" applyFill="1" applyBorder="1" applyAlignment="1">
      <alignment horizontal="left"/>
    </xf>
    <xf numFmtId="0" fontId="10" fillId="0" borderId="17" xfId="31" applyFont="1" applyFill="1" applyBorder="1" applyAlignment="1">
      <alignment vertical="top" wrapText="1"/>
    </xf>
    <xf numFmtId="0" fontId="10" fillId="0" borderId="123" xfId="21" applyFont="1" applyFill="1" applyBorder="1" applyAlignment="1">
      <alignment wrapText="1"/>
    </xf>
    <xf numFmtId="0" fontId="10" fillId="0" borderId="17" xfId="21" applyFont="1" applyFill="1" applyBorder="1" applyAlignment="1">
      <alignment shrinkToFit="1"/>
    </xf>
    <xf numFmtId="0" fontId="12" fillId="0" borderId="0" xfId="0" applyFont="1" applyFill="1" applyAlignment="1">
      <alignment horizontal="center" vertical="center"/>
    </xf>
    <xf numFmtId="3" fontId="20" fillId="0" borderId="0" xfId="0" applyNumberFormat="1" applyFont="1" applyFill="1" applyAlignment="1">
      <alignment horizontal="right" vertical="center"/>
    </xf>
    <xf numFmtId="0" fontId="10" fillId="0" borderId="0" xfId="0" applyFont="1" applyAlignment="1">
      <alignment horizontal="left" vertical="top"/>
    </xf>
    <xf numFmtId="0" fontId="38" fillId="0" borderId="17" xfId="31" applyFont="1" applyFill="1" applyBorder="1" applyAlignment="1">
      <alignment wrapText="1"/>
    </xf>
    <xf numFmtId="0" fontId="47" fillId="0" borderId="17" xfId="21" applyFont="1" applyFill="1" applyBorder="1" applyAlignment="1">
      <alignment horizontal="left"/>
    </xf>
    <xf numFmtId="3" fontId="10" fillId="0" borderId="19" xfId="0" applyNumberFormat="1" applyFont="1" applyBorder="1"/>
    <xf numFmtId="3" fontId="10" fillId="0" borderId="62" xfId="0" applyNumberFormat="1" applyFont="1" applyBorder="1"/>
    <xf numFmtId="3" fontId="13" fillId="0" borderId="19" xfId="0" applyNumberFormat="1" applyFont="1" applyFill="1" applyBorder="1" applyAlignment="1">
      <alignment vertical="center"/>
    </xf>
    <xf numFmtId="3" fontId="18" fillId="0" borderId="17" xfId="28" applyNumberFormat="1" applyFont="1" applyFill="1" applyBorder="1" applyAlignment="1">
      <alignment horizontal="left"/>
    </xf>
    <xf numFmtId="3" fontId="18" fillId="0" borderId="23" xfId="28" applyNumberFormat="1" applyFont="1" applyFill="1" applyBorder="1" applyAlignment="1">
      <alignment vertical="top" wrapText="1"/>
    </xf>
    <xf numFmtId="0" fontId="48" fillId="0" borderId="17" xfId="31" applyFont="1" applyFill="1" applyBorder="1" applyAlignment="1" applyProtection="1">
      <alignment horizontal="left"/>
      <protection locked="0"/>
    </xf>
    <xf numFmtId="0" fontId="18" fillId="0" borderId="27" xfId="32" applyFont="1" applyFill="1" applyBorder="1" applyAlignment="1" applyProtection="1">
      <alignment horizontal="center" vertical="top"/>
      <protection locked="0"/>
    </xf>
    <xf numFmtId="0" fontId="18" fillId="0" borderId="17" xfId="31" applyFont="1" applyFill="1" applyBorder="1" applyAlignment="1" applyProtection="1">
      <alignment horizontal="left" vertical="top" wrapText="1"/>
      <protection locked="0"/>
    </xf>
    <xf numFmtId="3" fontId="18" fillId="0" borderId="24" xfId="32" applyNumberFormat="1" applyFont="1" applyFill="1" applyBorder="1" applyAlignment="1" applyProtection="1">
      <alignment horizontal="center" vertical="top"/>
      <protection locked="0"/>
    </xf>
    <xf numFmtId="3" fontId="18" fillId="0" borderId="24" xfId="31" applyNumberFormat="1" applyFont="1" applyFill="1" applyBorder="1" applyAlignment="1" applyProtection="1">
      <alignment horizontal="center" vertical="top"/>
      <protection locked="0"/>
    </xf>
    <xf numFmtId="0" fontId="18" fillId="0" borderId="0" xfId="31" applyFont="1" applyFill="1" applyBorder="1" applyAlignment="1" applyProtection="1">
      <alignment vertical="top"/>
      <protection locked="0"/>
    </xf>
    <xf numFmtId="3" fontId="12" fillId="0" borderId="9" xfId="0" applyNumberFormat="1" applyFont="1" applyFill="1" applyBorder="1" applyAlignment="1">
      <alignment vertical="center"/>
    </xf>
    <xf numFmtId="0" fontId="10" fillId="0" borderId="17" xfId="31" applyFont="1" applyFill="1" applyBorder="1" applyAlignment="1">
      <alignment horizontal="left" indent="1" shrinkToFit="1"/>
    </xf>
    <xf numFmtId="0" fontId="10" fillId="0" borderId="24" xfId="31" applyFont="1" applyFill="1" applyBorder="1" applyAlignment="1">
      <alignment horizontal="center"/>
    </xf>
    <xf numFmtId="3" fontId="44" fillId="0" borderId="24" xfId="31" applyNumberFormat="1" applyFont="1" applyFill="1" applyBorder="1" applyAlignment="1">
      <alignment horizontal="right"/>
    </xf>
    <xf numFmtId="3" fontId="44" fillId="0" borderId="24" xfId="21" applyNumberFormat="1" applyFont="1" applyFill="1" applyBorder="1" applyAlignment="1">
      <alignment horizontal="right"/>
    </xf>
    <xf numFmtId="3" fontId="44" fillId="0" borderId="26" xfId="31" applyNumberFormat="1" applyFont="1" applyFill="1" applyBorder="1" applyAlignment="1">
      <alignment horizontal="right"/>
    </xf>
    <xf numFmtId="3" fontId="43" fillId="0" borderId="80" xfId="21" applyNumberFormat="1" applyFont="1" applyFill="1" applyBorder="1" applyAlignment="1">
      <alignment horizontal="right" wrapText="1"/>
    </xf>
    <xf numFmtId="3" fontId="43" fillId="0" borderId="24" xfId="21" applyNumberFormat="1" applyFont="1" applyFill="1" applyBorder="1" applyAlignment="1">
      <alignment horizontal="right" wrapText="1"/>
    </xf>
    <xf numFmtId="3" fontId="44" fillId="0" borderId="24" xfId="21" applyNumberFormat="1" applyFont="1" applyFill="1" applyBorder="1" applyAlignment="1">
      <alignment horizontal="right" wrapText="1"/>
    </xf>
    <xf numFmtId="3" fontId="43" fillId="0" borderId="206" xfId="21" applyNumberFormat="1" applyFont="1" applyFill="1" applyBorder="1" applyAlignment="1">
      <alignment horizontal="right" wrapText="1"/>
    </xf>
    <xf numFmtId="0" fontId="47" fillId="0" borderId="24" xfId="21" applyFont="1" applyFill="1" applyBorder="1" applyAlignment="1">
      <alignment horizontal="left"/>
    </xf>
    <xf numFmtId="3" fontId="43" fillId="0" borderId="207" xfId="31" applyNumberFormat="1" applyFont="1" applyFill="1" applyBorder="1" applyAlignment="1">
      <alignment horizontal="right"/>
    </xf>
    <xf numFmtId="3" fontId="43" fillId="0" borderId="82" xfId="31" applyNumberFormat="1" applyFont="1" applyFill="1" applyBorder="1" applyAlignment="1">
      <alignment horizontal="right"/>
    </xf>
    <xf numFmtId="3" fontId="10" fillId="0" borderId="207" xfId="31" applyNumberFormat="1" applyFont="1" applyFill="1" applyBorder="1" applyAlignment="1">
      <alignment horizontal="right"/>
    </xf>
    <xf numFmtId="0" fontId="10" fillId="0" borderId="45" xfId="31" applyFont="1" applyFill="1" applyBorder="1" applyAlignment="1">
      <alignment horizontal="center"/>
    </xf>
    <xf numFmtId="3" fontId="44" fillId="0" borderId="45" xfId="21" applyNumberFormat="1" applyFont="1" applyFill="1" applyBorder="1" applyAlignment="1">
      <alignment horizontal="right"/>
    </xf>
    <xf numFmtId="0" fontId="43" fillId="0" borderId="21" xfId="31" applyFont="1" applyFill="1" applyBorder="1" applyAlignment="1">
      <alignment horizontal="center" wrapText="1"/>
    </xf>
    <xf numFmtId="3" fontId="43" fillId="0" borderId="129" xfId="21" applyNumberFormat="1" applyFont="1" applyFill="1" applyBorder="1" applyAlignment="1">
      <alignment horizontal="right" wrapText="1"/>
    </xf>
    <xf numFmtId="3" fontId="43" fillId="0" borderId="45" xfId="21" applyNumberFormat="1" applyFont="1" applyFill="1" applyBorder="1" applyAlignment="1">
      <alignment horizontal="right" wrapText="1"/>
    </xf>
    <xf numFmtId="3" fontId="43" fillId="0" borderId="208" xfId="21" applyNumberFormat="1" applyFont="1" applyFill="1" applyBorder="1" applyAlignment="1">
      <alignment horizontal="right" wrapText="1"/>
    </xf>
    <xf numFmtId="0" fontId="10" fillId="0" borderId="209" xfId="31" applyFont="1" applyFill="1" applyBorder="1" applyAlignment="1">
      <alignment horizontal="center"/>
    </xf>
    <xf numFmtId="3" fontId="43" fillId="0" borderId="212" xfId="31" applyNumberFormat="1" applyFont="1" applyFill="1" applyBorder="1" applyAlignment="1">
      <alignment horizontal="right"/>
    </xf>
    <xf numFmtId="3" fontId="10" fillId="0" borderId="45" xfId="31" applyNumberFormat="1" applyFont="1" applyFill="1" applyBorder="1" applyAlignment="1">
      <alignment horizontal="right"/>
    </xf>
    <xf numFmtId="3" fontId="10" fillId="0" borderId="45" xfId="21" applyNumberFormat="1" applyFont="1" applyFill="1" applyBorder="1" applyAlignment="1">
      <alignment horizontal="right"/>
    </xf>
    <xf numFmtId="3" fontId="10" fillId="0" borderId="58" xfId="31" applyNumberFormat="1" applyFont="1" applyFill="1" applyBorder="1" applyAlignment="1">
      <alignment horizontal="right"/>
    </xf>
    <xf numFmtId="0" fontId="10" fillId="0" borderId="21" xfId="31" applyFont="1" applyFill="1" applyBorder="1" applyAlignment="1">
      <alignment horizontal="center" wrapText="1"/>
    </xf>
    <xf numFmtId="3" fontId="10" fillId="0" borderId="129" xfId="21" applyNumberFormat="1" applyFont="1" applyFill="1" applyBorder="1" applyAlignment="1">
      <alignment horizontal="right" wrapText="1"/>
    </xf>
    <xf numFmtId="3" fontId="10" fillId="0" borderId="45" xfId="21" applyNumberFormat="1" applyFont="1" applyFill="1" applyBorder="1" applyAlignment="1">
      <alignment horizontal="right" wrapText="1"/>
    </xf>
    <xf numFmtId="0" fontId="10" fillId="0" borderId="55" xfId="31" applyFont="1" applyFill="1" applyBorder="1" applyAlignment="1">
      <alignment horizontal="center" vertical="top"/>
    </xf>
    <xf numFmtId="3" fontId="10" fillId="0" borderId="55" xfId="31" applyNumberFormat="1" applyFont="1" applyFill="1" applyBorder="1" applyAlignment="1">
      <alignment horizontal="right"/>
    </xf>
    <xf numFmtId="0" fontId="10" fillId="0" borderId="213" xfId="31" applyFont="1" applyFill="1" applyBorder="1" applyAlignment="1">
      <alignment horizontal="center" wrapText="1"/>
    </xf>
    <xf numFmtId="3" fontId="10" fillId="0" borderId="40" xfId="31" applyNumberFormat="1" applyFont="1" applyFill="1" applyBorder="1" applyAlignment="1">
      <alignment horizontal="right"/>
    </xf>
    <xf numFmtId="0" fontId="12" fillId="0" borderId="210" xfId="31" applyFont="1" applyFill="1" applyBorder="1" applyAlignment="1">
      <alignment horizontal="center" wrapText="1"/>
    </xf>
    <xf numFmtId="3" fontId="12" fillId="0" borderId="211" xfId="21" applyNumberFormat="1" applyFont="1" applyFill="1" applyBorder="1" applyAlignment="1">
      <alignment horizontal="right" wrapText="1"/>
    </xf>
    <xf numFmtId="3" fontId="12" fillId="0" borderId="144" xfId="31" applyNumberFormat="1" applyFont="1" applyFill="1" applyBorder="1" applyAlignment="1">
      <alignment horizontal="right"/>
    </xf>
    <xf numFmtId="3" fontId="10" fillId="0" borderId="209" xfId="21" applyNumberFormat="1" applyFont="1" applyFill="1" applyBorder="1" applyAlignment="1">
      <alignment horizontal="right"/>
    </xf>
    <xf numFmtId="3" fontId="10" fillId="0" borderId="17" xfId="18" applyNumberFormat="1" applyFont="1" applyFill="1" applyBorder="1" applyAlignment="1">
      <alignment horizontal="center" vertical="center"/>
    </xf>
    <xf numFmtId="3" fontId="10" fillId="0" borderId="17" xfId="39" applyNumberFormat="1" applyFont="1" applyFill="1" applyBorder="1" applyAlignment="1">
      <alignment horizontal="right" vertical="center"/>
    </xf>
    <xf numFmtId="3" fontId="10" fillId="0" borderId="18" xfId="39" applyNumberFormat="1" applyFont="1" applyFill="1" applyBorder="1" applyAlignment="1">
      <alignment horizontal="right" vertical="center"/>
    </xf>
    <xf numFmtId="3" fontId="10" fillId="0" borderId="45" xfId="39" applyNumberFormat="1" applyFont="1" applyFill="1" applyBorder="1" applyAlignment="1">
      <alignment horizontal="right" vertical="center"/>
    </xf>
    <xf numFmtId="3" fontId="10" fillId="0" borderId="46" xfId="39" applyNumberFormat="1" applyFont="1" applyFill="1" applyBorder="1" applyAlignment="1">
      <alignment horizontal="right" vertical="center"/>
    </xf>
    <xf numFmtId="14" fontId="10" fillId="0" borderId="109" xfId="27" applyNumberFormat="1" applyFont="1" applyFill="1" applyBorder="1" applyAlignment="1">
      <alignment horizontal="center" vertical="center"/>
    </xf>
    <xf numFmtId="3" fontId="10" fillId="0" borderId="109" xfId="39" applyNumberFormat="1" applyFont="1" applyFill="1" applyBorder="1" applyAlignment="1">
      <alignment horizontal="right" vertical="center"/>
    </xf>
    <xf numFmtId="3" fontId="10" fillId="0" borderId="135" xfId="39" applyNumberFormat="1" applyFont="1" applyFill="1" applyBorder="1" applyAlignment="1">
      <alignment horizontal="right" vertical="center"/>
    </xf>
    <xf numFmtId="0" fontId="12" fillId="0" borderId="0" xfId="23" applyFont="1" applyFill="1" applyBorder="1" applyAlignment="1">
      <alignment horizontal="center" vertical="center"/>
    </xf>
    <xf numFmtId="3" fontId="10" fillId="0" borderId="0" xfId="18" applyNumberFormat="1" applyFont="1" applyFill="1" applyBorder="1" applyAlignment="1">
      <alignment horizontal="center" vertical="center"/>
    </xf>
    <xf numFmtId="3" fontId="21" fillId="0" borderId="27" xfId="18" applyNumberFormat="1" applyFont="1" applyFill="1" applyBorder="1" applyAlignment="1">
      <alignment horizontal="center"/>
    </xf>
    <xf numFmtId="3" fontId="18" fillId="0" borderId="109" xfId="18" applyNumberFormat="1" applyFont="1" applyFill="1" applyBorder="1" applyAlignment="1">
      <alignment horizontal="center" vertical="center"/>
    </xf>
    <xf numFmtId="3" fontId="18" fillId="0" borderId="109" xfId="18" applyNumberFormat="1" applyFont="1" applyFill="1" applyBorder="1" applyAlignment="1">
      <alignment wrapText="1"/>
    </xf>
    <xf numFmtId="3" fontId="21" fillId="0" borderId="133" xfId="18" applyNumberFormat="1" applyFont="1" applyFill="1" applyBorder="1" applyAlignment="1">
      <alignment horizontal="right"/>
    </xf>
    <xf numFmtId="3" fontId="18" fillId="0" borderId="109" xfId="0" applyNumberFormat="1" applyFont="1" applyFill="1" applyBorder="1" applyAlignment="1">
      <alignment horizontal="right" wrapText="1"/>
    </xf>
    <xf numFmtId="3" fontId="18" fillId="0" borderId="135" xfId="0" applyNumberFormat="1" applyFont="1" applyFill="1" applyBorder="1" applyAlignment="1">
      <alignment horizontal="right" wrapText="1"/>
    </xf>
    <xf numFmtId="3" fontId="10" fillId="0" borderId="0" xfId="22" applyNumberFormat="1" applyFont="1" applyAlignment="1">
      <alignment horizontal="left" wrapText="1"/>
    </xf>
    <xf numFmtId="0" fontId="37" fillId="0" borderId="0" xfId="30" applyFont="1" applyFill="1" applyBorder="1" applyAlignment="1">
      <alignment vertical="center"/>
    </xf>
    <xf numFmtId="3" fontId="12" fillId="0" borderId="17" xfId="30" applyNumberFormat="1" applyFont="1" applyFill="1" applyBorder="1" applyAlignment="1">
      <alignment vertical="center" wrapText="1"/>
    </xf>
    <xf numFmtId="0" fontId="10" fillId="0" borderId="0" xfId="42" applyFont="1" applyFill="1" applyBorder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50" fillId="0" borderId="32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left" vertical="center" wrapText="1"/>
    </xf>
    <xf numFmtId="0" fontId="38" fillId="0" borderId="20" xfId="0" applyFont="1" applyBorder="1" applyAlignment="1">
      <alignment horizontal="left" vertical="center" wrapText="1"/>
    </xf>
    <xf numFmtId="0" fontId="38" fillId="0" borderId="4" xfId="0" applyFont="1" applyBorder="1" applyAlignment="1">
      <alignment horizontal="left" vertical="center" wrapText="1"/>
    </xf>
    <xf numFmtId="0" fontId="38" fillId="0" borderId="19" xfId="0" applyFont="1" applyBorder="1" applyAlignment="1">
      <alignment horizontal="left" vertical="center" wrapText="1"/>
    </xf>
    <xf numFmtId="0" fontId="51" fillId="0" borderId="4" xfId="0" applyFont="1" applyBorder="1" applyAlignment="1">
      <alignment horizontal="left" vertical="center" wrapText="1"/>
    </xf>
    <xf numFmtId="0" fontId="51" fillId="0" borderId="19" xfId="0" applyFont="1" applyBorder="1" applyAlignment="1">
      <alignment horizontal="left" vertical="center" wrapText="1"/>
    </xf>
    <xf numFmtId="0" fontId="51" fillId="0" borderId="5" xfId="0" applyFont="1" applyBorder="1" applyAlignment="1">
      <alignment horizontal="left" vertical="center" wrapText="1"/>
    </xf>
    <xf numFmtId="0" fontId="51" fillId="0" borderId="20" xfId="0" applyFont="1" applyBorder="1" applyAlignment="1">
      <alignment horizontal="left" vertical="center" wrapText="1"/>
    </xf>
    <xf numFmtId="3" fontId="50" fillId="0" borderId="20" xfId="0" applyNumberFormat="1" applyFont="1" applyBorder="1" applyAlignment="1">
      <alignment horizontal="right" vertical="center" wrapText="1"/>
    </xf>
    <xf numFmtId="3" fontId="50" fillId="0" borderId="20" xfId="0" applyNumberFormat="1" applyFont="1" applyBorder="1" applyAlignment="1">
      <alignment horizontal="right" vertical="center"/>
    </xf>
    <xf numFmtId="3" fontId="18" fillId="0" borderId="0" xfId="22" applyNumberFormat="1" applyFont="1" applyAlignment="1">
      <alignment horizontal="center" wrapText="1"/>
    </xf>
    <xf numFmtId="3" fontId="18" fillId="0" borderId="0" xfId="22" applyNumberFormat="1" applyFont="1" applyBorder="1" applyAlignment="1">
      <alignment horizontal="center"/>
    </xf>
    <xf numFmtId="3" fontId="18" fillId="0" borderId="19" xfId="22" applyNumberFormat="1" applyFont="1" applyBorder="1" applyAlignment="1">
      <alignment horizontal="center" vertical="center" wrapText="1"/>
    </xf>
    <xf numFmtId="3" fontId="10" fillId="0" borderId="215" xfId="22" applyNumberFormat="1" applyFont="1" applyBorder="1" applyAlignment="1">
      <alignment horizontal="center" vertical="center" wrapText="1"/>
    </xf>
    <xf numFmtId="3" fontId="10" fillId="0" borderId="125" xfId="22" applyNumberFormat="1" applyFont="1" applyBorder="1" applyAlignment="1">
      <alignment horizontal="center" vertical="center" wrapText="1"/>
    </xf>
    <xf numFmtId="3" fontId="18" fillId="0" borderId="0" xfId="22" applyNumberFormat="1" applyFont="1" applyBorder="1" applyAlignment="1">
      <alignment horizontal="center" vertical="center" wrapText="1"/>
    </xf>
    <xf numFmtId="3" fontId="10" fillId="0" borderId="4" xfId="22" applyNumberFormat="1" applyFont="1" applyBorder="1" applyAlignment="1">
      <alignment horizontal="center" wrapText="1"/>
    </xf>
    <xf numFmtId="3" fontId="34" fillId="0" borderId="79" xfId="22" applyNumberFormat="1" applyFont="1" applyBorder="1" applyAlignment="1">
      <alignment horizontal="left"/>
    </xf>
    <xf numFmtId="3" fontId="10" fillId="0" borderId="51" xfId="22" applyNumberFormat="1" applyFont="1" applyBorder="1" applyAlignment="1">
      <alignment horizontal="center" wrapText="1"/>
    </xf>
    <xf numFmtId="14" fontId="10" fillId="0" borderId="179" xfId="22" applyNumberFormat="1" applyFont="1" applyBorder="1" applyAlignment="1">
      <alignment horizontal="center" vertical="center" wrapText="1"/>
    </xf>
    <xf numFmtId="3" fontId="10" fillId="0" borderId="0" xfId="22" applyNumberFormat="1" applyFont="1" applyBorder="1" applyAlignment="1">
      <alignment horizontal="center" vertical="center" wrapText="1"/>
    </xf>
    <xf numFmtId="3" fontId="10" fillId="0" borderId="218" xfId="22" applyNumberFormat="1" applyFont="1" applyBorder="1" applyAlignment="1">
      <alignment horizontal="center" vertical="center" wrapText="1"/>
    </xf>
    <xf numFmtId="3" fontId="10" fillId="0" borderId="130" xfId="22" applyNumberFormat="1" applyFont="1" applyBorder="1" applyAlignment="1">
      <alignment horizontal="center" vertical="center" wrapText="1"/>
    </xf>
    <xf numFmtId="0" fontId="10" fillId="0" borderId="119" xfId="22" applyNumberFormat="1" applyFont="1" applyBorder="1" applyAlignment="1">
      <alignment horizontal="center" vertical="center" wrapText="1"/>
    </xf>
    <xf numFmtId="3" fontId="10" fillId="0" borderId="188" xfId="22" applyNumberFormat="1" applyFont="1" applyBorder="1" applyAlignment="1">
      <alignment horizontal="center" vertical="center" wrapText="1"/>
    </xf>
    <xf numFmtId="3" fontId="10" fillId="0" borderId="119" xfId="22" applyNumberFormat="1" applyFont="1" applyBorder="1" applyAlignment="1">
      <alignment horizontal="center" vertical="center" wrapText="1"/>
    </xf>
    <xf numFmtId="3" fontId="10" fillId="0" borderId="137" xfId="22" applyNumberFormat="1" applyFont="1" applyBorder="1" applyAlignment="1">
      <alignment horizontal="center" vertical="center" wrapText="1"/>
    </xf>
    <xf numFmtId="3" fontId="18" fillId="0" borderId="0" xfId="22" applyNumberFormat="1" applyFont="1" applyAlignment="1">
      <alignment horizontal="center" vertical="center" wrapText="1"/>
    </xf>
    <xf numFmtId="3" fontId="10" fillId="0" borderId="16" xfId="22" applyNumberFormat="1" applyFont="1" applyBorder="1" applyAlignment="1">
      <alignment horizontal="center" vertical="center" wrapText="1"/>
    </xf>
    <xf numFmtId="3" fontId="10" fillId="0" borderId="24" xfId="22" applyNumberFormat="1" applyFont="1" applyBorder="1" applyAlignment="1">
      <alignment horizontal="center" vertical="top" wrapText="1"/>
    </xf>
    <xf numFmtId="3" fontId="10" fillId="0" borderId="17" xfId="22" applyNumberFormat="1" applyFont="1" applyBorder="1" applyAlignment="1">
      <alignment horizontal="left" vertical="center" wrapText="1"/>
    </xf>
    <xf numFmtId="14" fontId="10" fillId="0" borderId="187" xfId="22" applyNumberFormat="1" applyFont="1" applyBorder="1" applyAlignment="1">
      <alignment horizontal="center" vertical="center" wrapText="1"/>
    </xf>
    <xf numFmtId="3" fontId="10" fillId="0" borderId="57" xfId="22" applyNumberFormat="1" applyFont="1" applyBorder="1" applyAlignment="1">
      <alignment horizontal="right" vertical="center" wrapText="1"/>
    </xf>
    <xf numFmtId="3" fontId="10" fillId="0" borderId="115" xfId="22" applyNumberFormat="1" applyFont="1" applyBorder="1" applyAlignment="1">
      <alignment horizontal="right" vertical="center" wrapText="1"/>
    </xf>
    <xf numFmtId="3" fontId="10" fillId="0" borderId="17" xfId="22" applyNumberFormat="1" applyFont="1" applyBorder="1" applyAlignment="1">
      <alignment horizontal="right" vertical="center" wrapText="1"/>
    </xf>
    <xf numFmtId="3" fontId="10" fillId="0" borderId="187" xfId="22" applyNumberFormat="1" applyFont="1" applyBorder="1" applyAlignment="1">
      <alignment horizontal="right" vertical="center" wrapText="1"/>
    </xf>
    <xf numFmtId="3" fontId="10" fillId="0" borderId="18" xfId="22" applyNumberFormat="1" applyFont="1" applyFill="1" applyBorder="1" applyAlignment="1">
      <alignment horizontal="right" vertical="center" wrapText="1"/>
    </xf>
    <xf numFmtId="3" fontId="10" fillId="0" borderId="17" xfId="22" applyNumberFormat="1" applyFont="1" applyBorder="1" applyAlignment="1">
      <alignment horizontal="center" vertical="top" wrapText="1"/>
    </xf>
    <xf numFmtId="3" fontId="10" fillId="0" borderId="17" xfId="22" applyNumberFormat="1" applyFont="1" applyFill="1" applyBorder="1" applyAlignment="1">
      <alignment horizontal="left" vertical="center" wrapText="1"/>
    </xf>
    <xf numFmtId="3" fontId="10" fillId="0" borderId="78" xfId="22" applyNumberFormat="1" applyFont="1" applyBorder="1" applyAlignment="1">
      <alignment horizontal="right" vertical="center" wrapText="1"/>
    </xf>
    <xf numFmtId="3" fontId="10" fillId="0" borderId="80" xfId="22" applyNumberFormat="1" applyFont="1" applyBorder="1" applyAlignment="1">
      <alignment horizontal="right" vertical="center" wrapText="1"/>
    </xf>
    <xf numFmtId="3" fontId="10" fillId="0" borderId="57" xfId="22" applyNumberFormat="1" applyFont="1" applyFill="1" applyBorder="1" applyAlignment="1">
      <alignment horizontal="right" vertical="center" wrapText="1"/>
    </xf>
    <xf numFmtId="3" fontId="10" fillId="0" borderId="17" xfId="22" applyNumberFormat="1" applyFont="1" applyFill="1" applyBorder="1" applyAlignment="1">
      <alignment horizontal="right" vertical="center" wrapText="1"/>
    </xf>
    <xf numFmtId="3" fontId="10" fillId="0" borderId="17" xfId="22" applyNumberFormat="1" applyFont="1" applyBorder="1" applyAlignment="1">
      <alignment horizontal="center" vertical="center" wrapText="1"/>
    </xf>
    <xf numFmtId="0" fontId="10" fillId="0" borderId="51" xfId="0" applyFont="1" applyFill="1" applyBorder="1" applyAlignment="1">
      <alignment vertical="center" wrapText="1"/>
    </xf>
    <xf numFmtId="3" fontId="10" fillId="0" borderId="78" xfId="22" applyNumberFormat="1" applyFont="1" applyFill="1" applyBorder="1" applyAlignment="1">
      <alignment horizontal="right" vertical="center" wrapText="1"/>
    </xf>
    <xf numFmtId="3" fontId="10" fillId="0" borderId="80" xfId="22" applyNumberFormat="1" applyFont="1" applyFill="1" applyBorder="1" applyAlignment="1">
      <alignment horizontal="right" vertical="center" wrapText="1"/>
    </xf>
    <xf numFmtId="0" fontId="10" fillId="0" borderId="17" xfId="0" applyFont="1" applyFill="1" applyBorder="1" applyAlignment="1">
      <alignment wrapText="1"/>
    </xf>
    <xf numFmtId="3" fontId="10" fillId="0" borderId="79" xfId="22" applyNumberFormat="1" applyFont="1" applyBorder="1" applyAlignment="1">
      <alignment horizontal="center" vertical="center" wrapText="1"/>
    </xf>
    <xf numFmtId="0" fontId="10" fillId="0" borderId="51" xfId="22" applyNumberFormat="1" applyFont="1" applyBorder="1" applyAlignment="1">
      <alignment horizontal="center" vertical="center" wrapText="1"/>
    </xf>
    <xf numFmtId="3" fontId="10" fillId="0" borderId="219" xfId="22" applyNumberFormat="1" applyFont="1" applyBorder="1" applyAlignment="1">
      <alignment horizontal="center" vertical="center" wrapText="1"/>
    </xf>
    <xf numFmtId="3" fontId="10" fillId="0" borderId="220" xfId="22" applyNumberFormat="1" applyFont="1" applyBorder="1" applyAlignment="1">
      <alignment horizontal="center" vertical="center" wrapText="1"/>
    </xf>
    <xf numFmtId="3" fontId="10" fillId="0" borderId="51" xfId="22" applyNumberFormat="1" applyFont="1" applyBorder="1" applyAlignment="1">
      <alignment horizontal="center" vertical="center" wrapText="1"/>
    </xf>
    <xf numFmtId="3" fontId="10" fillId="0" borderId="52" xfId="22" applyNumberFormat="1" applyFont="1" applyFill="1" applyBorder="1" applyAlignment="1">
      <alignment horizontal="center" vertical="center" wrapText="1"/>
    </xf>
    <xf numFmtId="3" fontId="10" fillId="0" borderId="48" xfId="22" applyNumberFormat="1" applyFont="1" applyBorder="1" applyAlignment="1">
      <alignment horizontal="center" vertical="top" wrapText="1"/>
    </xf>
    <xf numFmtId="3" fontId="10" fillId="0" borderId="48" xfId="22" applyNumberFormat="1" applyFont="1" applyBorder="1" applyAlignment="1">
      <alignment horizontal="left" vertical="center" wrapText="1"/>
    </xf>
    <xf numFmtId="14" fontId="10" fillId="0" borderId="221" xfId="22" applyNumberFormat="1" applyFont="1" applyBorder="1" applyAlignment="1">
      <alignment horizontal="center" vertical="center" wrapText="1"/>
    </xf>
    <xf numFmtId="3" fontId="10" fillId="0" borderId="61" xfId="22" applyNumberFormat="1" applyFont="1" applyBorder="1" applyAlignment="1">
      <alignment horizontal="right" vertical="center" wrapText="1"/>
    </xf>
    <xf numFmtId="3" fontId="10" fillId="0" borderId="116" xfId="22" applyNumberFormat="1" applyFont="1" applyBorder="1" applyAlignment="1">
      <alignment horizontal="right" vertical="center" wrapText="1"/>
    </xf>
    <xf numFmtId="3" fontId="10" fillId="0" borderId="18" xfId="22" applyNumberFormat="1" applyFont="1" applyBorder="1" applyAlignment="1">
      <alignment horizontal="right" vertical="center" wrapText="1"/>
    </xf>
    <xf numFmtId="3" fontId="12" fillId="0" borderId="177" xfId="22" applyNumberFormat="1" applyFont="1" applyBorder="1" applyAlignment="1">
      <alignment horizontal="right" vertical="center"/>
    </xf>
    <xf numFmtId="3" fontId="12" fillId="0" borderId="131" xfId="22" applyNumberFormat="1" applyFont="1" applyBorder="1" applyAlignment="1">
      <alignment horizontal="right" vertical="center"/>
    </xf>
    <xf numFmtId="3" fontId="12" fillId="0" borderId="53" xfId="22" applyNumberFormat="1" applyFont="1" applyBorder="1" applyAlignment="1">
      <alignment horizontal="right" vertical="center"/>
    </xf>
    <xf numFmtId="3" fontId="12" fillId="0" borderId="189" xfId="22" applyNumberFormat="1" applyFont="1" applyBorder="1" applyAlignment="1">
      <alignment horizontal="right" vertical="center"/>
    </xf>
    <xf numFmtId="3" fontId="12" fillId="0" borderId="29" xfId="22" applyNumberFormat="1" applyFont="1" applyBorder="1" applyAlignment="1">
      <alignment horizontal="right" vertical="center"/>
    </xf>
    <xf numFmtId="3" fontId="20" fillId="0" borderId="23" xfId="28" applyNumberFormat="1" applyFont="1" applyFill="1" applyBorder="1" applyAlignment="1"/>
    <xf numFmtId="3" fontId="20" fillId="0" borderId="16" xfId="0" applyNumberFormat="1" applyFont="1" applyFill="1" applyBorder="1" applyAlignment="1">
      <alignment horizontal="center"/>
    </xf>
    <xf numFmtId="3" fontId="20" fillId="0" borderId="17" xfId="0" applyNumberFormat="1" applyFont="1" applyFill="1" applyBorder="1" applyAlignment="1">
      <alignment horizontal="center"/>
    </xf>
    <xf numFmtId="3" fontId="20" fillId="0" borderId="17" xfId="28" applyNumberFormat="1" applyFont="1" applyFill="1" applyBorder="1" applyAlignment="1">
      <alignment horizontal="center"/>
    </xf>
    <xf numFmtId="3" fontId="20" fillId="0" borderId="18" xfId="0" applyNumberFormat="1" applyFont="1" applyFill="1" applyBorder="1" applyAlignment="1"/>
    <xf numFmtId="3" fontId="24" fillId="0" borderId="0" xfId="0" applyNumberFormat="1" applyFont="1" applyFill="1" applyAlignment="1">
      <alignment horizontal="right"/>
    </xf>
    <xf numFmtId="3" fontId="24" fillId="0" borderId="0" xfId="0" applyNumberFormat="1" applyFont="1" applyFill="1" applyAlignment="1"/>
    <xf numFmtId="3" fontId="40" fillId="0" borderId="16" xfId="0" applyNumberFormat="1" applyFont="1" applyFill="1" applyBorder="1" applyAlignment="1">
      <alignment horizontal="center" vertical="center"/>
    </xf>
    <xf numFmtId="3" fontId="40" fillId="0" borderId="17" xfId="0" applyNumberFormat="1" applyFont="1" applyFill="1" applyBorder="1" applyAlignment="1">
      <alignment horizontal="center"/>
    </xf>
    <xf numFmtId="3" fontId="40" fillId="0" borderId="115" xfId="0" applyNumberFormat="1" applyFont="1" applyFill="1" applyBorder="1" applyAlignment="1">
      <alignment horizontal="center" vertical="center"/>
    </xf>
    <xf numFmtId="3" fontId="40" fillId="0" borderId="23" xfId="28" applyNumberFormat="1" applyFont="1" applyFill="1" applyBorder="1" applyAlignment="1">
      <alignment horizontal="left" indent="1"/>
    </xf>
    <xf numFmtId="3" fontId="40" fillId="0" borderId="57" xfId="0" applyNumberFormat="1" applyFont="1" applyFill="1" applyBorder="1" applyAlignment="1"/>
    <xf numFmtId="3" fontId="40" fillId="0" borderId="17" xfId="0" applyNumberFormat="1" applyFont="1" applyFill="1" applyBorder="1" applyAlignment="1">
      <alignment horizontal="right"/>
    </xf>
    <xf numFmtId="3" fontId="40" fillId="0" borderId="18" xfId="0" applyNumberFormat="1" applyFont="1" applyFill="1" applyBorder="1" applyAlignment="1">
      <alignment horizontal="right"/>
    </xf>
    <xf numFmtId="3" fontId="40" fillId="0" borderId="0" xfId="0" applyNumberFormat="1" applyFont="1" applyFill="1" applyAlignment="1">
      <alignment horizontal="right"/>
    </xf>
    <xf numFmtId="3" fontId="40" fillId="0" borderId="0" xfId="0" applyNumberFormat="1" applyFont="1" applyFill="1" applyAlignment="1"/>
    <xf numFmtId="3" fontId="39" fillId="0" borderId="115" xfId="18" applyNumberFormat="1" applyFont="1" applyFill="1" applyBorder="1" applyAlignment="1">
      <alignment horizontal="right"/>
    </xf>
    <xf numFmtId="3" fontId="39" fillId="0" borderId="17" xfId="0" applyNumberFormat="1" applyFont="1" applyFill="1" applyBorder="1" applyAlignment="1">
      <alignment horizontal="right" wrapText="1"/>
    </xf>
    <xf numFmtId="3" fontId="39" fillId="0" borderId="18" xfId="0" applyNumberFormat="1" applyFont="1" applyFill="1" applyBorder="1" applyAlignment="1">
      <alignment horizontal="right" wrapText="1"/>
    </xf>
    <xf numFmtId="3" fontId="40" fillId="0" borderId="115" xfId="18" applyNumberFormat="1" applyFont="1" applyFill="1" applyBorder="1" applyAlignment="1">
      <alignment horizontal="right"/>
    </xf>
    <xf numFmtId="3" fontId="39" fillId="0" borderId="17" xfId="0" applyNumberFormat="1" applyFont="1" applyFill="1" applyBorder="1" applyAlignment="1">
      <alignment horizontal="right" vertical="center" wrapText="1"/>
    </xf>
    <xf numFmtId="3" fontId="39" fillId="0" borderId="16" xfId="18" applyNumberFormat="1" applyFont="1" applyFill="1" applyBorder="1" applyAlignment="1">
      <alignment horizontal="center" vertical="center"/>
    </xf>
    <xf numFmtId="3" fontId="39" fillId="0" borderId="17" xfId="18" applyNumberFormat="1" applyFont="1" applyFill="1" applyBorder="1" applyAlignment="1">
      <alignment horizontal="center" vertical="center"/>
    </xf>
    <xf numFmtId="3" fontId="39" fillId="0" borderId="24" xfId="18" applyNumberFormat="1" applyFont="1" applyFill="1" applyBorder="1" applyAlignment="1">
      <alignment wrapText="1"/>
    </xf>
    <xf numFmtId="3" fontId="39" fillId="0" borderId="17" xfId="18" applyNumberFormat="1" applyFont="1" applyFill="1" applyBorder="1" applyAlignment="1">
      <alignment horizontal="right"/>
    </xf>
    <xf numFmtId="3" fontId="39" fillId="0" borderId="57" xfId="18" applyNumberFormat="1" applyFont="1" applyFill="1" applyBorder="1" applyAlignment="1">
      <alignment horizontal="center"/>
    </xf>
    <xf numFmtId="3" fontId="43" fillId="0" borderId="0" xfId="18" applyNumberFormat="1" applyFont="1" applyFill="1" applyAlignment="1">
      <alignment horizontal="center" vertical="center"/>
    </xf>
    <xf numFmtId="3" fontId="39" fillId="0" borderId="27" xfId="18" applyNumberFormat="1" applyFont="1" applyFill="1" applyBorder="1" applyAlignment="1">
      <alignment horizontal="center"/>
    </xf>
    <xf numFmtId="3" fontId="39" fillId="0" borderId="24" xfId="18" applyNumberFormat="1" applyFont="1" applyFill="1" applyBorder="1" applyAlignment="1">
      <alignment horizontal="right"/>
    </xf>
    <xf numFmtId="3" fontId="39" fillId="0" borderId="78" xfId="18" applyNumberFormat="1" applyFont="1" applyFill="1" applyBorder="1" applyAlignment="1">
      <alignment horizontal="center"/>
    </xf>
    <xf numFmtId="3" fontId="39" fillId="0" borderId="24" xfId="0" applyNumberFormat="1" applyFont="1" applyFill="1" applyBorder="1" applyAlignment="1">
      <alignment horizontal="right" wrapText="1"/>
    </xf>
    <xf numFmtId="3" fontId="39" fillId="0" borderId="25" xfId="0" applyNumberFormat="1" applyFont="1" applyFill="1" applyBorder="1" applyAlignment="1">
      <alignment horizontal="right" wrapText="1"/>
    </xf>
    <xf numFmtId="3" fontId="43" fillId="0" borderId="0" xfId="18" applyNumberFormat="1" applyFont="1" applyFill="1" applyAlignment="1">
      <alignment horizontal="center"/>
    </xf>
    <xf numFmtId="3" fontId="40" fillId="0" borderId="16" xfId="18" applyNumberFormat="1" applyFont="1" applyFill="1" applyBorder="1" applyAlignment="1">
      <alignment horizontal="center" vertical="center"/>
    </xf>
    <xf numFmtId="3" fontId="40" fillId="0" borderId="24" xfId="18" applyNumberFormat="1" applyFont="1" applyFill="1" applyBorder="1" applyAlignment="1">
      <alignment horizontal="left" wrapText="1" indent="4"/>
    </xf>
    <xf numFmtId="3" fontId="40" fillId="0" borderId="17" xfId="18" applyNumberFormat="1" applyFont="1" applyFill="1" applyBorder="1" applyAlignment="1">
      <alignment horizontal="right"/>
    </xf>
    <xf numFmtId="3" fontId="40" fillId="0" borderId="57" xfId="18" applyNumberFormat="1" applyFont="1" applyFill="1" applyBorder="1" applyAlignment="1">
      <alignment horizontal="center"/>
    </xf>
    <xf numFmtId="3" fontId="40" fillId="0" borderId="17" xfId="0" applyNumberFormat="1" applyFont="1" applyFill="1" applyBorder="1" applyAlignment="1">
      <alignment horizontal="right" wrapText="1"/>
    </xf>
    <xf numFmtId="3" fontId="40" fillId="0" borderId="18" xfId="0" applyNumberFormat="1" applyFont="1" applyFill="1" applyBorder="1" applyAlignment="1">
      <alignment horizontal="right" wrapText="1"/>
    </xf>
    <xf numFmtId="3" fontId="52" fillId="0" borderId="0" xfId="18" applyNumberFormat="1" applyFont="1" applyFill="1" applyAlignment="1">
      <alignment horizontal="center" vertical="center"/>
    </xf>
    <xf numFmtId="3" fontId="52" fillId="0" borderId="0" xfId="18" applyNumberFormat="1" applyFont="1" applyFill="1" applyBorder="1" applyAlignment="1">
      <alignment horizontal="center" vertical="center"/>
    </xf>
    <xf numFmtId="3" fontId="52" fillId="0" borderId="17" xfId="18" applyNumberFormat="1" applyFont="1" applyFill="1" applyBorder="1" applyAlignment="1">
      <alignment horizontal="center" vertical="center"/>
    </xf>
    <xf numFmtId="3" fontId="40" fillId="0" borderId="24" xfId="18" applyNumberFormat="1" applyFont="1" applyFill="1" applyBorder="1" applyAlignment="1">
      <alignment horizontal="left" vertical="top" wrapText="1" indent="4"/>
    </xf>
    <xf numFmtId="3" fontId="39" fillId="0" borderId="27" xfId="18" applyNumberFormat="1" applyFont="1" applyFill="1" applyBorder="1" applyAlignment="1">
      <alignment horizontal="center" vertical="center"/>
    </xf>
    <xf numFmtId="3" fontId="40" fillId="0" borderId="0" xfId="18" applyNumberFormat="1" applyFont="1" applyFill="1" applyAlignment="1">
      <alignment horizontal="center" vertical="center"/>
    </xf>
    <xf numFmtId="3" fontId="39" fillId="0" borderId="0" xfId="18" applyNumberFormat="1" applyFont="1" applyFill="1" applyAlignment="1">
      <alignment horizontal="center" vertical="center"/>
    </xf>
    <xf numFmtId="3" fontId="39" fillId="0" borderId="24" xfId="18" applyNumberFormat="1" applyFont="1" applyFill="1" applyBorder="1" applyAlignment="1">
      <alignment horizontal="left" wrapText="1" indent="2"/>
    </xf>
    <xf numFmtId="3" fontId="40" fillId="0" borderId="27" xfId="18" applyNumberFormat="1" applyFont="1" applyFill="1" applyBorder="1" applyAlignment="1">
      <alignment horizontal="center" vertical="center"/>
    </xf>
    <xf numFmtId="3" fontId="40" fillId="0" borderId="24" xfId="18" applyNumberFormat="1" applyFont="1" applyFill="1" applyBorder="1" applyAlignment="1">
      <alignment horizontal="right"/>
    </xf>
    <xf numFmtId="3" fontId="40" fillId="0" borderId="24" xfId="0" applyNumberFormat="1" applyFont="1" applyFill="1" applyBorder="1" applyAlignment="1">
      <alignment horizontal="right" wrapText="1"/>
    </xf>
    <xf numFmtId="3" fontId="40" fillId="0" borderId="25" xfId="0" applyNumberFormat="1" applyFont="1" applyFill="1" applyBorder="1" applyAlignment="1">
      <alignment horizontal="right" wrapText="1"/>
    </xf>
    <xf numFmtId="3" fontId="40" fillId="0" borderId="78" xfId="18" applyNumberFormat="1" applyFont="1" applyFill="1" applyBorder="1" applyAlignment="1">
      <alignment horizontal="center"/>
    </xf>
    <xf numFmtId="3" fontId="40" fillId="0" borderId="27" xfId="18" applyNumberFormat="1" applyFont="1" applyFill="1" applyBorder="1" applyAlignment="1">
      <alignment horizontal="center"/>
    </xf>
    <xf numFmtId="3" fontId="39" fillId="0" borderId="17" xfId="18" applyNumberFormat="1" applyFont="1" applyFill="1" applyBorder="1" applyAlignment="1">
      <alignment horizontal="center"/>
    </xf>
    <xf numFmtId="3" fontId="39" fillId="0" borderId="17" xfId="18" applyNumberFormat="1" applyFont="1" applyFill="1" applyBorder="1" applyAlignment="1">
      <alignment wrapText="1"/>
    </xf>
    <xf numFmtId="3" fontId="39" fillId="0" borderId="18" xfId="0" applyNumberFormat="1" applyFont="1" applyFill="1" applyBorder="1" applyAlignment="1">
      <alignment horizontal="right" vertical="center" wrapText="1"/>
    </xf>
    <xf numFmtId="3" fontId="39" fillId="0" borderId="108" xfId="18" applyNumberFormat="1" applyFont="1" applyFill="1" applyBorder="1" applyAlignment="1">
      <alignment horizontal="center" vertical="center"/>
    </xf>
    <xf numFmtId="3" fontId="39" fillId="0" borderId="109" xfId="18" applyNumberFormat="1" applyFont="1" applyFill="1" applyBorder="1" applyAlignment="1">
      <alignment horizontal="center"/>
    </xf>
    <xf numFmtId="3" fontId="39" fillId="0" borderId="132" xfId="18" applyNumberFormat="1" applyFont="1" applyFill="1" applyBorder="1" applyAlignment="1">
      <alignment horizontal="center"/>
    </xf>
    <xf numFmtId="3" fontId="39" fillId="0" borderId="133" xfId="18" applyNumberFormat="1" applyFont="1" applyFill="1" applyBorder="1" applyAlignment="1">
      <alignment horizontal="right"/>
    </xf>
    <xf numFmtId="3" fontId="39" fillId="0" borderId="109" xfId="0" applyNumberFormat="1" applyFont="1" applyFill="1" applyBorder="1" applyAlignment="1">
      <alignment horizontal="right" vertical="center" wrapText="1"/>
    </xf>
    <xf numFmtId="3" fontId="39" fillId="0" borderId="135" xfId="0" applyNumberFormat="1" applyFont="1" applyFill="1" applyBorder="1" applyAlignment="1">
      <alignment horizontal="right" vertical="center" wrapText="1"/>
    </xf>
    <xf numFmtId="3" fontId="43" fillId="0" borderId="0" xfId="18" applyNumberFormat="1" applyFont="1" applyFill="1" applyAlignment="1"/>
    <xf numFmtId="3" fontId="39" fillId="0" borderId="47" xfId="18" applyNumberFormat="1" applyFont="1" applyFill="1" applyBorder="1" applyAlignment="1">
      <alignment horizontal="center" vertical="center"/>
    </xf>
    <xf numFmtId="3" fontId="39" fillId="0" borderId="48" xfId="18" applyNumberFormat="1" applyFont="1" applyFill="1" applyBorder="1" applyAlignment="1">
      <alignment horizontal="center" vertical="center"/>
    </xf>
    <xf numFmtId="3" fontId="39" fillId="0" borderId="61" xfId="18" applyNumberFormat="1" applyFont="1" applyFill="1" applyBorder="1" applyAlignment="1">
      <alignment horizontal="center"/>
    </xf>
    <xf numFmtId="3" fontId="53" fillId="0" borderId="0" xfId="18" applyNumberFormat="1" applyFont="1" applyFill="1" applyAlignment="1">
      <alignment horizontal="center" vertical="center"/>
    </xf>
    <xf numFmtId="3" fontId="53" fillId="0" borderId="0" xfId="18" applyNumberFormat="1" applyFont="1" applyFill="1" applyBorder="1"/>
    <xf numFmtId="14" fontId="10" fillId="0" borderId="187" xfId="22" applyNumberFormat="1" applyFont="1" applyFill="1" applyBorder="1" applyAlignment="1">
      <alignment horizontal="center" vertical="center" wrapText="1"/>
    </xf>
    <xf numFmtId="3" fontId="20" fillId="0" borderId="16" xfId="0" applyNumberFormat="1" applyFont="1" applyFill="1" applyBorder="1" applyAlignment="1">
      <alignment horizontal="center" vertical="top"/>
    </xf>
    <xf numFmtId="3" fontId="20" fillId="0" borderId="115" xfId="0" applyNumberFormat="1" applyFont="1" applyFill="1" applyBorder="1" applyAlignment="1">
      <alignment horizontal="center"/>
    </xf>
    <xf numFmtId="3" fontId="24" fillId="0" borderId="17" xfId="28" applyNumberFormat="1" applyFont="1" applyFill="1" applyBorder="1" applyAlignment="1">
      <alignment horizontal="left"/>
    </xf>
    <xf numFmtId="3" fontId="20" fillId="0" borderId="17" xfId="28" applyNumberFormat="1" applyFont="1" applyFill="1" applyBorder="1" applyAlignment="1">
      <alignment horizontal="left"/>
    </xf>
    <xf numFmtId="3" fontId="20" fillId="0" borderId="17" xfId="28" applyNumberFormat="1" applyFont="1" applyFill="1" applyBorder="1" applyAlignment="1">
      <alignment horizontal="center" vertical="top" wrapText="1"/>
    </xf>
    <xf numFmtId="3" fontId="40" fillId="0" borderId="17" xfId="28" applyNumberFormat="1" applyFont="1" applyFill="1" applyBorder="1" applyAlignment="1">
      <alignment horizontal="left" indent="1"/>
    </xf>
    <xf numFmtId="3" fontId="40" fillId="0" borderId="17" xfId="28" applyNumberFormat="1" applyFont="1" applyFill="1" applyBorder="1" applyAlignment="1">
      <alignment horizontal="center" vertical="center"/>
    </xf>
    <xf numFmtId="0" fontId="10" fillId="0" borderId="17" xfId="21" applyFont="1" applyFill="1" applyBorder="1" applyAlignment="1">
      <alignment horizontal="left" wrapText="1"/>
    </xf>
    <xf numFmtId="3" fontId="10" fillId="0" borderId="36" xfId="22" applyNumberFormat="1" applyFont="1" applyFill="1" applyBorder="1" applyAlignment="1">
      <alignment horizontal="left" wrapText="1"/>
    </xf>
    <xf numFmtId="16" fontId="10" fillId="0" borderId="42" xfId="23" applyNumberFormat="1" applyFont="1" applyFill="1" applyBorder="1" applyAlignment="1">
      <alignment vertical="center"/>
    </xf>
    <xf numFmtId="0" fontId="10" fillId="0" borderId="50" xfId="23" applyFont="1" applyFill="1" applyBorder="1" applyAlignment="1">
      <alignment vertical="center" wrapText="1"/>
    </xf>
    <xf numFmtId="0" fontId="12" fillId="0" borderId="0" xfId="31" applyFont="1" applyFill="1" applyBorder="1" applyAlignment="1">
      <alignment horizontal="center" vertical="center"/>
    </xf>
    <xf numFmtId="0" fontId="13" fillId="0" borderId="0" xfId="31" applyFont="1" applyFill="1" applyBorder="1" applyAlignment="1">
      <alignment horizontal="center" vertical="center"/>
    </xf>
    <xf numFmtId="0" fontId="10" fillId="0" borderId="0" xfId="46" applyFont="1" applyFill="1" applyBorder="1" applyAlignment="1">
      <alignment horizontal="center"/>
    </xf>
    <xf numFmtId="0" fontId="10" fillId="0" borderId="0" xfId="46" applyFont="1" applyFill="1" applyBorder="1" applyAlignment="1"/>
    <xf numFmtId="0" fontId="12" fillId="0" borderId="0" xfId="23" applyFont="1" applyFill="1" applyBorder="1" applyAlignment="1">
      <alignment horizontal="center" vertical="center"/>
    </xf>
    <xf numFmtId="0" fontId="10" fillId="0" borderId="0" xfId="23" applyFont="1" applyFill="1" applyBorder="1" applyAlignment="1">
      <alignment horizontal="center" vertical="center" wrapText="1"/>
    </xf>
    <xf numFmtId="0" fontId="10" fillId="0" borderId="17" xfId="21" applyFont="1" applyFill="1" applyBorder="1" applyAlignment="1">
      <alignment horizontal="left" shrinkToFit="1"/>
    </xf>
    <xf numFmtId="0" fontId="10" fillId="0" borderId="36" xfId="21" applyFont="1" applyFill="1" applyBorder="1" applyAlignment="1">
      <alignment shrinkToFit="1"/>
    </xf>
    <xf numFmtId="0" fontId="10" fillId="0" borderId="17" xfId="31" applyFont="1" applyFill="1" applyBorder="1" applyAlignment="1">
      <alignment horizontal="center" vertical="center"/>
    </xf>
    <xf numFmtId="0" fontId="12" fillId="0" borderId="12" xfId="23" applyFont="1" applyFill="1" applyBorder="1" applyAlignment="1">
      <alignment horizontal="center" vertical="center" wrapText="1"/>
    </xf>
    <xf numFmtId="3" fontId="10" fillId="0" borderId="44" xfId="0" applyNumberFormat="1" applyFont="1" applyBorder="1" applyAlignment="1">
      <alignment horizontal="right" vertical="center" wrapText="1"/>
    </xf>
    <xf numFmtId="3" fontId="10" fillId="0" borderId="46" xfId="0" applyNumberFormat="1" applyFont="1" applyBorder="1" applyAlignment="1">
      <alignment horizontal="right" vertical="center" wrapText="1"/>
    </xf>
    <xf numFmtId="3" fontId="12" fillId="0" borderId="29" xfId="23" applyNumberFormat="1" applyFont="1" applyFill="1" applyBorder="1" applyAlignment="1">
      <alignment horizontal="right" vertical="center"/>
    </xf>
    <xf numFmtId="3" fontId="12" fillId="0" borderId="18" xfId="30" applyNumberFormat="1" applyFont="1" applyFill="1" applyBorder="1" applyAlignment="1">
      <alignment vertical="center" wrapText="1"/>
    </xf>
    <xf numFmtId="3" fontId="12" fillId="0" borderId="137" xfId="31" applyNumberFormat="1" applyFont="1" applyFill="1" applyBorder="1" applyAlignment="1">
      <alignment horizontal="right" vertical="center" wrapText="1"/>
    </xf>
    <xf numFmtId="3" fontId="12" fillId="0" borderId="29" xfId="31" applyNumberFormat="1" applyFont="1" applyFill="1" applyBorder="1" applyAlignment="1">
      <alignment horizontal="right" vertical="center" wrapText="1"/>
    </xf>
    <xf numFmtId="0" fontId="10" fillId="0" borderId="50" xfId="31" applyFont="1" applyFill="1" applyBorder="1" applyAlignment="1">
      <alignment horizontal="center" vertical="center"/>
    </xf>
    <xf numFmtId="3" fontId="10" fillId="0" borderId="58" xfId="31" applyNumberFormat="1" applyFont="1" applyFill="1" applyBorder="1" applyAlignment="1">
      <alignment horizontal="right" vertical="center" wrapText="1"/>
    </xf>
    <xf numFmtId="3" fontId="10" fillId="0" borderId="46" xfId="31" applyNumberFormat="1" applyFont="1" applyFill="1" applyBorder="1" applyAlignment="1">
      <alignment horizontal="right" vertical="center" wrapText="1"/>
    </xf>
    <xf numFmtId="0" fontId="10" fillId="0" borderId="27" xfId="31" applyFont="1" applyFill="1" applyBorder="1" applyAlignment="1">
      <alignment horizontal="center" vertical="center"/>
    </xf>
    <xf numFmtId="3" fontId="10" fillId="0" borderId="24" xfId="30" applyNumberFormat="1" applyFont="1" applyFill="1" applyBorder="1" applyAlignment="1">
      <alignment vertical="center" wrapText="1"/>
    </xf>
    <xf numFmtId="3" fontId="10" fillId="0" borderId="26" xfId="30" applyNumberFormat="1" applyFont="1" applyFill="1" applyBorder="1" applyAlignment="1">
      <alignment vertical="center"/>
    </xf>
    <xf numFmtId="3" fontId="10" fillId="0" borderId="25" xfId="30" applyNumberFormat="1" applyFont="1" applyFill="1" applyBorder="1" applyAlignment="1">
      <alignment vertical="center"/>
    </xf>
    <xf numFmtId="3" fontId="12" fillId="0" borderId="53" xfId="30" applyNumberFormat="1" applyFont="1" applyFill="1" applyBorder="1" applyAlignment="1">
      <alignment vertical="center" wrapText="1"/>
    </xf>
    <xf numFmtId="3" fontId="12" fillId="0" borderId="29" xfId="30" applyNumberFormat="1" applyFont="1" applyFill="1" applyBorder="1" applyAlignment="1">
      <alignment vertical="center" wrapText="1"/>
    </xf>
    <xf numFmtId="0" fontId="10" fillId="0" borderId="24" xfId="21" applyFont="1" applyFill="1" applyBorder="1" applyAlignment="1">
      <alignment vertical="center" wrapText="1"/>
    </xf>
    <xf numFmtId="0" fontId="13" fillId="0" borderId="17" xfId="31" applyFont="1" applyFill="1" applyBorder="1" applyAlignment="1">
      <alignment horizontal="left" vertical="center" wrapText="1" indent="3"/>
    </xf>
    <xf numFmtId="3" fontId="20" fillId="0" borderId="0" xfId="0" applyNumberFormat="1" applyFont="1" applyFill="1" applyAlignment="1">
      <alignment horizontal="right"/>
    </xf>
    <xf numFmtId="3" fontId="12" fillId="0" borderId="32" xfId="17" applyNumberFormat="1" applyFont="1" applyFill="1" applyBorder="1" applyAlignment="1">
      <alignment horizontal="center" vertical="center" wrapText="1"/>
    </xf>
    <xf numFmtId="3" fontId="12" fillId="0" borderId="19" xfId="0" applyNumberFormat="1" applyFont="1" applyFill="1" applyBorder="1" applyAlignment="1">
      <alignment horizontal="right"/>
    </xf>
    <xf numFmtId="3" fontId="10" fillId="0" borderId="19" xfId="0" applyNumberFormat="1" applyFont="1" applyFill="1" applyBorder="1" applyAlignment="1">
      <alignment horizontal="right"/>
    </xf>
    <xf numFmtId="3" fontId="12" fillId="0" borderId="181" xfId="0" applyNumberFormat="1" applyFont="1" applyFill="1" applyBorder="1" applyAlignment="1">
      <alignment horizontal="right" vertical="center"/>
    </xf>
    <xf numFmtId="3" fontId="10" fillId="0" borderId="62" xfId="0" applyNumberFormat="1" applyFont="1" applyFill="1" applyBorder="1" applyAlignment="1">
      <alignment horizontal="right"/>
    </xf>
    <xf numFmtId="3" fontId="12" fillId="0" borderId="19" xfId="0" applyNumberFormat="1" applyFont="1" applyFill="1" applyBorder="1" applyAlignment="1">
      <alignment horizontal="right" vertical="center"/>
    </xf>
    <xf numFmtId="3" fontId="12" fillId="0" borderId="225" xfId="17" applyNumberFormat="1" applyFont="1" applyFill="1" applyBorder="1" applyAlignment="1">
      <alignment horizontal="center" vertical="center" wrapText="1"/>
    </xf>
    <xf numFmtId="3" fontId="12" fillId="0" borderId="86" xfId="17" applyNumberFormat="1" applyFont="1" applyFill="1" applyBorder="1" applyAlignment="1">
      <alignment horizontal="right" wrapText="1"/>
    </xf>
    <xf numFmtId="3" fontId="12" fillId="0" borderId="89" xfId="17" applyNumberFormat="1" applyFont="1" applyFill="1" applyBorder="1" applyAlignment="1">
      <alignment horizontal="right" wrapText="1"/>
    </xf>
    <xf numFmtId="3" fontId="12" fillId="0" borderId="89" xfId="0" applyNumberFormat="1" applyFont="1" applyFill="1" applyBorder="1" applyAlignment="1">
      <alignment horizontal="right"/>
    </xf>
    <xf numFmtId="3" fontId="12" fillId="0" borderId="91" xfId="0" applyNumberFormat="1" applyFont="1" applyFill="1" applyBorder="1" applyAlignment="1">
      <alignment horizontal="right" vertical="center"/>
    </xf>
    <xf numFmtId="3" fontId="12" fillId="0" borderId="93" xfId="0" applyNumberFormat="1" applyFont="1" applyFill="1" applyBorder="1" applyAlignment="1">
      <alignment horizontal="right" vertical="center"/>
    </xf>
    <xf numFmtId="3" fontId="12" fillId="0" borderId="226" xfId="0" applyNumberFormat="1" applyFont="1" applyFill="1" applyBorder="1" applyAlignment="1">
      <alignment horizontal="right" vertical="center"/>
    </xf>
    <xf numFmtId="3" fontId="12" fillId="0" borderId="89" xfId="0" applyNumberFormat="1" applyFont="1" applyFill="1" applyBorder="1" applyAlignment="1">
      <alignment horizontal="right" vertical="center"/>
    </xf>
    <xf numFmtId="3" fontId="12" fillId="0" borderId="227" xfId="0" applyNumberFormat="1" applyFont="1" applyFill="1" applyBorder="1" applyAlignment="1">
      <alignment horizontal="right" vertical="center"/>
    </xf>
    <xf numFmtId="3" fontId="13" fillId="0" borderId="13" xfId="17" applyNumberFormat="1" applyFont="1" applyFill="1" applyBorder="1" applyAlignment="1">
      <alignment horizontal="center" vertical="center"/>
    </xf>
    <xf numFmtId="3" fontId="12" fillId="0" borderId="8" xfId="0" applyNumberFormat="1" applyFont="1" applyFill="1" applyBorder="1" applyAlignment="1">
      <alignment horizontal="right" vertical="center"/>
    </xf>
    <xf numFmtId="3" fontId="12" fillId="0" borderId="228" xfId="0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/>
    <xf numFmtId="3" fontId="12" fillId="0" borderId="0" xfId="0" applyNumberFormat="1" applyFont="1" applyFill="1" applyBorder="1" applyAlignment="1">
      <alignment horizontal="right"/>
    </xf>
    <xf numFmtId="3" fontId="12" fillId="0" borderId="34" xfId="0" applyNumberFormat="1" applyFont="1" applyFill="1" applyBorder="1" applyAlignment="1">
      <alignment horizontal="right" vertical="center"/>
    </xf>
    <xf numFmtId="3" fontId="12" fillId="0" borderId="9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horizontal="right" vertical="center"/>
    </xf>
    <xf numFmtId="3" fontId="12" fillId="0" borderId="35" xfId="0" applyNumberFormat="1" applyFont="1" applyFill="1" applyBorder="1" applyAlignment="1">
      <alignment horizontal="right" vertical="center"/>
    </xf>
    <xf numFmtId="3" fontId="25" fillId="0" borderId="11" xfId="17" applyNumberFormat="1" applyFont="1" applyFill="1" applyBorder="1" applyAlignment="1">
      <alignment horizontal="right" wrapText="1"/>
    </xf>
    <xf numFmtId="3" fontId="25" fillId="0" borderId="0" xfId="17" applyNumberFormat="1" applyFont="1" applyFill="1" applyBorder="1" applyAlignment="1">
      <alignment horizontal="right" wrapText="1"/>
    </xf>
    <xf numFmtId="3" fontId="12" fillId="0" borderId="8" xfId="17" applyNumberFormat="1" applyFont="1" applyFill="1" applyBorder="1" applyAlignment="1">
      <alignment horizontal="right" wrapText="1"/>
    </xf>
    <xf numFmtId="3" fontId="12" fillId="0" borderId="86" xfId="17" applyNumberFormat="1" applyFont="1" applyFill="1" applyBorder="1"/>
    <xf numFmtId="3" fontId="10" fillId="0" borderId="89" xfId="17" applyNumberFormat="1" applyFont="1" applyFill="1" applyBorder="1"/>
    <xf numFmtId="3" fontId="12" fillId="0" borderId="91" xfId="17" applyNumberFormat="1" applyFont="1" applyFill="1" applyBorder="1"/>
    <xf numFmtId="3" fontId="12" fillId="0" borderId="89" xfId="17" applyNumberFormat="1" applyFont="1" applyFill="1" applyBorder="1"/>
    <xf numFmtId="3" fontId="13" fillId="0" borderId="89" xfId="17" applyNumberFormat="1" applyFont="1" applyFill="1" applyBorder="1"/>
    <xf numFmtId="3" fontId="10" fillId="0" borderId="89" xfId="17" applyNumberFormat="1" applyFont="1" applyFill="1" applyBorder="1" applyAlignment="1">
      <alignment vertical="center"/>
    </xf>
    <xf numFmtId="3" fontId="12" fillId="0" borderId="89" xfId="17" applyNumberFormat="1" applyFont="1" applyFill="1" applyBorder="1" applyAlignment="1">
      <alignment vertical="center"/>
    </xf>
    <xf numFmtId="3" fontId="10" fillId="0" borderId="89" xfId="17" applyNumberFormat="1" applyFont="1" applyFill="1" applyBorder="1" applyAlignment="1"/>
    <xf numFmtId="3" fontId="12" fillId="0" borderId="225" xfId="17" applyNumberFormat="1" applyFont="1" applyFill="1" applyBorder="1" applyAlignment="1">
      <alignment vertical="center"/>
    </xf>
    <xf numFmtId="3" fontId="10" fillId="0" borderId="89" xfId="17" applyNumberFormat="1" applyFont="1" applyFill="1" applyBorder="1" applyAlignment="1">
      <alignment vertical="top"/>
    </xf>
    <xf numFmtId="3" fontId="12" fillId="0" borderId="180" xfId="17" applyNumberFormat="1" applyFont="1" applyFill="1" applyBorder="1"/>
    <xf numFmtId="3" fontId="10" fillId="0" borderId="19" xfId="17" applyNumberFormat="1" applyFont="1" applyFill="1" applyBorder="1"/>
    <xf numFmtId="3" fontId="12" fillId="0" borderId="181" xfId="17" applyNumberFormat="1" applyFont="1" applyFill="1" applyBorder="1"/>
    <xf numFmtId="3" fontId="12" fillId="0" borderId="19" xfId="17" applyNumberFormat="1" applyFont="1" applyFill="1" applyBorder="1"/>
    <xf numFmtId="3" fontId="13" fillId="0" borderId="19" xfId="17" applyNumberFormat="1" applyFont="1" applyFill="1" applyBorder="1"/>
    <xf numFmtId="3" fontId="12" fillId="0" borderId="32" xfId="17" applyNumberFormat="1" applyFont="1" applyFill="1" applyBorder="1" applyAlignment="1">
      <alignment vertical="center"/>
    </xf>
    <xf numFmtId="3" fontId="20" fillId="0" borderId="24" xfId="18" applyNumberFormat="1" applyFont="1" applyFill="1" applyBorder="1" applyAlignment="1">
      <alignment wrapText="1"/>
    </xf>
    <xf numFmtId="3" fontId="21" fillId="0" borderId="24" xfId="0" applyNumberFormat="1" applyFont="1" applyFill="1" applyBorder="1" applyAlignment="1">
      <alignment horizontal="right" wrapText="1"/>
    </xf>
    <xf numFmtId="3" fontId="21" fillId="0" borderId="25" xfId="0" applyNumberFormat="1" applyFont="1" applyFill="1" applyBorder="1" applyAlignment="1">
      <alignment horizontal="right" wrapText="1"/>
    </xf>
    <xf numFmtId="3" fontId="20" fillId="0" borderId="115" xfId="18" applyNumberFormat="1" applyFont="1" applyFill="1" applyBorder="1" applyAlignment="1">
      <alignment horizontal="right"/>
    </xf>
    <xf numFmtId="3" fontId="24" fillId="0" borderId="17" xfId="0" applyNumberFormat="1" applyFont="1" applyFill="1" applyBorder="1" applyAlignment="1">
      <alignment horizontal="right" wrapText="1"/>
    </xf>
    <xf numFmtId="3" fontId="24" fillId="0" borderId="18" xfId="0" applyNumberFormat="1" applyFont="1" applyFill="1" applyBorder="1" applyAlignment="1">
      <alignment horizontal="right" wrapText="1"/>
    </xf>
    <xf numFmtId="3" fontId="24" fillId="0" borderId="24" xfId="18" applyNumberFormat="1" applyFont="1" applyFill="1" applyBorder="1" applyAlignment="1">
      <alignment horizontal="left" wrapText="1" indent="4"/>
    </xf>
    <xf numFmtId="3" fontId="20" fillId="0" borderId="24" xfId="18" applyNumberFormat="1" applyFont="1" applyFill="1" applyBorder="1" applyAlignment="1">
      <alignment horizontal="left" wrapText="1" indent="4"/>
    </xf>
    <xf numFmtId="3" fontId="40" fillId="0" borderId="115" xfId="18" applyNumberFormat="1" applyFont="1" applyFill="1" applyBorder="1" applyAlignment="1">
      <alignment horizontal="center"/>
    </xf>
    <xf numFmtId="3" fontId="21" fillId="0" borderId="17" xfId="0" applyNumberFormat="1" applyFont="1" applyFill="1" applyBorder="1" applyAlignment="1">
      <alignment horizontal="right" vertical="center" wrapText="1"/>
    </xf>
    <xf numFmtId="3" fontId="20" fillId="0" borderId="24" xfId="18" applyNumberFormat="1" applyFont="1" applyFill="1" applyBorder="1" applyAlignment="1">
      <alignment horizontal="left" wrapText="1" indent="2"/>
    </xf>
    <xf numFmtId="3" fontId="21" fillId="0" borderId="24" xfId="18" applyNumberFormat="1" applyFont="1" applyFill="1" applyBorder="1" applyAlignment="1">
      <alignment horizontal="left" wrapText="1" indent="2"/>
    </xf>
    <xf numFmtId="3" fontId="24" fillId="0" borderId="24" xfId="0" applyNumberFormat="1" applyFont="1" applyFill="1" applyBorder="1" applyAlignment="1">
      <alignment horizontal="right" wrapText="1"/>
    </xf>
    <xf numFmtId="3" fontId="24" fillId="0" borderId="25" xfId="0" applyNumberFormat="1" applyFont="1" applyFill="1" applyBorder="1" applyAlignment="1">
      <alignment horizontal="right" wrapText="1"/>
    </xf>
    <xf numFmtId="3" fontId="18" fillId="0" borderId="50" xfId="18" applyNumberFormat="1" applyFont="1" applyFill="1" applyBorder="1" applyAlignment="1">
      <alignment horizontal="center" vertical="center"/>
    </xf>
    <xf numFmtId="3" fontId="18" fillId="0" borderId="45" xfId="18" applyNumberFormat="1" applyFont="1" applyFill="1" applyBorder="1" applyAlignment="1">
      <alignment horizontal="center"/>
    </xf>
    <xf numFmtId="3" fontId="18" fillId="0" borderId="21" xfId="18" applyNumberFormat="1" applyFont="1" applyFill="1" applyBorder="1" applyAlignment="1">
      <alignment horizontal="center"/>
    </xf>
    <xf numFmtId="3" fontId="18" fillId="0" borderId="45" xfId="0" applyNumberFormat="1" applyFont="1" applyFill="1" applyBorder="1" applyAlignment="1">
      <alignment horizontal="right" vertical="center" wrapText="1"/>
    </xf>
    <xf numFmtId="3" fontId="18" fillId="0" borderId="46" xfId="0" applyNumberFormat="1" applyFont="1" applyFill="1" applyBorder="1" applyAlignment="1">
      <alignment horizontal="right" vertical="center" wrapText="1"/>
    </xf>
    <xf numFmtId="3" fontId="39" fillId="0" borderId="129" xfId="18" applyNumberFormat="1" applyFont="1" applyFill="1" applyBorder="1" applyAlignment="1">
      <alignment horizontal="right"/>
    </xf>
    <xf numFmtId="3" fontId="39" fillId="0" borderId="45" xfId="0" applyNumberFormat="1" applyFont="1" applyFill="1" applyBorder="1" applyAlignment="1">
      <alignment horizontal="right" vertical="center" wrapText="1"/>
    </xf>
    <xf numFmtId="3" fontId="21" fillId="0" borderId="45" xfId="0" applyNumberFormat="1" applyFont="1" applyFill="1" applyBorder="1" applyAlignment="1">
      <alignment horizontal="right" vertical="center" wrapText="1"/>
    </xf>
    <xf numFmtId="3" fontId="18" fillId="0" borderId="51" xfId="18" applyNumberFormat="1" applyFont="1" applyFill="1" applyBorder="1" applyAlignment="1">
      <alignment horizontal="center" vertical="center" wrapText="1"/>
    </xf>
    <xf numFmtId="3" fontId="18" fillId="0" borderId="17" xfId="18" applyNumberFormat="1" applyFont="1" applyFill="1" applyBorder="1" applyAlignment="1">
      <alignment horizontal="center" vertical="center" wrapText="1"/>
    </xf>
    <xf numFmtId="3" fontId="21" fillId="0" borderId="115" xfId="0" applyNumberFormat="1" applyFont="1" applyFill="1" applyBorder="1" applyAlignment="1">
      <alignment vertical="center"/>
    </xf>
    <xf numFmtId="3" fontId="18" fillId="0" borderId="50" xfId="0" applyNumberFormat="1" applyFont="1" applyFill="1" applyBorder="1" applyAlignment="1">
      <alignment horizontal="center" wrapText="1"/>
    </xf>
    <xf numFmtId="3" fontId="18" fillId="0" borderId="45" xfId="0" applyNumberFormat="1" applyFont="1" applyFill="1" applyBorder="1" applyAlignment="1">
      <alignment horizontal="center" wrapText="1"/>
    </xf>
    <xf numFmtId="3" fontId="18" fillId="0" borderId="21" xfId="0" applyNumberFormat="1" applyFont="1" applyFill="1" applyBorder="1" applyAlignment="1">
      <alignment horizontal="center" wrapText="1"/>
    </xf>
    <xf numFmtId="3" fontId="18" fillId="0" borderId="45" xfId="0" applyNumberFormat="1" applyFont="1" applyFill="1" applyBorder="1" applyAlignment="1">
      <alignment horizontal="right" wrapText="1"/>
    </xf>
    <xf numFmtId="3" fontId="21" fillId="0" borderId="48" xfId="18" applyNumberFormat="1" applyFont="1" applyFill="1" applyBorder="1" applyAlignment="1">
      <alignment horizontal="right"/>
    </xf>
    <xf numFmtId="3" fontId="39" fillId="0" borderId="109" xfId="18" applyNumberFormat="1" applyFont="1" applyFill="1" applyBorder="1" applyAlignment="1">
      <alignment wrapText="1"/>
    </xf>
    <xf numFmtId="3" fontId="39" fillId="0" borderId="138" xfId="18" applyNumberFormat="1" applyFont="1" applyFill="1" applyBorder="1" applyAlignment="1">
      <alignment horizontal="right"/>
    </xf>
    <xf numFmtId="3" fontId="39" fillId="0" borderId="109" xfId="18" applyNumberFormat="1" applyFont="1" applyFill="1" applyBorder="1" applyAlignment="1">
      <alignment horizontal="right"/>
    </xf>
    <xf numFmtId="3" fontId="10" fillId="0" borderId="24" xfId="18" applyNumberFormat="1" applyFont="1" applyFill="1" applyBorder="1" applyAlignment="1">
      <alignment horizontal="center" vertical="center"/>
    </xf>
    <xf numFmtId="3" fontId="10" fillId="0" borderId="23" xfId="18" applyNumberFormat="1" applyFont="1" applyFill="1" applyBorder="1" applyAlignment="1">
      <alignment horizontal="center" vertical="center"/>
    </xf>
    <xf numFmtId="3" fontId="20" fillId="0" borderId="16" xfId="0" applyNumberFormat="1" applyFont="1" applyFill="1" applyBorder="1" applyAlignment="1">
      <alignment horizontal="center" vertical="center"/>
    </xf>
    <xf numFmtId="3" fontId="20" fillId="0" borderId="36" xfId="0" applyNumberFormat="1" applyFont="1" applyFill="1" applyBorder="1" applyAlignment="1">
      <alignment horizontal="center"/>
    </xf>
    <xf numFmtId="3" fontId="20" fillId="0" borderId="115" xfId="28" applyNumberFormat="1" applyFont="1" applyFill="1" applyBorder="1" applyAlignment="1"/>
    <xf numFmtId="3" fontId="21" fillId="0" borderId="17" xfId="0" applyNumberFormat="1" applyFont="1" applyFill="1" applyBorder="1" applyAlignment="1">
      <alignment horizontal="center"/>
    </xf>
    <xf numFmtId="3" fontId="21" fillId="0" borderId="36" xfId="0" applyNumberFormat="1" applyFont="1" applyFill="1" applyBorder="1" applyAlignment="1">
      <alignment horizontal="center"/>
    </xf>
    <xf numFmtId="3" fontId="21" fillId="0" borderId="17" xfId="0" applyNumberFormat="1" applyFont="1" applyFill="1" applyBorder="1" applyAlignment="1"/>
    <xf numFmtId="3" fontId="24" fillId="0" borderId="17" xfId="0" applyNumberFormat="1" applyFont="1" applyFill="1" applyBorder="1" applyAlignment="1"/>
    <xf numFmtId="3" fontId="21" fillId="0" borderId="109" xfId="0" applyNumberFormat="1" applyFont="1" applyFill="1" applyBorder="1" applyAlignment="1">
      <alignment horizontal="center"/>
    </xf>
    <xf numFmtId="3" fontId="21" fillId="0" borderId="190" xfId="0" applyNumberFormat="1" applyFont="1" applyFill="1" applyBorder="1" applyAlignment="1">
      <alignment horizontal="center"/>
    </xf>
    <xf numFmtId="3" fontId="21" fillId="0" borderId="133" xfId="28" applyNumberFormat="1" applyFont="1" applyFill="1" applyBorder="1" applyAlignment="1"/>
    <xf numFmtId="3" fontId="21" fillId="0" borderId="109" xfId="0" applyNumberFormat="1" applyFont="1" applyFill="1" applyBorder="1" applyAlignment="1"/>
    <xf numFmtId="3" fontId="21" fillId="0" borderId="135" xfId="0" applyNumberFormat="1" applyFont="1" applyFill="1" applyBorder="1" applyAlignment="1"/>
    <xf numFmtId="3" fontId="21" fillId="0" borderId="47" xfId="0" applyNumberFormat="1" applyFont="1" applyFill="1" applyBorder="1" applyAlignment="1">
      <alignment horizontal="center" vertical="center"/>
    </xf>
    <xf numFmtId="3" fontId="21" fillId="0" borderId="48" xfId="0" applyNumberFormat="1" applyFont="1" applyFill="1" applyBorder="1" applyAlignment="1">
      <alignment horizontal="center"/>
    </xf>
    <xf numFmtId="3" fontId="21" fillId="0" borderId="172" xfId="0" applyNumberFormat="1" applyFont="1" applyFill="1" applyBorder="1" applyAlignment="1">
      <alignment horizontal="center"/>
    </xf>
    <xf numFmtId="3" fontId="21" fillId="0" borderId="116" xfId="28" applyNumberFormat="1" applyFont="1" applyFill="1" applyBorder="1" applyAlignment="1"/>
    <xf numFmtId="3" fontId="21" fillId="0" borderId="48" xfId="0" applyNumberFormat="1" applyFont="1" applyFill="1" applyBorder="1" applyAlignment="1"/>
    <xf numFmtId="3" fontId="21" fillId="0" borderId="49" xfId="0" applyNumberFormat="1" applyFont="1" applyFill="1" applyBorder="1" applyAlignment="1"/>
    <xf numFmtId="3" fontId="21" fillId="0" borderId="26" xfId="28" applyNumberFormat="1" applyFont="1" applyFill="1" applyBorder="1" applyAlignment="1"/>
    <xf numFmtId="3" fontId="21" fillId="0" borderId="26" xfId="28" applyNumberFormat="1" applyFont="1" applyFill="1" applyBorder="1" applyAlignment="1">
      <alignment wrapText="1"/>
    </xf>
    <xf numFmtId="3" fontId="21" fillId="0" borderId="122" xfId="28" applyNumberFormat="1" applyFont="1" applyFill="1" applyBorder="1" applyAlignment="1">
      <alignment wrapText="1"/>
    </xf>
    <xf numFmtId="0" fontId="2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/>
    </xf>
    <xf numFmtId="3" fontId="0" fillId="0" borderId="0" xfId="0" applyNumberFormat="1" applyFont="1" applyFill="1" applyAlignment="1">
      <alignment horizontal="right"/>
    </xf>
    <xf numFmtId="0" fontId="29" fillId="0" borderId="0" xfId="0" applyFont="1" applyFill="1" applyAlignment="1">
      <alignment horizontal="right"/>
    </xf>
    <xf numFmtId="0" fontId="28" fillId="0" borderId="0" xfId="0" applyFont="1" applyFill="1" applyAlignment="1">
      <alignment horizontal="right"/>
    </xf>
    <xf numFmtId="49" fontId="0" fillId="0" borderId="0" xfId="0" applyNumberFormat="1" applyFont="1" applyFill="1" applyAlignment="1">
      <alignment horizontal="right"/>
    </xf>
    <xf numFmtId="3" fontId="20" fillId="0" borderId="115" xfId="0" applyNumberFormat="1" applyFont="1" applyFill="1" applyBorder="1" applyAlignment="1">
      <alignment horizontal="center" vertical="center"/>
    </xf>
    <xf numFmtId="3" fontId="20" fillId="0" borderId="17" xfId="28" applyNumberFormat="1" applyFont="1" applyFill="1" applyBorder="1" applyAlignment="1"/>
    <xf numFmtId="3" fontId="20" fillId="0" borderId="23" xfId="0" applyNumberFormat="1" applyFont="1" applyFill="1" applyBorder="1" applyAlignment="1">
      <alignment vertical="center"/>
    </xf>
    <xf numFmtId="3" fontId="20" fillId="0" borderId="57" xfId="0" applyNumberFormat="1" applyFont="1" applyFill="1" applyBorder="1" applyAlignment="1"/>
    <xf numFmtId="3" fontId="21" fillId="0" borderId="115" xfId="0" applyNumberFormat="1" applyFont="1" applyFill="1" applyBorder="1" applyAlignment="1">
      <alignment horizontal="center" vertical="center"/>
    </xf>
    <xf numFmtId="3" fontId="21" fillId="0" borderId="17" xfId="0" applyNumberFormat="1" applyFont="1" applyFill="1" applyBorder="1" applyAlignment="1">
      <alignment vertical="center"/>
    </xf>
    <xf numFmtId="3" fontId="21" fillId="0" borderId="23" xfId="0" applyNumberFormat="1" applyFont="1" applyFill="1" applyBorder="1" applyAlignment="1">
      <alignment vertical="center"/>
    </xf>
    <xf numFmtId="3" fontId="21" fillId="0" borderId="17" xfId="0" applyNumberFormat="1" applyFont="1" applyFill="1" applyBorder="1" applyAlignment="1">
      <alignment horizontal="right"/>
    </xf>
    <xf numFmtId="3" fontId="21" fillId="0" borderId="18" xfId="0" applyNumberFormat="1" applyFont="1" applyFill="1" applyBorder="1" applyAlignment="1">
      <alignment horizontal="right"/>
    </xf>
    <xf numFmtId="3" fontId="39" fillId="0" borderId="45" xfId="0" applyNumberFormat="1" applyFont="1" applyFill="1" applyBorder="1" applyAlignment="1">
      <alignment horizontal="center" vertical="center"/>
    </xf>
    <xf numFmtId="3" fontId="20" fillId="0" borderId="17" xfId="0" applyNumberFormat="1" applyFont="1" applyFill="1" applyBorder="1" applyAlignment="1">
      <alignment horizontal="center" vertical="center"/>
    </xf>
    <xf numFmtId="3" fontId="21" fillId="0" borderId="109" xfId="0" applyNumberFormat="1" applyFont="1" applyFill="1" applyBorder="1" applyAlignment="1">
      <alignment horizontal="center" vertical="center"/>
    </xf>
    <xf numFmtId="3" fontId="21" fillId="0" borderId="133" xfId="0" applyNumberFormat="1" applyFont="1" applyFill="1" applyBorder="1" applyAlignment="1">
      <alignment horizontal="center" vertical="center"/>
    </xf>
    <xf numFmtId="3" fontId="21" fillId="0" borderId="109" xfId="28" applyNumberFormat="1" applyFont="1" applyFill="1" applyBorder="1" applyAlignment="1"/>
    <xf numFmtId="3" fontId="21" fillId="0" borderId="109" xfId="0" applyNumberFormat="1" applyFont="1" applyFill="1" applyBorder="1" applyAlignment="1">
      <alignment vertical="center"/>
    </xf>
    <xf numFmtId="3" fontId="21" fillId="0" borderId="138" xfId="0" applyNumberFormat="1" applyFont="1" applyFill="1" applyBorder="1" applyAlignment="1">
      <alignment vertical="center"/>
    </xf>
    <xf numFmtId="3" fontId="21" fillId="0" borderId="132" xfId="0" applyNumberFormat="1" applyFont="1" applyFill="1" applyBorder="1" applyAlignment="1"/>
    <xf numFmtId="3" fontId="21" fillId="0" borderId="109" xfId="0" applyNumberFormat="1" applyFont="1" applyFill="1" applyBorder="1" applyAlignment="1">
      <alignment horizontal="right"/>
    </xf>
    <xf numFmtId="3" fontId="21" fillId="0" borderId="135" xfId="0" applyNumberFormat="1" applyFont="1" applyFill="1" applyBorder="1" applyAlignment="1">
      <alignment horizontal="right"/>
    </xf>
    <xf numFmtId="3" fontId="20" fillId="0" borderId="17" xfId="28" applyNumberFormat="1" applyFont="1" applyFill="1" applyBorder="1" applyAlignment="1">
      <alignment horizontal="left" indent="1"/>
    </xf>
    <xf numFmtId="3" fontId="24" fillId="0" borderId="115" xfId="0" applyNumberFormat="1" applyFont="1" applyFill="1" applyBorder="1" applyAlignment="1">
      <alignment horizontal="center" vertical="center"/>
    </xf>
    <xf numFmtId="3" fontId="24" fillId="0" borderId="17" xfId="28" applyNumberFormat="1" applyFont="1" applyFill="1" applyBorder="1" applyAlignment="1">
      <alignment horizontal="left" indent="1"/>
    </xf>
    <xf numFmtId="3" fontId="24" fillId="0" borderId="17" xfId="0" applyNumberFormat="1" applyFont="1" applyFill="1" applyBorder="1" applyAlignment="1">
      <alignment vertical="center"/>
    </xf>
    <xf numFmtId="3" fontId="24" fillId="0" borderId="17" xfId="0" applyNumberFormat="1" applyFont="1" applyFill="1" applyBorder="1" applyAlignment="1">
      <alignment horizontal="right"/>
    </xf>
    <xf numFmtId="3" fontId="24" fillId="0" borderId="18" xfId="0" applyNumberFormat="1" applyFont="1" applyFill="1" applyBorder="1" applyAlignment="1">
      <alignment horizontal="right"/>
    </xf>
    <xf numFmtId="3" fontId="21" fillId="0" borderId="48" xfId="0" applyNumberFormat="1" applyFont="1" applyFill="1" applyBorder="1" applyAlignment="1">
      <alignment horizontal="center" vertical="center"/>
    </xf>
    <xf numFmtId="3" fontId="21" fillId="0" borderId="116" xfId="0" applyNumberFormat="1" applyFont="1" applyFill="1" applyBorder="1" applyAlignment="1">
      <alignment horizontal="center" vertical="center"/>
    </xf>
    <xf numFmtId="3" fontId="21" fillId="0" borderId="48" xfId="28" applyNumberFormat="1" applyFont="1" applyFill="1" applyBorder="1" applyAlignment="1"/>
    <xf numFmtId="3" fontId="21" fillId="0" borderId="48" xfId="0" applyNumberFormat="1" applyFont="1" applyFill="1" applyBorder="1" applyAlignment="1">
      <alignment vertical="center"/>
    </xf>
    <xf numFmtId="3" fontId="21" fillId="0" borderId="61" xfId="0" applyNumberFormat="1" applyFont="1" applyFill="1" applyBorder="1" applyAlignment="1"/>
    <xf numFmtId="3" fontId="21" fillId="0" borderId="48" xfId="0" applyNumberFormat="1" applyFont="1" applyFill="1" applyBorder="1" applyAlignment="1">
      <alignment horizontal="right"/>
    </xf>
    <xf numFmtId="3" fontId="21" fillId="0" borderId="26" xfId="0" applyNumberFormat="1" applyFont="1" applyFill="1" applyBorder="1" applyAlignment="1"/>
    <xf numFmtId="3" fontId="21" fillId="0" borderId="24" xfId="0" applyNumberFormat="1" applyFont="1" applyFill="1" applyBorder="1" applyAlignment="1">
      <alignment horizontal="right"/>
    </xf>
    <xf numFmtId="3" fontId="21" fillId="0" borderId="78" xfId="0" applyNumberFormat="1" applyFont="1" applyFill="1" applyBorder="1" applyAlignment="1">
      <alignment horizontal="right"/>
    </xf>
    <xf numFmtId="3" fontId="21" fillId="0" borderId="25" xfId="0" applyNumberFormat="1" applyFont="1" applyFill="1" applyBorder="1" applyAlignment="1">
      <alignment horizontal="right"/>
    </xf>
    <xf numFmtId="3" fontId="39" fillId="0" borderId="58" xfId="28" applyNumberFormat="1" applyFont="1" applyFill="1" applyBorder="1" applyAlignment="1"/>
    <xf numFmtId="3" fontId="39" fillId="0" borderId="45" xfId="28" applyNumberFormat="1" applyFont="1" applyFill="1" applyBorder="1" applyAlignment="1">
      <alignment horizontal="center"/>
    </xf>
    <xf numFmtId="3" fontId="39" fillId="0" borderId="45" xfId="0" applyNumberFormat="1" applyFont="1" applyFill="1" applyBorder="1" applyAlignment="1">
      <alignment horizontal="right" vertical="center"/>
    </xf>
    <xf numFmtId="3" fontId="39" fillId="0" borderId="46" xfId="0" applyNumberFormat="1" applyFont="1" applyFill="1" applyBorder="1" applyAlignment="1">
      <alignment horizontal="right" vertical="center"/>
    </xf>
    <xf numFmtId="3" fontId="21" fillId="0" borderId="50" xfId="0" applyNumberFormat="1" applyFont="1" applyFill="1" applyBorder="1" applyAlignment="1">
      <alignment horizontal="center" vertical="center"/>
    </xf>
    <xf numFmtId="3" fontId="21" fillId="0" borderId="45" xfId="0" applyNumberFormat="1" applyFont="1" applyFill="1" applyBorder="1" applyAlignment="1">
      <alignment horizontal="center" vertical="center"/>
    </xf>
    <xf numFmtId="3" fontId="21" fillId="0" borderId="129" xfId="0" applyNumberFormat="1" applyFont="1" applyFill="1" applyBorder="1" applyAlignment="1">
      <alignment horizontal="center" vertical="center"/>
    </xf>
    <xf numFmtId="3" fontId="21" fillId="0" borderId="45" xfId="28" applyNumberFormat="1" applyFont="1" applyFill="1" applyBorder="1" applyAlignment="1"/>
    <xf numFmtId="3" fontId="21" fillId="0" borderId="45" xfId="0" applyNumberFormat="1" applyFont="1" applyFill="1" applyBorder="1" applyAlignment="1">
      <alignment vertical="center"/>
    </xf>
    <xf numFmtId="3" fontId="21" fillId="0" borderId="21" xfId="0" applyNumberFormat="1" applyFont="1" applyFill="1" applyBorder="1" applyAlignment="1"/>
    <xf numFmtId="3" fontId="21" fillId="0" borderId="45" xfId="0" applyNumberFormat="1" applyFont="1" applyFill="1" applyBorder="1" applyAlignment="1">
      <alignment horizontal="right"/>
    </xf>
    <xf numFmtId="3" fontId="21" fillId="0" borderId="46" xfId="0" applyNumberFormat="1" applyFont="1" applyFill="1" applyBorder="1" applyAlignment="1">
      <alignment horizontal="right"/>
    </xf>
    <xf numFmtId="3" fontId="40" fillId="0" borderId="50" xfId="0" applyNumberFormat="1" applyFont="1" applyFill="1" applyBorder="1" applyAlignment="1">
      <alignment horizontal="left" vertical="center" wrapText="1"/>
    </xf>
    <xf numFmtId="3" fontId="40" fillId="0" borderId="129" xfId="0" applyNumberFormat="1" applyFont="1" applyFill="1" applyBorder="1" applyAlignment="1">
      <alignment horizontal="left" vertical="center" wrapText="1"/>
    </xf>
    <xf numFmtId="3" fontId="40" fillId="0" borderId="45" xfId="0" applyNumberFormat="1" applyFont="1" applyFill="1" applyBorder="1" applyAlignment="1">
      <alignment horizontal="left" vertical="center" wrapText="1"/>
    </xf>
    <xf numFmtId="3" fontId="40" fillId="0" borderId="45" xfId="0" applyNumberFormat="1" applyFont="1" applyFill="1" applyBorder="1" applyAlignment="1">
      <alignment horizontal="right" vertical="center"/>
    </xf>
    <xf numFmtId="3" fontId="39" fillId="0" borderId="21" xfId="0" applyNumberFormat="1" applyFont="1" applyFill="1" applyBorder="1" applyAlignment="1">
      <alignment horizontal="right" vertical="center"/>
    </xf>
    <xf numFmtId="0" fontId="10" fillId="0" borderId="0" xfId="47" applyFont="1" applyFill="1" applyBorder="1" applyAlignment="1" applyProtection="1">
      <alignment horizontal="center" vertical="center"/>
      <protection locked="0"/>
    </xf>
    <xf numFmtId="0" fontId="10" fillId="0" borderId="0" xfId="47" applyFont="1" applyFill="1" applyBorder="1" applyProtection="1">
      <protection locked="0"/>
    </xf>
    <xf numFmtId="3" fontId="18" fillId="3" borderId="0" xfId="31" applyNumberFormat="1" applyFont="1" applyFill="1" applyBorder="1" applyAlignment="1" applyProtection="1">
      <alignment horizontal="right"/>
      <protection locked="0"/>
    </xf>
    <xf numFmtId="3" fontId="18" fillId="0" borderId="24" xfId="31" applyNumberFormat="1" applyFont="1" applyFill="1" applyBorder="1" applyAlignment="1" applyProtection="1">
      <alignment horizontal="left"/>
      <protection locked="0"/>
    </xf>
    <xf numFmtId="3" fontId="21" fillId="0" borderId="233" xfId="31" applyNumberFormat="1" applyFont="1" applyFill="1" applyBorder="1" applyAlignment="1" applyProtection="1">
      <alignment horizontal="right" vertical="center"/>
      <protection locked="0"/>
    </xf>
    <xf numFmtId="3" fontId="21" fillId="0" borderId="32" xfId="31" applyNumberFormat="1" applyFont="1" applyFill="1" applyBorder="1" applyAlignment="1" applyProtection="1">
      <alignment horizontal="right" vertical="center"/>
      <protection locked="0"/>
    </xf>
    <xf numFmtId="3" fontId="18" fillId="0" borderId="0" xfId="47" applyNumberFormat="1" applyFont="1" applyFill="1" applyBorder="1" applyAlignment="1" applyProtection="1">
      <alignment horizontal="left" vertical="top"/>
      <protection locked="0"/>
    </xf>
    <xf numFmtId="3" fontId="18" fillId="0" borderId="0" xfId="47" applyNumberFormat="1" applyFont="1" applyFill="1" applyBorder="1" applyAlignment="1" applyProtection="1">
      <alignment horizontal="center" vertical="top"/>
      <protection locked="0"/>
    </xf>
    <xf numFmtId="3" fontId="18" fillId="0" borderId="0" xfId="47" applyNumberFormat="1" applyFont="1" applyFill="1" applyBorder="1" applyAlignment="1" applyProtection="1">
      <alignment horizontal="center" vertical="center"/>
      <protection locked="0"/>
    </xf>
    <xf numFmtId="3" fontId="18" fillId="0" borderId="0" xfId="47" applyNumberFormat="1" applyFont="1" applyFill="1" applyBorder="1" applyAlignment="1" applyProtection="1">
      <protection locked="0"/>
    </xf>
    <xf numFmtId="0" fontId="14" fillId="0" borderId="0" xfId="48" applyFont="1" applyFill="1" applyBorder="1" applyAlignment="1">
      <alignment horizontal="center" vertical="center"/>
    </xf>
    <xf numFmtId="3" fontId="10" fillId="0" borderId="0" xfId="48" applyNumberFormat="1" applyFont="1" applyFill="1" applyBorder="1" applyAlignment="1">
      <alignment horizontal="right"/>
    </xf>
    <xf numFmtId="3" fontId="10" fillId="0" borderId="0" xfId="48" applyNumberFormat="1" applyFont="1" applyFill="1" applyBorder="1" applyAlignment="1">
      <alignment horizontal="center" vertical="center"/>
    </xf>
    <xf numFmtId="0" fontId="10" fillId="0" borderId="0" xfId="48" applyFont="1" applyFill="1" applyBorder="1"/>
    <xf numFmtId="3" fontId="18" fillId="0" borderId="36" xfId="31" applyNumberFormat="1" applyFont="1" applyFill="1" applyBorder="1" applyAlignment="1"/>
    <xf numFmtId="0" fontId="39" fillId="0" borderId="16" xfId="31" applyFont="1" applyFill="1" applyBorder="1" applyAlignment="1">
      <alignment horizontal="center" vertical="center"/>
    </xf>
    <xf numFmtId="0" fontId="39" fillId="0" borderId="17" xfId="31" applyFont="1" applyFill="1" applyBorder="1" applyAlignment="1">
      <alignment horizontal="center"/>
    </xf>
    <xf numFmtId="0" fontId="39" fillId="0" borderId="17" xfId="31" applyFont="1" applyFill="1" applyBorder="1" applyAlignment="1">
      <alignment wrapText="1"/>
    </xf>
    <xf numFmtId="3" fontId="39" fillId="0" borderId="17" xfId="31" applyNumberFormat="1" applyFont="1" applyFill="1" applyBorder="1" applyAlignment="1">
      <alignment horizontal="right" vertical="center"/>
    </xf>
    <xf numFmtId="3" fontId="39" fillId="0" borderId="17" xfId="21" applyNumberFormat="1" applyFont="1" applyFill="1" applyBorder="1" applyAlignment="1">
      <alignment horizontal="right" vertical="center"/>
    </xf>
    <xf numFmtId="0" fontId="39" fillId="0" borderId="57" xfId="31" applyFont="1" applyFill="1" applyBorder="1" applyAlignment="1">
      <alignment horizontal="center" vertical="center" wrapText="1"/>
    </xf>
    <xf numFmtId="3" fontId="39" fillId="0" borderId="115" xfId="21" applyNumberFormat="1" applyFont="1" applyFill="1" applyBorder="1" applyAlignment="1">
      <alignment horizontal="right" vertical="center" wrapText="1"/>
    </xf>
    <xf numFmtId="3" fontId="39" fillId="0" borderId="36" xfId="31" applyNumberFormat="1" applyFont="1" applyFill="1" applyBorder="1" applyAlignment="1"/>
    <xf numFmtId="3" fontId="39" fillId="0" borderId="187" xfId="21" applyNumberFormat="1" applyFont="1" applyFill="1" applyBorder="1" applyAlignment="1">
      <alignment horizontal="right" vertical="center" wrapText="1"/>
    </xf>
    <xf numFmtId="3" fontId="39" fillId="0" borderId="83" xfId="31" applyNumberFormat="1" applyFont="1" applyFill="1" applyBorder="1" applyAlignment="1">
      <alignment horizontal="right" vertical="center"/>
    </xf>
    <xf numFmtId="0" fontId="39" fillId="0" borderId="0" xfId="31" applyFont="1" applyFill="1" applyBorder="1"/>
    <xf numFmtId="0" fontId="20" fillId="0" borderId="16" xfId="31" applyFont="1" applyFill="1" applyBorder="1" applyAlignment="1">
      <alignment horizontal="center" vertical="center"/>
    </xf>
    <xf numFmtId="0" fontId="20" fillId="0" borderId="17" xfId="31" applyFont="1" applyFill="1" applyBorder="1" applyAlignment="1">
      <alignment horizontal="center"/>
    </xf>
    <xf numFmtId="0" fontId="54" fillId="0" borderId="17" xfId="31" applyFont="1" applyFill="1" applyBorder="1" applyAlignment="1">
      <alignment wrapText="1"/>
    </xf>
    <xf numFmtId="3" fontId="20" fillId="0" borderId="17" xfId="31" applyNumberFormat="1" applyFont="1" applyFill="1" applyBorder="1" applyAlignment="1">
      <alignment horizontal="right" vertical="center"/>
    </xf>
    <xf numFmtId="3" fontId="20" fillId="0" borderId="17" xfId="21" applyNumberFormat="1" applyFont="1" applyFill="1" applyBorder="1" applyAlignment="1">
      <alignment horizontal="right" vertical="center"/>
    </xf>
    <xf numFmtId="0" fontId="20" fillId="0" borderId="57" xfId="31" applyFont="1" applyFill="1" applyBorder="1" applyAlignment="1">
      <alignment horizontal="center" vertical="center" wrapText="1"/>
    </xf>
    <xf numFmtId="3" fontId="20" fillId="0" borderId="115" xfId="21" applyNumberFormat="1" applyFont="1" applyFill="1" applyBorder="1" applyAlignment="1">
      <alignment horizontal="right" vertical="center" wrapText="1"/>
    </xf>
    <xf numFmtId="3" fontId="20" fillId="0" borderId="36" xfId="31" applyNumberFormat="1" applyFont="1" applyFill="1" applyBorder="1" applyAlignment="1"/>
    <xf numFmtId="3" fontId="20" fillId="0" borderId="187" xfId="21" applyNumberFormat="1" applyFont="1" applyFill="1" applyBorder="1" applyAlignment="1">
      <alignment horizontal="right" vertical="center" wrapText="1"/>
    </xf>
    <xf numFmtId="3" fontId="20" fillId="0" borderId="83" xfId="31" applyNumberFormat="1" applyFont="1" applyFill="1" applyBorder="1" applyAlignment="1">
      <alignment horizontal="right" vertical="center"/>
    </xf>
    <xf numFmtId="0" fontId="20" fillId="0" borderId="0" xfId="31" applyFont="1" applyFill="1" applyBorder="1"/>
    <xf numFmtId="0" fontId="21" fillId="0" borderId="16" xfId="31" applyFont="1" applyFill="1" applyBorder="1" applyAlignment="1">
      <alignment horizontal="center" vertical="center"/>
    </xf>
    <xf numFmtId="0" fontId="21" fillId="0" borderId="17" xfId="31" applyFont="1" applyFill="1" applyBorder="1" applyAlignment="1">
      <alignment horizontal="center"/>
    </xf>
    <xf numFmtId="0" fontId="55" fillId="0" borderId="17" xfId="31" applyFont="1" applyFill="1" applyBorder="1" applyAlignment="1">
      <alignment wrapText="1"/>
    </xf>
    <xf numFmtId="3" fontId="21" fillId="0" borderId="17" xfId="31" applyNumberFormat="1" applyFont="1" applyFill="1" applyBorder="1" applyAlignment="1">
      <alignment horizontal="right" vertical="center"/>
    </xf>
    <xf numFmtId="3" fontId="21" fillId="0" borderId="17" xfId="21" applyNumberFormat="1" applyFont="1" applyFill="1" applyBorder="1" applyAlignment="1">
      <alignment horizontal="right" vertical="center"/>
    </xf>
    <xf numFmtId="0" fontId="21" fillId="0" borderId="57" xfId="31" applyFont="1" applyFill="1" applyBorder="1" applyAlignment="1">
      <alignment horizontal="center" vertical="center" wrapText="1"/>
    </xf>
    <xf numFmtId="3" fontId="21" fillId="0" borderId="115" xfId="21" applyNumberFormat="1" applyFont="1" applyFill="1" applyBorder="1" applyAlignment="1">
      <alignment horizontal="right" vertical="center" wrapText="1"/>
    </xf>
    <xf numFmtId="3" fontId="21" fillId="0" borderId="36" xfId="31" applyNumberFormat="1" applyFont="1" applyFill="1" applyBorder="1" applyAlignment="1"/>
    <xf numFmtId="3" fontId="21" fillId="0" borderId="187" xfId="21" applyNumberFormat="1" applyFont="1" applyFill="1" applyBorder="1" applyAlignment="1">
      <alignment horizontal="right" vertical="center" wrapText="1"/>
    </xf>
    <xf numFmtId="3" fontId="21" fillId="0" borderId="83" xfId="31" applyNumberFormat="1" applyFont="1" applyFill="1" applyBorder="1" applyAlignment="1">
      <alignment horizontal="right" vertical="center"/>
    </xf>
    <xf numFmtId="0" fontId="21" fillId="0" borderId="0" xfId="31" applyFont="1" applyFill="1" applyBorder="1"/>
    <xf numFmtId="0" fontId="39" fillId="0" borderId="17" xfId="31" applyFont="1" applyFill="1" applyBorder="1" applyAlignment="1">
      <alignment horizontal="left" wrapText="1" indent="1"/>
    </xf>
    <xf numFmtId="0" fontId="54" fillId="0" borderId="17" xfId="31" applyFont="1" applyFill="1" applyBorder="1" applyAlignment="1">
      <alignment horizontal="left" wrapText="1" indent="1"/>
    </xf>
    <xf numFmtId="0" fontId="55" fillId="0" borderId="17" xfId="31" applyFont="1" applyFill="1" applyBorder="1" applyAlignment="1">
      <alignment horizontal="left" wrapText="1" indent="1"/>
    </xf>
    <xf numFmtId="3" fontId="21" fillId="0" borderId="218" xfId="21" applyNumberFormat="1" applyFont="1" applyFill="1" applyBorder="1" applyAlignment="1">
      <alignment horizontal="right" vertical="center" wrapText="1"/>
    </xf>
    <xf numFmtId="3" fontId="21" fillId="0" borderId="119" xfId="21" applyNumberFormat="1" applyFont="1" applyFill="1" applyBorder="1" applyAlignment="1">
      <alignment horizontal="right" vertical="center" wrapText="1"/>
    </xf>
    <xf numFmtId="3" fontId="21" fillId="0" borderId="188" xfId="21" applyNumberFormat="1" applyFont="1" applyFill="1" applyBorder="1" applyAlignment="1">
      <alignment horizontal="right" vertical="center" wrapText="1"/>
    </xf>
    <xf numFmtId="3" fontId="21" fillId="0" borderId="146" xfId="21" applyNumberFormat="1" applyFont="1" applyFill="1" applyBorder="1" applyAlignment="1">
      <alignment horizontal="right" vertical="center" wrapText="1"/>
    </xf>
    <xf numFmtId="0" fontId="21" fillId="0" borderId="47" xfId="31" applyFont="1" applyFill="1" applyBorder="1" applyAlignment="1">
      <alignment horizontal="center" vertical="center"/>
    </xf>
    <xf numFmtId="0" fontId="21" fillId="0" borderId="48" xfId="31" applyFont="1" applyFill="1" applyBorder="1" applyAlignment="1">
      <alignment horizontal="center"/>
    </xf>
    <xf numFmtId="0" fontId="55" fillId="0" borderId="48" xfId="31" applyFont="1" applyFill="1" applyBorder="1" applyAlignment="1">
      <alignment wrapText="1"/>
    </xf>
    <xf numFmtId="3" fontId="21" fillId="0" borderId="48" xfId="31" applyNumberFormat="1" applyFont="1" applyFill="1" applyBorder="1" applyAlignment="1">
      <alignment horizontal="right" vertical="center"/>
    </xf>
    <xf numFmtId="3" fontId="21" fillId="0" borderId="48" xfId="21" applyNumberFormat="1" applyFont="1" applyFill="1" applyBorder="1" applyAlignment="1">
      <alignment horizontal="right" vertical="center"/>
    </xf>
    <xf numFmtId="0" fontId="21" fillId="0" borderId="61" xfId="31" applyFont="1" applyFill="1" applyBorder="1" applyAlignment="1">
      <alignment horizontal="center" vertical="center" wrapText="1"/>
    </xf>
    <xf numFmtId="3" fontId="21" fillId="0" borderId="116" xfId="21" applyNumberFormat="1" applyFont="1" applyFill="1" applyBorder="1" applyAlignment="1">
      <alignment horizontal="right" vertical="center" wrapText="1"/>
    </xf>
    <xf numFmtId="3" fontId="21" fillId="0" borderId="172" xfId="31" applyNumberFormat="1" applyFont="1" applyFill="1" applyBorder="1" applyAlignment="1"/>
    <xf numFmtId="3" fontId="21" fillId="0" borderId="221" xfId="21" applyNumberFormat="1" applyFont="1" applyFill="1" applyBorder="1" applyAlignment="1">
      <alignment horizontal="right" vertical="center" wrapText="1"/>
    </xf>
    <xf numFmtId="3" fontId="21" fillId="0" borderId="234" xfId="31" applyNumberFormat="1" applyFont="1" applyFill="1" applyBorder="1" applyAlignment="1">
      <alignment horizontal="right" vertical="center"/>
    </xf>
    <xf numFmtId="3" fontId="18" fillId="0" borderId="0" xfId="48" applyNumberFormat="1" applyFont="1" applyFill="1" applyBorder="1" applyAlignment="1">
      <alignment horizontal="left" vertical="top"/>
    </xf>
    <xf numFmtId="3" fontId="18" fillId="0" borderId="0" xfId="48" applyNumberFormat="1" applyFont="1" applyFill="1" applyBorder="1" applyAlignment="1">
      <alignment horizontal="center" vertical="center"/>
    </xf>
    <xf numFmtId="3" fontId="18" fillId="0" borderId="0" xfId="48" applyNumberFormat="1" applyFont="1" applyFill="1" applyBorder="1" applyAlignment="1">
      <alignment horizontal="right"/>
    </xf>
    <xf numFmtId="0" fontId="10" fillId="0" borderId="220" xfId="31" applyFont="1" applyFill="1" applyBorder="1" applyAlignment="1">
      <alignment horizontal="center" wrapText="1"/>
    </xf>
    <xf numFmtId="3" fontId="10" fillId="0" borderId="235" xfId="31" applyNumberFormat="1" applyFont="1" applyFill="1" applyBorder="1" applyAlignment="1">
      <alignment horizontal="right"/>
    </xf>
    <xf numFmtId="0" fontId="12" fillId="0" borderId="47" xfId="31" applyFont="1" applyFill="1" applyBorder="1" applyAlignment="1">
      <alignment horizontal="center"/>
    </xf>
    <xf numFmtId="0" fontId="10" fillId="0" borderId="48" xfId="31" applyFont="1" applyFill="1" applyBorder="1" applyAlignment="1">
      <alignment horizontal="center" vertical="top"/>
    </xf>
    <xf numFmtId="3" fontId="10" fillId="0" borderId="48" xfId="31" applyNumberFormat="1" applyFont="1" applyFill="1" applyBorder="1" applyAlignment="1">
      <alignment horizontal="right"/>
    </xf>
    <xf numFmtId="3" fontId="10" fillId="0" borderId="48" xfId="21" applyNumberFormat="1" applyFont="1" applyFill="1" applyBorder="1" applyAlignment="1">
      <alignment horizontal="right"/>
    </xf>
    <xf numFmtId="3" fontId="10" fillId="0" borderId="59" xfId="31" applyNumberFormat="1" applyFont="1" applyFill="1" applyBorder="1" applyAlignment="1">
      <alignment horizontal="right"/>
    </xf>
    <xf numFmtId="0" fontId="10" fillId="0" borderId="61" xfId="31" applyFont="1" applyFill="1" applyBorder="1" applyAlignment="1">
      <alignment horizontal="center" wrapText="1"/>
    </xf>
    <xf numFmtId="3" fontId="10" fillId="0" borderId="48" xfId="21" applyNumberFormat="1" applyFont="1" applyFill="1" applyBorder="1" applyAlignment="1">
      <alignment horizontal="right" wrapText="1"/>
    </xf>
    <xf numFmtId="3" fontId="12" fillId="0" borderId="60" xfId="21" applyNumberFormat="1" applyFont="1" applyFill="1" applyBorder="1" applyAlignment="1">
      <alignment horizontal="right" vertical="center" wrapText="1"/>
    </xf>
    <xf numFmtId="3" fontId="12" fillId="0" borderId="57" xfId="21" applyNumberFormat="1" applyFont="1" applyFill="1" applyBorder="1" applyAlignment="1">
      <alignment horizontal="right" vertical="center" wrapText="1"/>
    </xf>
    <xf numFmtId="3" fontId="10" fillId="0" borderId="234" xfId="31" applyNumberFormat="1" applyFont="1" applyFill="1" applyBorder="1" applyAlignment="1">
      <alignment horizontal="right"/>
    </xf>
    <xf numFmtId="3" fontId="12" fillId="0" borderId="61" xfId="21" applyNumberFormat="1" applyFont="1" applyFill="1" applyBorder="1" applyAlignment="1">
      <alignment horizontal="right" vertical="center" wrapText="1"/>
    </xf>
    <xf numFmtId="3" fontId="12" fillId="0" borderId="48" xfId="21" applyNumberFormat="1" applyFont="1" applyFill="1" applyBorder="1" applyAlignment="1">
      <alignment horizontal="right" vertical="center" wrapText="1"/>
    </xf>
    <xf numFmtId="3" fontId="12" fillId="0" borderId="16" xfId="21" applyNumberFormat="1" applyFont="1" applyFill="1" applyBorder="1" applyAlignment="1">
      <alignment horizontal="center" vertical="center" wrapText="1"/>
    </xf>
    <xf numFmtId="3" fontId="12" fillId="0" borderId="17" xfId="21" applyNumberFormat="1" applyFont="1" applyFill="1" applyBorder="1" applyAlignment="1">
      <alignment horizontal="center" vertical="center" wrapText="1"/>
    </xf>
    <xf numFmtId="3" fontId="12" fillId="0" borderId="47" xfId="21" applyNumberFormat="1" applyFont="1" applyFill="1" applyBorder="1" applyAlignment="1">
      <alignment horizontal="center" vertical="center" wrapText="1"/>
    </xf>
    <xf numFmtId="3" fontId="12" fillId="0" borderId="48" xfId="21" applyNumberFormat="1" applyFont="1" applyFill="1" applyBorder="1" applyAlignment="1">
      <alignment horizontal="center" vertical="center" wrapText="1"/>
    </xf>
    <xf numFmtId="3" fontId="12" fillId="0" borderId="236" xfId="21" applyNumberFormat="1" applyFont="1" applyFill="1" applyBorder="1" applyAlignment="1">
      <alignment horizontal="right" vertical="center" wrapText="1"/>
    </xf>
    <xf numFmtId="3" fontId="12" fillId="0" borderId="237" xfId="21" applyNumberFormat="1" applyFont="1" applyFill="1" applyBorder="1" applyAlignment="1">
      <alignment horizontal="right" vertical="center" wrapText="1"/>
    </xf>
    <xf numFmtId="3" fontId="12" fillId="0" borderId="187" xfId="21" applyNumberFormat="1" applyFont="1" applyFill="1" applyBorder="1" applyAlignment="1">
      <alignment horizontal="right" vertical="center" wrapText="1"/>
    </xf>
    <xf numFmtId="3" fontId="12" fillId="0" borderId="221" xfId="21" applyNumberFormat="1" applyFont="1" applyFill="1" applyBorder="1" applyAlignment="1">
      <alignment horizontal="right" vertical="center" wrapText="1"/>
    </xf>
    <xf numFmtId="0" fontId="10" fillId="0" borderId="51" xfId="31" applyFont="1" applyFill="1" applyBorder="1" applyAlignment="1">
      <alignment horizontal="center"/>
    </xf>
    <xf numFmtId="3" fontId="10" fillId="0" borderId="51" xfId="31" applyNumberFormat="1" applyFont="1" applyFill="1" applyBorder="1" applyAlignment="1">
      <alignment horizontal="right"/>
    </xf>
    <xf numFmtId="3" fontId="44" fillId="0" borderId="51" xfId="21" applyNumberFormat="1" applyFont="1" applyFill="1" applyBorder="1" applyAlignment="1">
      <alignment horizontal="right"/>
    </xf>
    <xf numFmtId="3" fontId="10" fillId="0" borderId="123" xfId="31" applyNumberFormat="1" applyFont="1" applyFill="1" applyBorder="1" applyAlignment="1">
      <alignment horizontal="right"/>
    </xf>
    <xf numFmtId="0" fontId="43" fillId="0" borderId="220" xfId="31" applyFont="1" applyFill="1" applyBorder="1" applyAlignment="1">
      <alignment horizontal="center" wrapText="1"/>
    </xf>
    <xf numFmtId="3" fontId="43" fillId="0" borderId="235" xfId="31" applyNumberFormat="1" applyFont="1" applyFill="1" applyBorder="1" applyAlignment="1">
      <alignment horizontal="right"/>
    </xf>
    <xf numFmtId="3" fontId="12" fillId="0" borderId="17" xfId="21" applyNumberFormat="1" applyFont="1" applyFill="1" applyBorder="1" applyAlignment="1">
      <alignment horizontal="right" wrapText="1"/>
    </xf>
    <xf numFmtId="3" fontId="12" fillId="0" borderId="115" xfId="21" applyNumberFormat="1" applyFont="1" applyFill="1" applyBorder="1" applyAlignment="1">
      <alignment horizontal="right" wrapText="1"/>
    </xf>
    <xf numFmtId="3" fontId="12" fillId="0" borderId="79" xfId="21" applyNumberFormat="1" applyFont="1" applyFill="1" applyBorder="1" applyAlignment="1">
      <alignment horizontal="right" wrapText="1"/>
    </xf>
    <xf numFmtId="3" fontId="10" fillId="0" borderId="79" xfId="21" applyNumberFormat="1" applyFont="1" applyFill="1" applyBorder="1" applyAlignment="1">
      <alignment horizontal="right" wrapText="1"/>
    </xf>
    <xf numFmtId="3" fontId="10" fillId="0" borderId="51" xfId="21" applyNumberFormat="1" applyFont="1" applyFill="1" applyBorder="1" applyAlignment="1">
      <alignment horizontal="right"/>
    </xf>
    <xf numFmtId="3" fontId="10" fillId="0" borderId="15" xfId="21" applyNumberFormat="1" applyFont="1" applyFill="1" applyBorder="1" applyAlignment="1">
      <alignment horizontal="right"/>
    </xf>
    <xf numFmtId="3" fontId="12" fillId="0" borderId="15" xfId="21" applyNumberFormat="1" applyFont="1" applyFill="1" applyBorder="1" applyAlignment="1">
      <alignment horizontal="right" wrapText="1"/>
    </xf>
    <xf numFmtId="3" fontId="10" fillId="0" borderId="114" xfId="21" applyNumberFormat="1" applyFont="1" applyFill="1" applyBorder="1" applyAlignment="1">
      <alignment horizontal="right"/>
    </xf>
    <xf numFmtId="3" fontId="10" fillId="0" borderId="23" xfId="21" applyNumberFormat="1" applyFont="1" applyFill="1" applyBorder="1" applyAlignment="1">
      <alignment horizontal="right"/>
    </xf>
    <xf numFmtId="0" fontId="12" fillId="0" borderId="120" xfId="31" applyFont="1" applyFill="1" applyBorder="1" applyAlignment="1">
      <alignment horizontal="center" wrapText="1"/>
    </xf>
    <xf numFmtId="0" fontId="12" fillId="0" borderId="57" xfId="31" applyFont="1" applyFill="1" applyBorder="1" applyAlignment="1">
      <alignment horizontal="center" wrapText="1"/>
    </xf>
    <xf numFmtId="3" fontId="43" fillId="0" borderId="238" xfId="31" applyNumberFormat="1" applyFont="1" applyFill="1" applyBorder="1" applyAlignment="1">
      <alignment horizontal="right"/>
    </xf>
    <xf numFmtId="3" fontId="43" fillId="0" borderId="236" xfId="31" applyNumberFormat="1" applyFont="1" applyFill="1" applyBorder="1" applyAlignment="1">
      <alignment horizontal="right"/>
    </xf>
    <xf numFmtId="3" fontId="12" fillId="0" borderId="192" xfId="21" applyNumberFormat="1" applyFont="1" applyFill="1" applyBorder="1" applyAlignment="1">
      <alignment horizontal="right" wrapText="1"/>
    </xf>
    <xf numFmtId="0" fontId="10" fillId="0" borderId="48" xfId="31" applyFont="1" applyFill="1" applyBorder="1" applyAlignment="1">
      <alignment horizontal="center"/>
    </xf>
    <xf numFmtId="3" fontId="10" fillId="0" borderId="59" xfId="21" applyNumberFormat="1" applyFont="1" applyFill="1" applyBorder="1" applyAlignment="1">
      <alignment horizontal="right"/>
    </xf>
    <xf numFmtId="0" fontId="12" fillId="0" borderId="61" xfId="31" applyFont="1" applyFill="1" applyBorder="1" applyAlignment="1">
      <alignment horizontal="center" wrapText="1"/>
    </xf>
    <xf numFmtId="3" fontId="12" fillId="0" borderId="48" xfId="21" applyNumberFormat="1" applyFont="1" applyFill="1" applyBorder="1" applyAlignment="1">
      <alignment horizontal="right" wrapText="1"/>
    </xf>
    <xf numFmtId="3" fontId="12" fillId="0" borderId="221" xfId="21" applyNumberFormat="1" applyFont="1" applyFill="1" applyBorder="1" applyAlignment="1">
      <alignment horizontal="right" wrapText="1"/>
    </xf>
    <xf numFmtId="3" fontId="43" fillId="0" borderId="237" xfId="31" applyNumberFormat="1" applyFont="1" applyFill="1" applyBorder="1" applyAlignment="1">
      <alignment horizontal="right"/>
    </xf>
    <xf numFmtId="0" fontId="56" fillId="0" borderId="209" xfId="21" applyFont="1" applyFill="1" applyBorder="1" applyAlignment="1">
      <alignment horizontal="left"/>
    </xf>
    <xf numFmtId="0" fontId="56" fillId="0" borderId="55" xfId="21" applyFont="1" applyFill="1" applyBorder="1" applyAlignment="1">
      <alignment horizontal="left"/>
    </xf>
    <xf numFmtId="0" fontId="10" fillId="0" borderId="23" xfId="31" applyFont="1" applyFill="1" applyBorder="1" applyAlignment="1">
      <alignment horizontal="center"/>
    </xf>
    <xf numFmtId="3" fontId="12" fillId="0" borderId="208" xfId="21" applyNumberFormat="1" applyFont="1" applyFill="1" applyBorder="1" applyAlignment="1">
      <alignment horizontal="right" wrapText="1"/>
    </xf>
    <xf numFmtId="0" fontId="10" fillId="0" borderId="24" xfId="31" applyFont="1" applyFill="1" applyBorder="1" applyAlignment="1">
      <alignment horizontal="center" vertical="top"/>
    </xf>
    <xf numFmtId="3" fontId="12" fillId="0" borderId="48" xfId="31" applyNumberFormat="1" applyFont="1" applyFill="1" applyBorder="1" applyAlignment="1">
      <alignment horizontal="right"/>
    </xf>
    <xf numFmtId="0" fontId="10" fillId="0" borderId="60" xfId="31" applyFont="1" applyFill="1" applyBorder="1" applyAlignment="1">
      <alignment horizontal="center" wrapText="1"/>
    </xf>
    <xf numFmtId="3" fontId="10" fillId="0" borderId="232" xfId="31" applyNumberFormat="1" applyFont="1" applyFill="1" applyBorder="1" applyAlignment="1">
      <alignment horizontal="right"/>
    </xf>
    <xf numFmtId="3" fontId="10" fillId="0" borderId="236" xfId="31" applyNumberFormat="1" applyFont="1" applyFill="1" applyBorder="1" applyAlignment="1">
      <alignment horizontal="right"/>
    </xf>
    <xf numFmtId="3" fontId="10" fillId="0" borderId="237" xfId="31" applyNumberFormat="1" applyFont="1" applyFill="1" applyBorder="1" applyAlignment="1">
      <alignment horizontal="right"/>
    </xf>
    <xf numFmtId="3" fontId="12" fillId="0" borderId="221" xfId="31" applyNumberFormat="1" applyFont="1" applyFill="1" applyBorder="1" applyAlignment="1">
      <alignment horizontal="right"/>
    </xf>
    <xf numFmtId="3" fontId="12" fillId="0" borderId="23" xfId="21" applyNumberFormat="1" applyFont="1" applyFill="1" applyBorder="1" applyAlignment="1">
      <alignment horizontal="center" vertical="center" wrapText="1"/>
    </xf>
    <xf numFmtId="3" fontId="10" fillId="0" borderId="60" xfId="21" applyNumberFormat="1" applyFont="1" applyFill="1" applyBorder="1" applyAlignment="1">
      <alignment horizontal="right" vertical="center" wrapText="1"/>
    </xf>
    <xf numFmtId="3" fontId="10" fillId="0" borderId="57" xfId="21" applyNumberFormat="1" applyFont="1" applyFill="1" applyBorder="1" applyAlignment="1">
      <alignment horizontal="right" vertical="center" wrapText="1"/>
    </xf>
    <xf numFmtId="3" fontId="12" fillId="0" borderId="239" xfId="21" applyNumberFormat="1" applyFont="1" applyFill="1" applyBorder="1" applyAlignment="1">
      <alignment horizontal="right" vertical="center" wrapText="1"/>
    </xf>
    <xf numFmtId="3" fontId="12" fillId="0" borderId="83" xfId="21" applyNumberFormat="1" applyFont="1" applyFill="1" applyBorder="1" applyAlignment="1">
      <alignment horizontal="right" vertical="center" wrapText="1"/>
    </xf>
    <xf numFmtId="3" fontId="12" fillId="0" borderId="59" xfId="21" applyNumberFormat="1" applyFont="1" applyFill="1" applyBorder="1" applyAlignment="1">
      <alignment horizontal="center" vertical="center" wrapText="1"/>
    </xf>
    <xf numFmtId="3" fontId="10" fillId="0" borderId="61" xfId="21" applyNumberFormat="1" applyFont="1" applyFill="1" applyBorder="1" applyAlignment="1">
      <alignment horizontal="right" vertical="center" wrapText="1"/>
    </xf>
    <xf numFmtId="3" fontId="12" fillId="0" borderId="234" xfId="21" applyNumberFormat="1" applyFont="1" applyFill="1" applyBorder="1" applyAlignment="1">
      <alignment horizontal="right" vertical="center" wrapText="1"/>
    </xf>
    <xf numFmtId="3" fontId="13" fillId="0" borderId="17" xfId="31" applyNumberFormat="1" applyFont="1" applyFill="1" applyBorder="1" applyAlignment="1">
      <alignment horizontal="right"/>
    </xf>
    <xf numFmtId="3" fontId="43" fillId="0" borderId="24" xfId="31" applyNumberFormat="1" applyFont="1" applyFill="1" applyBorder="1" applyAlignment="1">
      <alignment horizontal="right"/>
    </xf>
    <xf numFmtId="3" fontId="43" fillId="0" borderId="179" xfId="31" applyNumberFormat="1" applyFont="1" applyFill="1" applyBorder="1" applyAlignment="1">
      <alignment horizontal="right"/>
    </xf>
    <xf numFmtId="3" fontId="13" fillId="0" borderId="17" xfId="21" applyNumberFormat="1" applyFont="1" applyFill="1" applyBorder="1" applyAlignment="1">
      <alignment horizontal="right" vertical="center" wrapText="1"/>
    </xf>
    <xf numFmtId="0" fontId="10" fillId="0" borderId="0" xfId="49" applyFont="1" applyFill="1" applyBorder="1"/>
    <xf numFmtId="0" fontId="39" fillId="0" borderId="17" xfId="31" applyFont="1" applyFill="1" applyBorder="1" applyAlignment="1">
      <alignment horizontal="center" vertical="top"/>
    </xf>
    <xf numFmtId="0" fontId="39" fillId="0" borderId="17" xfId="21" applyFont="1" applyFill="1" applyBorder="1" applyAlignment="1">
      <alignment vertical="top" wrapText="1"/>
    </xf>
    <xf numFmtId="3" fontId="39" fillId="0" borderId="17" xfId="21" applyNumberFormat="1" applyFont="1" applyFill="1" applyBorder="1" applyAlignment="1">
      <alignment horizontal="right" vertical="center" wrapText="1"/>
    </xf>
    <xf numFmtId="0" fontId="20" fillId="0" borderId="17" xfId="31" applyFont="1" applyFill="1" applyBorder="1" applyAlignment="1">
      <alignment horizontal="center" vertical="top"/>
    </xf>
    <xf numFmtId="0" fontId="20" fillId="0" borderId="17" xfId="21" applyFont="1" applyFill="1" applyBorder="1" applyAlignment="1">
      <alignment vertical="top" wrapText="1"/>
    </xf>
    <xf numFmtId="3" fontId="20" fillId="0" borderId="17" xfId="21" applyNumberFormat="1" applyFont="1" applyFill="1" applyBorder="1" applyAlignment="1">
      <alignment horizontal="right" vertical="center" wrapText="1"/>
    </xf>
    <xf numFmtId="0" fontId="21" fillId="0" borderId="17" xfId="31" applyFont="1" applyFill="1" applyBorder="1" applyAlignment="1">
      <alignment horizontal="center" vertical="top"/>
    </xf>
    <xf numFmtId="0" fontId="21" fillId="0" borderId="17" xfId="21" applyFont="1" applyFill="1" applyBorder="1" applyAlignment="1">
      <alignment vertical="top" wrapText="1"/>
    </xf>
    <xf numFmtId="0" fontId="21" fillId="0" borderId="48" xfId="31" applyFont="1" applyFill="1" applyBorder="1" applyAlignment="1">
      <alignment horizontal="center" vertical="top"/>
    </xf>
    <xf numFmtId="0" fontId="21" fillId="0" borderId="48" xfId="21" applyFont="1" applyFill="1" applyBorder="1" applyAlignment="1">
      <alignment vertical="top" wrapText="1"/>
    </xf>
    <xf numFmtId="3" fontId="18" fillId="0" borderId="0" xfId="49" applyNumberFormat="1" applyFont="1" applyFill="1" applyBorder="1" applyAlignment="1">
      <alignment horizontal="left" vertical="top"/>
    </xf>
    <xf numFmtId="3" fontId="18" fillId="0" borderId="0" xfId="49" applyNumberFormat="1" applyFont="1" applyFill="1" applyBorder="1" applyAlignment="1">
      <alignment horizontal="center" vertical="center"/>
    </xf>
    <xf numFmtId="3" fontId="18" fillId="0" borderId="0" xfId="49" applyNumberFormat="1" applyFont="1" applyFill="1" applyBorder="1" applyAlignment="1">
      <alignment horizontal="right"/>
    </xf>
    <xf numFmtId="3" fontId="10" fillId="0" borderId="158" xfId="0" applyNumberFormat="1" applyFont="1" applyFill="1" applyBorder="1" applyAlignment="1">
      <alignment horizontal="right"/>
    </xf>
    <xf numFmtId="3" fontId="12" fillId="0" borderId="154" xfId="0" applyNumberFormat="1" applyFont="1" applyFill="1" applyBorder="1" applyAlignment="1">
      <alignment horizontal="right" vertical="center"/>
    </xf>
    <xf numFmtId="3" fontId="10" fillId="0" borderId="158" xfId="0" applyNumberFormat="1" applyFont="1" applyFill="1" applyBorder="1" applyAlignment="1">
      <alignment horizontal="right" vertical="center" textRotation="180"/>
    </xf>
    <xf numFmtId="3" fontId="10" fillId="0" borderId="19" xfId="0" applyNumberFormat="1" applyFont="1" applyFill="1" applyBorder="1" applyAlignment="1">
      <alignment horizontal="right" vertical="center" textRotation="180"/>
    </xf>
    <xf numFmtId="3" fontId="12" fillId="0" borderId="240" xfId="0" applyNumberFormat="1" applyFont="1" applyFill="1" applyBorder="1" applyAlignment="1">
      <alignment horizontal="right" vertical="center"/>
    </xf>
    <xf numFmtId="3" fontId="12" fillId="0" borderId="241" xfId="0" applyNumberFormat="1" applyFont="1" applyFill="1" applyBorder="1" applyAlignment="1">
      <alignment horizontal="right" vertical="center"/>
    </xf>
    <xf numFmtId="3" fontId="12" fillId="0" borderId="242" xfId="0" applyNumberFormat="1" applyFont="1" applyFill="1" applyBorder="1" applyAlignment="1">
      <alignment horizontal="right" vertical="center"/>
    </xf>
    <xf numFmtId="3" fontId="12" fillId="0" borderId="127" xfId="0" applyNumberFormat="1" applyFont="1" applyFill="1" applyBorder="1" applyAlignment="1">
      <alignment horizontal="right" vertical="center"/>
    </xf>
    <xf numFmtId="3" fontId="10" fillId="0" borderId="158" xfId="0" applyNumberFormat="1" applyFont="1" applyFill="1" applyBorder="1" applyAlignment="1">
      <alignment horizontal="right" vertical="center"/>
    </xf>
    <xf numFmtId="3" fontId="10" fillId="0" borderId="19" xfId="0" applyNumberFormat="1" applyFont="1" applyFill="1" applyBorder="1" applyAlignment="1">
      <alignment horizontal="right" vertical="center"/>
    </xf>
    <xf numFmtId="3" fontId="10" fillId="0" borderId="240" xfId="0" applyNumberFormat="1" applyFont="1" applyFill="1" applyBorder="1" applyAlignment="1">
      <alignment horizontal="right" vertical="center"/>
    </xf>
    <xf numFmtId="3" fontId="10" fillId="0" borderId="241" xfId="0" applyNumberFormat="1" applyFont="1" applyFill="1" applyBorder="1" applyAlignment="1">
      <alignment horizontal="right" vertical="center"/>
    </xf>
    <xf numFmtId="3" fontId="10" fillId="0" borderId="243" xfId="0" applyNumberFormat="1" applyFont="1" applyFill="1" applyBorder="1" applyAlignment="1">
      <alignment horizontal="right" vertical="center"/>
    </xf>
    <xf numFmtId="3" fontId="10" fillId="0" borderId="62" xfId="0" applyNumberFormat="1" applyFont="1" applyFill="1" applyBorder="1" applyAlignment="1">
      <alignment horizontal="right" vertical="center"/>
    </xf>
    <xf numFmtId="165" fontId="10" fillId="0" borderId="158" xfId="34" applyNumberFormat="1" applyFont="1" applyFill="1" applyBorder="1" applyAlignment="1">
      <alignment horizontal="right"/>
    </xf>
    <xf numFmtId="165" fontId="10" fillId="0" borderId="19" xfId="34" applyNumberFormat="1" applyFont="1" applyFill="1" applyBorder="1" applyAlignment="1">
      <alignment horizontal="right"/>
    </xf>
    <xf numFmtId="165" fontId="10" fillId="0" borderId="142" xfId="34" applyNumberFormat="1" applyFont="1" applyFill="1" applyBorder="1" applyAlignment="1">
      <alignment horizontal="right"/>
    </xf>
    <xf numFmtId="165" fontId="10" fillId="0" borderId="20" xfId="34" applyNumberFormat="1" applyFont="1" applyFill="1" applyBorder="1" applyAlignment="1">
      <alignment horizontal="right"/>
    </xf>
    <xf numFmtId="3" fontId="13" fillId="0" borderId="187" xfId="21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center" vertical="top"/>
    </xf>
    <xf numFmtId="0" fontId="10" fillId="0" borderId="0" xfId="0" applyFont="1" applyFill="1" applyAlignment="1">
      <alignment wrapText="1"/>
    </xf>
    <xf numFmtId="0" fontId="12" fillId="0" borderId="12" xfId="0" applyFont="1" applyFill="1" applyBorder="1" applyAlignment="1">
      <alignment vertical="center"/>
    </xf>
    <xf numFmtId="0" fontId="12" fillId="0" borderId="13" xfId="0" applyFont="1" applyFill="1" applyBorder="1" applyAlignment="1">
      <alignment horizontal="center" vertical="top"/>
    </xf>
    <xf numFmtId="0" fontId="12" fillId="0" borderId="1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top"/>
    </xf>
    <xf numFmtId="0" fontId="12" fillId="0" borderId="0" xfId="0" applyFont="1" applyFill="1" applyAlignment="1">
      <alignment wrapText="1"/>
    </xf>
    <xf numFmtId="0" fontId="25" fillId="0" borderId="0" xfId="0" applyFont="1" applyFill="1" applyAlignment="1"/>
    <xf numFmtId="0" fontId="24" fillId="0" borderId="0" xfId="0" applyFont="1" applyFill="1" applyAlignment="1">
      <alignment wrapText="1"/>
    </xf>
    <xf numFmtId="3" fontId="13" fillId="0" borderId="0" xfId="0" applyNumberFormat="1" applyFont="1" applyFill="1" applyAlignment="1"/>
    <xf numFmtId="0" fontId="10" fillId="0" borderId="0" xfId="0" applyFont="1" applyFill="1" applyAlignment="1">
      <alignment horizontal="left" wrapText="1" indent="2"/>
    </xf>
    <xf numFmtId="3" fontId="10" fillId="0" borderId="0" xfId="0" applyNumberFormat="1" applyFont="1" applyFill="1" applyBorder="1" applyAlignment="1">
      <alignment vertical="top"/>
    </xf>
    <xf numFmtId="3" fontId="10" fillId="0" borderId="10" xfId="0" applyNumberFormat="1" applyFont="1" applyFill="1" applyBorder="1" applyAlignment="1">
      <alignment vertical="top"/>
    </xf>
    <xf numFmtId="3" fontId="25" fillId="0" borderId="0" xfId="0" applyNumberFormat="1" applyFont="1" applyFill="1" applyBorder="1"/>
    <xf numFmtId="0" fontId="25" fillId="0" borderId="0" xfId="0" applyFont="1" applyFill="1" applyAlignment="1">
      <alignment wrapText="1"/>
    </xf>
    <xf numFmtId="3" fontId="10" fillId="0" borderId="0" xfId="0" applyNumberFormat="1" applyFont="1" applyFill="1" applyAlignment="1"/>
    <xf numFmtId="3" fontId="10" fillId="0" borderId="0" xfId="0" applyNumberFormat="1" applyFont="1" applyFill="1" applyAlignment="1">
      <alignment vertical="top"/>
    </xf>
    <xf numFmtId="0" fontId="10" fillId="0" borderId="0" xfId="0" applyFont="1" applyFill="1" applyAlignment="1">
      <alignment horizontal="left" indent="2" shrinkToFit="1"/>
    </xf>
    <xf numFmtId="3" fontId="25" fillId="0" borderId="0" xfId="0" applyNumberFormat="1" applyFont="1" applyFill="1" applyAlignment="1">
      <alignment vertical="top"/>
    </xf>
    <xf numFmtId="3" fontId="13" fillId="0" borderId="0" xfId="0" applyNumberFormat="1" applyFont="1" applyFill="1" applyAlignment="1">
      <alignment vertical="top"/>
    </xf>
    <xf numFmtId="3" fontId="10" fillId="0" borderId="0" xfId="28" applyNumberFormat="1" applyFont="1" applyFill="1" applyBorder="1" applyAlignment="1">
      <alignment wrapText="1"/>
    </xf>
    <xf numFmtId="3" fontId="25" fillId="0" borderId="0" xfId="28" applyNumberFormat="1" applyFont="1" applyFill="1" applyBorder="1" applyAlignment="1">
      <alignment wrapText="1"/>
    </xf>
    <xf numFmtId="3" fontId="13" fillId="0" borderId="0" xfId="28" applyNumberFormat="1" applyFont="1" applyFill="1" applyBorder="1" applyAlignment="1">
      <alignment wrapText="1"/>
    </xf>
    <xf numFmtId="0" fontId="25" fillId="0" borderId="0" xfId="0" applyFont="1" applyFill="1" applyAlignment="1">
      <alignment horizontal="right" wrapText="1"/>
    </xf>
    <xf numFmtId="0" fontId="13" fillId="0" borderId="0" xfId="0" applyFont="1" applyFill="1" applyAlignment="1">
      <alignment vertical="top"/>
    </xf>
    <xf numFmtId="0" fontId="12" fillId="0" borderId="13" xfId="0" applyFont="1" applyFill="1" applyBorder="1" applyAlignment="1">
      <alignment vertical="top"/>
    </xf>
    <xf numFmtId="0" fontId="12" fillId="0" borderId="13" xfId="0" applyFont="1" applyFill="1" applyBorder="1" applyAlignment="1">
      <alignment vertical="center" wrapText="1"/>
    </xf>
    <xf numFmtId="3" fontId="12" fillId="0" borderId="32" xfId="0" applyNumberFormat="1" applyFont="1" applyFill="1" applyBorder="1" applyAlignment="1">
      <alignment vertical="center"/>
    </xf>
    <xf numFmtId="0" fontId="34" fillId="0" borderId="0" xfId="0" applyFont="1" applyFill="1" applyAlignment="1">
      <alignment wrapText="1"/>
    </xf>
    <xf numFmtId="0" fontId="25" fillId="0" borderId="0" xfId="0" applyFont="1" applyFill="1" applyAlignment="1">
      <alignment horizontal="right"/>
    </xf>
    <xf numFmtId="3" fontId="12" fillId="0" borderId="0" xfId="0" applyNumberFormat="1" applyFont="1" applyFill="1"/>
    <xf numFmtId="0" fontId="13" fillId="0" borderId="34" xfId="0" applyFont="1" applyFill="1" applyBorder="1" applyAlignment="1">
      <alignment vertical="center"/>
    </xf>
    <xf numFmtId="0" fontId="25" fillId="0" borderId="34" xfId="0" applyFont="1" applyFill="1" applyBorder="1" applyAlignment="1">
      <alignment horizontal="right" vertical="center"/>
    </xf>
    <xf numFmtId="3" fontId="25" fillId="0" borderId="34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/>
    <xf numFmtId="0" fontId="58" fillId="0" borderId="0" xfId="0" applyFont="1" applyFill="1" applyAlignment="1">
      <alignment wrapText="1"/>
    </xf>
    <xf numFmtId="3" fontId="10" fillId="0" borderId="0" xfId="33" applyNumberFormat="1" applyFont="1" applyFill="1" applyBorder="1"/>
    <xf numFmtId="3" fontId="10" fillId="0" borderId="0" xfId="33" applyNumberFormat="1" applyFont="1" applyFill="1" applyBorder="1" applyAlignment="1">
      <alignment vertical="top"/>
    </xf>
    <xf numFmtId="3" fontId="10" fillId="0" borderId="0" xfId="33" applyNumberFormat="1" applyFont="1" applyFill="1" applyBorder="1" applyAlignment="1">
      <alignment vertical="center"/>
    </xf>
    <xf numFmtId="0" fontId="25" fillId="0" borderId="0" xfId="0" applyFont="1" applyFill="1"/>
    <xf numFmtId="0" fontId="13" fillId="0" borderId="0" xfId="0" applyFont="1" applyFill="1" applyBorder="1" applyAlignment="1"/>
    <xf numFmtId="3" fontId="25" fillId="0" borderId="34" xfId="33" applyNumberFormat="1" applyFont="1" applyFill="1" applyBorder="1" applyAlignment="1">
      <alignment vertical="center"/>
    </xf>
    <xf numFmtId="3" fontId="25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>
      <alignment vertical="top"/>
    </xf>
    <xf numFmtId="0" fontId="10" fillId="0" borderId="126" xfId="0" applyFont="1" applyFill="1" applyBorder="1" applyAlignment="1">
      <alignment vertical="center"/>
    </xf>
    <xf numFmtId="0" fontId="25" fillId="0" borderId="126" xfId="0" applyFont="1" applyFill="1" applyBorder="1" applyAlignment="1">
      <alignment horizontal="right" vertical="center" wrapText="1"/>
    </xf>
    <xf numFmtId="3" fontId="25" fillId="0" borderId="126" xfId="0" applyNumberFormat="1" applyFont="1" applyFill="1" applyBorder="1" applyAlignment="1">
      <alignment vertical="center"/>
    </xf>
    <xf numFmtId="0" fontId="58" fillId="0" borderId="0" xfId="0" applyFont="1" applyFill="1" applyBorder="1" applyAlignment="1">
      <alignment wrapText="1"/>
    </xf>
    <xf numFmtId="0" fontId="34" fillId="0" borderId="0" xfId="0" applyFont="1" applyFill="1"/>
    <xf numFmtId="0" fontId="25" fillId="0" borderId="34" xfId="0" applyFont="1" applyFill="1" applyBorder="1" applyAlignment="1">
      <alignment vertical="center"/>
    </xf>
    <xf numFmtId="0" fontId="25" fillId="0" borderId="34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vertical="center"/>
    </xf>
    <xf numFmtId="3" fontId="13" fillId="0" borderId="0" xfId="0" applyNumberFormat="1" applyFont="1" applyFill="1"/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12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3" fontId="10" fillId="0" borderId="0" xfId="0" applyNumberFormat="1" applyFont="1" applyFill="1" applyBorder="1" applyAlignment="1">
      <alignment horizontal="right"/>
    </xf>
    <xf numFmtId="3" fontId="10" fillId="0" borderId="0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3" fontId="13" fillId="0" borderId="0" xfId="0" applyNumberFormat="1" applyFont="1" applyFill="1" applyBorder="1"/>
    <xf numFmtId="3" fontId="35" fillId="0" borderId="0" xfId="0" applyNumberFormat="1" applyFont="1" applyFill="1" applyBorder="1"/>
    <xf numFmtId="0" fontId="35" fillId="0" borderId="0" xfId="0" applyFont="1" applyFill="1" applyAlignment="1">
      <alignment wrapText="1"/>
    </xf>
    <xf numFmtId="3" fontId="35" fillId="0" borderId="0" xfId="0" applyNumberFormat="1" applyFont="1" applyFill="1"/>
    <xf numFmtId="0" fontId="13" fillId="0" borderId="0" xfId="0" applyFont="1" applyFill="1" applyAlignment="1">
      <alignment wrapText="1"/>
    </xf>
    <xf numFmtId="3" fontId="10" fillId="0" borderId="0" xfId="0" applyNumberFormat="1" applyFont="1" applyFill="1" applyBorder="1" applyAlignment="1"/>
    <xf numFmtId="0" fontId="58" fillId="0" borderId="0" xfId="0" applyFont="1" applyFill="1" applyAlignment="1"/>
    <xf numFmtId="3" fontId="21" fillId="0" borderId="36" xfId="0" applyNumberFormat="1" applyFont="1" applyFill="1" applyBorder="1" applyAlignment="1">
      <alignment horizontal="center" vertical="center"/>
    </xf>
    <xf numFmtId="3" fontId="25" fillId="0" borderId="0" xfId="0" applyNumberFormat="1" applyFont="1" applyFill="1" applyBorder="1" applyAlignment="1"/>
    <xf numFmtId="3" fontId="18" fillId="0" borderId="24" xfId="28" applyNumberFormat="1" applyFont="1" applyFill="1" applyBorder="1" applyAlignment="1" applyProtection="1">
      <alignment horizontal="center"/>
      <protection locked="0"/>
    </xf>
    <xf numFmtId="0" fontId="10" fillId="0" borderId="0" xfId="0" applyFont="1" applyFill="1" applyAlignment="1">
      <alignment horizontal="left" wrapText="1" indent="2" shrinkToFit="1"/>
    </xf>
    <xf numFmtId="0" fontId="18" fillId="0" borderId="24" xfId="32" applyFont="1" applyFill="1" applyBorder="1" applyAlignment="1" applyProtection="1">
      <alignment horizontal="left"/>
      <protection locked="0"/>
    </xf>
    <xf numFmtId="3" fontId="18" fillId="0" borderId="24" xfId="32" applyNumberFormat="1" applyFont="1" applyFill="1" applyBorder="1" applyAlignment="1" applyProtection="1">
      <alignment horizontal="left"/>
      <protection locked="0"/>
    </xf>
    <xf numFmtId="3" fontId="10" fillId="0" borderId="13" xfId="17" applyNumberFormat="1" applyFont="1" applyFill="1" applyBorder="1" applyAlignment="1">
      <alignment horizontal="center" vertical="center" wrapText="1"/>
    </xf>
    <xf numFmtId="3" fontId="21" fillId="0" borderId="129" xfId="18" applyNumberFormat="1" applyFont="1" applyFill="1" applyBorder="1" applyAlignment="1">
      <alignment horizontal="right"/>
    </xf>
    <xf numFmtId="3" fontId="20" fillId="0" borderId="45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/>
    </xf>
    <xf numFmtId="0" fontId="58" fillId="0" borderId="0" xfId="0" applyFont="1" applyFill="1" applyBorder="1" applyAlignment="1"/>
    <xf numFmtId="3" fontId="18" fillId="0" borderId="58" xfId="18" applyNumberFormat="1" applyFont="1" applyFill="1" applyBorder="1" applyAlignment="1">
      <alignment horizontal="right"/>
    </xf>
    <xf numFmtId="3" fontId="18" fillId="0" borderId="45" xfId="18" applyNumberFormat="1" applyFont="1" applyFill="1" applyBorder="1" applyAlignment="1">
      <alignment horizontal="right"/>
    </xf>
    <xf numFmtId="3" fontId="21" fillId="0" borderId="46" xfId="0" applyNumberFormat="1" applyFont="1" applyFill="1" applyBorder="1" applyAlignment="1">
      <alignment horizontal="right" vertical="center" wrapText="1"/>
    </xf>
    <xf numFmtId="3" fontId="20" fillId="0" borderId="46" xfId="0" applyNumberFormat="1" applyFont="1" applyFill="1" applyBorder="1" applyAlignment="1">
      <alignment horizontal="right" vertical="center" wrapText="1"/>
    </xf>
    <xf numFmtId="3" fontId="18" fillId="0" borderId="120" xfId="18" applyNumberFormat="1" applyFont="1" applyFill="1" applyBorder="1" applyAlignment="1">
      <alignment horizontal="center"/>
    </xf>
    <xf numFmtId="3" fontId="21" fillId="0" borderId="117" xfId="0" applyNumberFormat="1" applyFont="1" applyFill="1" applyBorder="1" applyAlignment="1">
      <alignment vertical="center"/>
    </xf>
    <xf numFmtId="3" fontId="21" fillId="0" borderId="238" xfId="0" applyNumberFormat="1" applyFont="1" applyFill="1" applyBorder="1" applyAlignment="1">
      <alignment vertical="center"/>
    </xf>
    <xf numFmtId="3" fontId="20" fillId="0" borderId="80" xfId="0" applyNumberFormat="1" applyFont="1" applyFill="1" applyBorder="1" applyAlignment="1">
      <alignment vertical="center"/>
    </xf>
    <xf numFmtId="3" fontId="10" fillId="0" borderId="52" xfId="0" applyNumberFormat="1" applyFont="1" applyFill="1" applyBorder="1" applyAlignment="1">
      <alignment horizontal="right" vertical="center" wrapText="1"/>
    </xf>
    <xf numFmtId="3" fontId="10" fillId="0" borderId="54" xfId="18" applyNumberFormat="1" applyFont="1" applyFill="1" applyBorder="1" applyAlignment="1">
      <alignment vertical="center" shrinkToFit="1"/>
    </xf>
    <xf numFmtId="3" fontId="10" fillId="0" borderId="0" xfId="22" applyNumberFormat="1" applyFont="1" applyBorder="1" applyAlignment="1">
      <alignment horizontal="right" vertical="center" wrapText="1"/>
    </xf>
    <xf numFmtId="3" fontId="18" fillId="0" borderId="4" xfId="18" applyNumberFormat="1" applyFont="1" applyFill="1" applyBorder="1" applyAlignment="1" applyProtection="1">
      <alignment horizontal="center" vertical="center" textRotation="90"/>
      <protection locked="0"/>
    </xf>
    <xf numFmtId="0" fontId="18" fillId="0" borderId="43" xfId="31" applyFont="1" applyFill="1" applyBorder="1" applyAlignment="1" applyProtection="1">
      <alignment horizontal="center" vertical="center" textRotation="90" wrapText="1"/>
      <protection locked="0"/>
    </xf>
    <xf numFmtId="3" fontId="18" fillId="0" borderId="43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44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128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43" xfId="32" applyNumberFormat="1" applyFont="1" applyFill="1" applyBorder="1" applyAlignment="1" applyProtection="1">
      <alignment vertical="center"/>
      <protection locked="0"/>
    </xf>
    <xf numFmtId="3" fontId="21" fillId="0" borderId="43" xfId="31" applyNumberFormat="1" applyFont="1" applyFill="1" applyBorder="1" applyAlignment="1" applyProtection="1">
      <alignment vertical="center"/>
      <protection locked="0"/>
    </xf>
    <xf numFmtId="3" fontId="21" fillId="0" borderId="17" xfId="32" applyNumberFormat="1" applyFont="1" applyFill="1" applyBorder="1" applyAlignment="1" applyProtection="1">
      <alignment vertical="center"/>
      <protection locked="0"/>
    </xf>
    <xf numFmtId="3" fontId="21" fillId="0" borderId="17" xfId="31" applyNumberFormat="1" applyFont="1" applyFill="1" applyBorder="1" applyAlignment="1" applyProtection="1">
      <alignment vertical="center"/>
      <protection locked="0"/>
    </xf>
    <xf numFmtId="3" fontId="21" fillId="0" borderId="128" xfId="31" applyNumberFormat="1" applyFont="1" applyFill="1" applyBorder="1" applyAlignment="1" applyProtection="1">
      <alignment horizontal="right" vertical="center"/>
      <protection locked="0"/>
    </xf>
    <xf numFmtId="3" fontId="21" fillId="0" borderId="115" xfId="31" applyNumberFormat="1" applyFont="1" applyFill="1" applyBorder="1" applyAlignment="1" applyProtection="1">
      <alignment horizontal="right" vertical="center"/>
      <protection locked="0"/>
    </xf>
    <xf numFmtId="3" fontId="21" fillId="0" borderId="45" xfId="32" applyNumberFormat="1" applyFont="1" applyFill="1" applyBorder="1" applyAlignment="1" applyProtection="1">
      <alignment vertical="center"/>
      <protection locked="0"/>
    </xf>
    <xf numFmtId="3" fontId="18" fillId="0" borderId="45" xfId="31" applyNumberFormat="1" applyFont="1" applyFill="1" applyBorder="1" applyAlignment="1" applyProtection="1">
      <alignment vertical="center"/>
      <protection locked="0"/>
    </xf>
    <xf numFmtId="3" fontId="21" fillId="0" borderId="129" xfId="31" applyNumberFormat="1" applyFont="1" applyFill="1" applyBorder="1" applyAlignment="1" applyProtection="1">
      <alignment horizontal="right" vertical="center"/>
      <protection locked="0"/>
    </xf>
    <xf numFmtId="3" fontId="18" fillId="0" borderId="53" xfId="31" applyNumberFormat="1" applyFont="1" applyFill="1" applyBorder="1" applyAlignment="1" applyProtection="1">
      <alignment vertical="center"/>
      <protection locked="0"/>
    </xf>
    <xf numFmtId="3" fontId="21" fillId="0" borderId="131" xfId="31" applyNumberFormat="1" applyFont="1" applyFill="1" applyBorder="1" applyAlignment="1" applyProtection="1">
      <alignment horizontal="right" vertical="center"/>
      <protection locked="0"/>
    </xf>
    <xf numFmtId="0" fontId="21" fillId="0" borderId="42" xfId="32" applyFont="1" applyFill="1" applyBorder="1" applyAlignment="1" applyProtection="1">
      <alignment horizontal="center" vertical="center"/>
      <protection locked="0"/>
    </xf>
    <xf numFmtId="3" fontId="21" fillId="0" borderId="44" xfId="31" applyNumberFormat="1" applyFont="1" applyFill="1" applyBorder="1" applyAlignment="1" applyProtection="1">
      <alignment horizontal="right" vertical="center"/>
      <protection locked="0"/>
    </xf>
    <xf numFmtId="3" fontId="21" fillId="0" borderId="18" xfId="31" applyNumberFormat="1" applyFont="1" applyFill="1" applyBorder="1" applyAlignment="1" applyProtection="1">
      <alignment horizontal="right" vertical="center"/>
      <protection locked="0"/>
    </xf>
    <xf numFmtId="3" fontId="21" fillId="0" borderId="46" xfId="31" applyNumberFormat="1" applyFont="1" applyFill="1" applyBorder="1" applyAlignment="1" applyProtection="1">
      <alignment horizontal="right" vertical="center"/>
      <protection locked="0"/>
    </xf>
    <xf numFmtId="3" fontId="21" fillId="0" borderId="29" xfId="31" applyNumberFormat="1" applyFont="1" applyFill="1" applyBorder="1" applyAlignment="1" applyProtection="1">
      <alignment horizontal="right" vertical="center"/>
      <protection locked="0"/>
    </xf>
    <xf numFmtId="3" fontId="18" fillId="0" borderId="26" xfId="31" applyNumberFormat="1" applyFont="1" applyFill="1" applyBorder="1" applyAlignment="1" applyProtection="1">
      <alignment horizontal="right"/>
      <protection locked="0"/>
    </xf>
    <xf numFmtId="3" fontId="18" fillId="0" borderId="26" xfId="31" applyNumberFormat="1" applyFont="1" applyFill="1" applyBorder="1" applyAlignment="1" applyProtection="1">
      <alignment horizontal="right" vertical="center"/>
      <protection locked="0"/>
    </xf>
    <xf numFmtId="3" fontId="18" fillId="0" borderId="26" xfId="31" applyNumberFormat="1" applyFont="1" applyFill="1" applyBorder="1" applyAlignment="1" applyProtection="1">
      <alignment horizontal="left"/>
      <protection locked="0"/>
    </xf>
    <xf numFmtId="3" fontId="18" fillId="0" borderId="26" xfId="31" applyNumberFormat="1" applyFont="1" applyFill="1" applyBorder="1" applyAlignment="1" applyProtection="1">
      <alignment vertical="center"/>
      <protection locked="0"/>
    </xf>
    <xf numFmtId="3" fontId="21" fillId="0" borderId="205" xfId="31" applyNumberFormat="1" applyFont="1" applyFill="1" applyBorder="1" applyAlignment="1" applyProtection="1">
      <alignment horizontal="right" vertical="center"/>
      <protection locked="0"/>
    </xf>
    <xf numFmtId="3" fontId="21" fillId="0" borderId="74" xfId="31" applyNumberFormat="1" applyFont="1" applyFill="1" applyBorder="1" applyAlignment="1" applyProtection="1">
      <alignment horizontal="right" vertical="center"/>
      <protection locked="0"/>
    </xf>
    <xf numFmtId="3" fontId="18" fillId="3" borderId="0" xfId="0" applyNumberFormat="1" applyFont="1" applyFill="1" applyAlignment="1">
      <alignment horizontal="right"/>
    </xf>
    <xf numFmtId="3" fontId="20" fillId="0" borderId="23" xfId="0" applyNumberFormat="1" applyFont="1" applyFill="1" applyBorder="1" applyAlignment="1">
      <alignment vertical="top"/>
    </xf>
    <xf numFmtId="3" fontId="40" fillId="0" borderId="23" xfId="0" applyNumberFormat="1" applyFont="1" applyFill="1" applyBorder="1" applyAlignment="1">
      <alignment vertical="center"/>
    </xf>
    <xf numFmtId="3" fontId="24" fillId="0" borderId="23" xfId="0" applyNumberFormat="1" applyFont="1" applyFill="1" applyBorder="1" applyAlignment="1">
      <alignment vertical="center"/>
    </xf>
    <xf numFmtId="3" fontId="18" fillId="0" borderId="23" xfId="0" applyNumberFormat="1" applyFont="1" applyFill="1" applyBorder="1" applyAlignment="1">
      <alignment vertical="top"/>
    </xf>
    <xf numFmtId="3" fontId="24" fillId="0" borderId="192" xfId="0" applyNumberFormat="1" applyFont="1" applyFill="1" applyBorder="1" applyAlignment="1">
      <alignment vertical="center"/>
    </xf>
    <xf numFmtId="3" fontId="21" fillId="0" borderId="81" xfId="0" applyNumberFormat="1" applyFont="1" applyFill="1" applyBorder="1" applyAlignment="1">
      <alignment vertical="center"/>
    </xf>
    <xf numFmtId="3" fontId="21" fillId="0" borderId="59" xfId="0" applyNumberFormat="1" applyFont="1" applyFill="1" applyBorder="1" applyAlignment="1">
      <alignment vertical="center"/>
    </xf>
    <xf numFmtId="3" fontId="21" fillId="0" borderId="26" xfId="0" applyNumberFormat="1" applyFont="1" applyFill="1" applyBorder="1" applyAlignment="1">
      <alignment horizontal="right"/>
    </xf>
    <xf numFmtId="3" fontId="20" fillId="0" borderId="23" xfId="0" applyNumberFormat="1" applyFont="1" applyFill="1" applyBorder="1" applyAlignment="1"/>
    <xf numFmtId="3" fontId="18" fillId="0" borderId="23" xfId="0" applyNumberFormat="1" applyFont="1" applyFill="1" applyBorder="1" applyAlignment="1">
      <alignment vertical="center"/>
    </xf>
    <xf numFmtId="3" fontId="18" fillId="0" borderId="115" xfId="0" applyNumberFormat="1" applyFont="1" applyFill="1" applyBorder="1" applyAlignment="1">
      <alignment horizontal="center" vertical="center"/>
    </xf>
    <xf numFmtId="3" fontId="24" fillId="0" borderId="81" xfId="0" applyNumberFormat="1" applyFont="1" applyFill="1" applyBorder="1" applyAlignment="1">
      <alignment vertical="center"/>
    </xf>
    <xf numFmtId="3" fontId="21" fillId="0" borderId="81" xfId="0" applyNumberFormat="1" applyFont="1" applyFill="1" applyBorder="1" applyAlignment="1">
      <alignment horizontal="right" vertical="center"/>
    </xf>
    <xf numFmtId="3" fontId="18" fillId="0" borderId="23" xfId="0" applyNumberFormat="1" applyFont="1" applyFill="1" applyBorder="1" applyAlignment="1">
      <alignment horizontal="right" vertical="center"/>
    </xf>
    <xf numFmtId="3" fontId="40" fillId="0" borderId="187" xfId="0" applyNumberFormat="1" applyFont="1" applyFill="1" applyBorder="1" applyAlignment="1">
      <alignment horizontal="right" vertical="center"/>
    </xf>
    <xf numFmtId="3" fontId="21" fillId="0" borderId="58" xfId="0" applyNumberFormat="1" applyFont="1" applyFill="1" applyBorder="1" applyAlignment="1">
      <alignment vertical="center"/>
    </xf>
    <xf numFmtId="3" fontId="40" fillId="0" borderId="23" xfId="0" applyNumberFormat="1" applyFont="1" applyFill="1" applyBorder="1" applyAlignment="1">
      <alignment horizontal="right" vertical="center"/>
    </xf>
    <xf numFmtId="3" fontId="18" fillId="0" borderId="23" xfId="0" applyNumberFormat="1" applyFont="1" applyFill="1" applyBorder="1" applyAlignment="1">
      <alignment horizontal="right" vertical="top"/>
    </xf>
    <xf numFmtId="3" fontId="40" fillId="0" borderId="58" xfId="0" applyNumberFormat="1" applyFont="1" applyFill="1" applyBorder="1" applyAlignment="1">
      <alignment horizontal="right" vertical="center"/>
    </xf>
    <xf numFmtId="3" fontId="20" fillId="0" borderId="0" xfId="0" applyNumberFormat="1" applyFont="1" applyFill="1"/>
    <xf numFmtId="3" fontId="13" fillId="0" borderId="8" xfId="0" applyNumberFormat="1" applyFont="1" applyFill="1" applyBorder="1"/>
    <xf numFmtId="3" fontId="25" fillId="0" borderId="0" xfId="0" applyNumberFormat="1" applyFont="1" applyFill="1" applyBorder="1" applyAlignment="1">
      <alignment vertical="center"/>
    </xf>
    <xf numFmtId="3" fontId="13" fillId="0" borderId="10" xfId="0" applyNumberFormat="1" applyFont="1" applyFill="1" applyBorder="1"/>
    <xf numFmtId="3" fontId="10" fillId="0" borderId="10" xfId="33" applyNumberFormat="1" applyFont="1" applyFill="1" applyBorder="1" applyAlignment="1">
      <alignment vertical="top"/>
    </xf>
    <xf numFmtId="0" fontId="25" fillId="0" borderId="0" xfId="0" applyFont="1" applyFill="1" applyBorder="1" applyAlignment="1">
      <alignment horizontal="right" vertical="center"/>
    </xf>
    <xf numFmtId="0" fontId="13" fillId="0" borderId="126" xfId="0" applyFont="1" applyFill="1" applyBorder="1" applyAlignment="1">
      <alignment vertical="center"/>
    </xf>
    <xf numFmtId="0" fontId="25" fillId="0" borderId="126" xfId="33" applyFont="1" applyFill="1" applyBorder="1" applyAlignment="1">
      <alignment horizontal="right" vertical="center" wrapText="1"/>
    </xf>
    <xf numFmtId="3" fontId="21" fillId="0" borderId="17" xfId="21" applyNumberFormat="1" applyFont="1" applyFill="1" applyBorder="1" applyAlignment="1">
      <alignment horizontal="right" vertical="center" wrapText="1"/>
    </xf>
    <xf numFmtId="0" fontId="21" fillId="0" borderId="115" xfId="31" applyFont="1" applyFill="1" applyBorder="1" applyAlignment="1">
      <alignment horizontal="center" vertical="center" wrapText="1"/>
    </xf>
    <xf numFmtId="0" fontId="21" fillId="0" borderId="116" xfId="31" applyFont="1" applyFill="1" applyBorder="1" applyAlignment="1">
      <alignment horizontal="center" vertical="center" wrapText="1"/>
    </xf>
    <xf numFmtId="3" fontId="21" fillId="0" borderId="236" xfId="31" applyNumberFormat="1" applyFont="1" applyFill="1" applyBorder="1" applyAlignment="1">
      <alignment horizontal="right" vertical="center"/>
    </xf>
    <xf numFmtId="3" fontId="10" fillId="0" borderId="16" xfId="22" applyNumberFormat="1" applyFont="1" applyFill="1" applyBorder="1" applyAlignment="1">
      <alignment horizontal="center" vertical="center" wrapText="1"/>
    </xf>
    <xf numFmtId="3" fontId="10" fillId="0" borderId="17" xfId="22" applyNumberFormat="1" applyFont="1" applyFill="1" applyBorder="1" applyAlignment="1">
      <alignment horizontal="center" vertical="center" wrapText="1"/>
    </xf>
    <xf numFmtId="0" fontId="10" fillId="0" borderId="17" xfId="21" applyFont="1" applyFill="1" applyBorder="1" applyAlignment="1">
      <alignment vertical="center"/>
    </xf>
    <xf numFmtId="3" fontId="25" fillId="0" borderId="187" xfId="21" applyNumberFormat="1" applyFont="1" applyFill="1" applyBorder="1" applyAlignment="1">
      <alignment horizontal="right" wrapText="1"/>
    </xf>
    <xf numFmtId="0" fontId="57" fillId="0" borderId="0" xfId="0" applyFont="1" applyFill="1" applyAlignment="1">
      <alignment shrinkToFit="1"/>
    </xf>
    <xf numFmtId="0" fontId="25" fillId="0" borderId="0" xfId="0" applyFont="1" applyFill="1" applyAlignment="1">
      <alignment horizontal="right" shrinkToFit="1"/>
    </xf>
    <xf numFmtId="3" fontId="18" fillId="0" borderId="0" xfId="18" applyNumberFormat="1" applyFont="1" applyFill="1" applyAlignment="1"/>
    <xf numFmtId="3" fontId="18" fillId="0" borderId="179" xfId="18" applyNumberFormat="1" applyFont="1" applyFill="1" applyBorder="1" applyAlignment="1">
      <alignment horizontal="center" vertical="center" wrapText="1"/>
    </xf>
    <xf numFmtId="3" fontId="18" fillId="0" borderId="26" xfId="18" applyNumberFormat="1" applyFont="1" applyFill="1" applyBorder="1" applyAlignment="1">
      <alignment horizontal="right"/>
    </xf>
    <xf numFmtId="3" fontId="18" fillId="0" borderId="23" xfId="18" applyNumberFormat="1" applyFont="1" applyFill="1" applyBorder="1" applyAlignment="1">
      <alignment horizontal="right"/>
    </xf>
    <xf numFmtId="3" fontId="10" fillId="0" borderId="187" xfId="18" applyNumberFormat="1" applyFont="1" applyFill="1" applyBorder="1" applyAlignment="1">
      <alignment horizontal="center" vertical="center"/>
    </xf>
    <xf numFmtId="3" fontId="39" fillId="0" borderId="23" xfId="18" applyNumberFormat="1" applyFont="1" applyFill="1" applyBorder="1" applyAlignment="1">
      <alignment horizontal="right"/>
    </xf>
    <xf numFmtId="3" fontId="20" fillId="0" borderId="23" xfId="18" applyNumberFormat="1" applyFont="1" applyFill="1" applyBorder="1" applyAlignment="1">
      <alignment horizontal="right"/>
    </xf>
    <xf numFmtId="3" fontId="10" fillId="0" borderId="223" xfId="18" applyNumberFormat="1" applyFont="1" applyFill="1" applyBorder="1" applyAlignment="1">
      <alignment horizontal="center" vertical="center"/>
    </xf>
    <xf numFmtId="3" fontId="39" fillId="0" borderId="26" xfId="18" applyNumberFormat="1" applyFont="1" applyFill="1" applyBorder="1" applyAlignment="1">
      <alignment horizontal="right"/>
    </xf>
    <xf numFmtId="3" fontId="40" fillId="0" borderId="23" xfId="18" applyNumberFormat="1" applyFont="1" applyFill="1" applyBorder="1" applyAlignment="1">
      <alignment horizontal="right"/>
    </xf>
    <xf numFmtId="3" fontId="52" fillId="0" borderId="187" xfId="18" applyNumberFormat="1" applyFont="1" applyFill="1" applyBorder="1" applyAlignment="1">
      <alignment horizontal="center" vertical="center"/>
    </xf>
    <xf numFmtId="3" fontId="18" fillId="0" borderId="23" xfId="18" applyNumberFormat="1" applyFont="1" applyFill="1" applyBorder="1" applyAlignment="1"/>
    <xf numFmtId="3" fontId="40" fillId="0" borderId="26" xfId="18" applyNumberFormat="1" applyFont="1" applyFill="1" applyBorder="1" applyAlignment="1">
      <alignment horizontal="right"/>
    </xf>
    <xf numFmtId="3" fontId="20" fillId="0" borderId="26" xfId="18" applyNumberFormat="1" applyFont="1" applyFill="1" applyBorder="1" applyAlignment="1">
      <alignment horizontal="right"/>
    </xf>
    <xf numFmtId="3" fontId="18" fillId="0" borderId="171" xfId="18" applyNumberFormat="1" applyFont="1" applyFill="1" applyBorder="1" applyAlignment="1">
      <alignment horizontal="right"/>
    </xf>
    <xf numFmtId="3" fontId="21" fillId="0" borderId="18" xfId="0" applyNumberFormat="1" applyFont="1" applyFill="1" applyBorder="1" applyAlignment="1">
      <alignment horizontal="right" vertical="center" wrapText="1"/>
    </xf>
    <xf numFmtId="3" fontId="18" fillId="0" borderId="26" xfId="31" applyNumberFormat="1" applyFont="1" applyFill="1" applyBorder="1" applyAlignment="1">
      <alignment horizontal="right" vertical="center"/>
    </xf>
    <xf numFmtId="3" fontId="18" fillId="0" borderId="23" xfId="31" applyNumberFormat="1" applyFont="1" applyFill="1" applyBorder="1" applyAlignment="1">
      <alignment horizontal="right" vertical="center"/>
    </xf>
    <xf numFmtId="3" fontId="20" fillId="0" borderId="23" xfId="31" applyNumberFormat="1" applyFont="1" applyFill="1" applyBorder="1" applyAlignment="1">
      <alignment horizontal="right" vertical="center"/>
    </xf>
    <xf numFmtId="3" fontId="21" fillId="0" borderId="23" xfId="31" applyNumberFormat="1" applyFont="1" applyFill="1" applyBorder="1" applyAlignment="1">
      <alignment horizontal="right" vertical="center"/>
    </xf>
    <xf numFmtId="3" fontId="39" fillId="0" borderId="23" xfId="31" applyNumberFormat="1" applyFont="1" applyFill="1" applyBorder="1" applyAlignment="1">
      <alignment horizontal="right" vertical="center"/>
    </xf>
    <xf numFmtId="3" fontId="21" fillId="0" borderId="187" xfId="31" applyNumberFormat="1" applyFont="1" applyFill="1" applyBorder="1" applyAlignment="1">
      <alignment horizontal="right" vertical="center"/>
    </xf>
    <xf numFmtId="3" fontId="21" fillId="0" borderId="221" xfId="31" applyNumberFormat="1" applyFont="1" applyFill="1" applyBorder="1" applyAlignment="1">
      <alignment horizontal="right" vertical="center"/>
    </xf>
    <xf numFmtId="3" fontId="21" fillId="0" borderId="59" xfId="31" applyNumberFormat="1" applyFont="1" applyFill="1" applyBorder="1" applyAlignment="1">
      <alignment horizontal="right" vertical="center"/>
    </xf>
    <xf numFmtId="3" fontId="18" fillId="0" borderId="122" xfId="22" applyNumberFormat="1" applyFont="1" applyFill="1" applyBorder="1" applyAlignment="1">
      <alignment horizontal="left" vertical="center" wrapText="1"/>
    </xf>
    <xf numFmtId="3" fontId="25" fillId="0" borderId="0" xfId="0" applyNumberFormat="1" applyFont="1" applyFill="1" applyBorder="1" applyAlignment="1">
      <alignment horizontal="right"/>
    </xf>
    <xf numFmtId="3" fontId="13" fillId="0" borderId="0" xfId="0" applyNumberFormat="1" applyFont="1" applyFill="1" applyBorder="1" applyAlignment="1"/>
    <xf numFmtId="3" fontId="20" fillId="0" borderId="36" xfId="31" applyNumberFormat="1" applyFont="1" applyFill="1" applyBorder="1" applyAlignment="1">
      <alignment vertical="center"/>
    </xf>
    <xf numFmtId="3" fontId="21" fillId="0" borderId="36" xfId="31" applyNumberFormat="1" applyFont="1" applyFill="1" applyBorder="1" applyAlignment="1">
      <alignment horizontal="right" vertical="center"/>
    </xf>
    <xf numFmtId="3" fontId="13" fillId="0" borderId="17" xfId="21" applyNumberFormat="1" applyFont="1" applyFill="1" applyBorder="1" applyAlignment="1">
      <alignment horizontal="right" wrapText="1"/>
    </xf>
    <xf numFmtId="3" fontId="25" fillId="0" borderId="0" xfId="21" applyNumberFormat="1" applyFont="1" applyFill="1" applyBorder="1" applyAlignment="1">
      <alignment wrapText="1"/>
    </xf>
    <xf numFmtId="3" fontId="13" fillId="0" borderId="115" xfId="31" applyNumberFormat="1" applyFont="1" applyFill="1" applyBorder="1" applyAlignment="1">
      <alignment horizontal="right"/>
    </xf>
    <xf numFmtId="3" fontId="20" fillId="0" borderId="24" xfId="18" applyNumberFormat="1" applyFont="1" applyFill="1" applyBorder="1" applyAlignment="1">
      <alignment shrinkToFit="1"/>
    </xf>
    <xf numFmtId="3" fontId="13" fillId="0" borderId="115" xfId="21" applyNumberFormat="1" applyFont="1" applyFill="1" applyBorder="1" applyAlignment="1">
      <alignment horizontal="right" wrapText="1"/>
    </xf>
    <xf numFmtId="3" fontId="10" fillId="0" borderId="10" xfId="28" applyNumberFormat="1" applyFont="1" applyFill="1" applyBorder="1" applyAlignment="1">
      <alignment wrapText="1"/>
    </xf>
    <xf numFmtId="3" fontId="21" fillId="0" borderId="48" xfId="0" applyNumberFormat="1" applyFont="1" applyFill="1" applyBorder="1" applyAlignment="1">
      <alignment horizontal="right" wrapText="1"/>
    </xf>
    <xf numFmtId="3" fontId="39" fillId="0" borderId="45" xfId="0" applyNumberFormat="1" applyFont="1" applyFill="1" applyBorder="1" applyAlignment="1">
      <alignment horizontal="right" wrapText="1"/>
    </xf>
    <xf numFmtId="3" fontId="39" fillId="0" borderId="46" xfId="0" applyNumberFormat="1" applyFont="1" applyFill="1" applyBorder="1" applyAlignment="1">
      <alignment horizontal="right" wrapText="1"/>
    </xf>
    <xf numFmtId="3" fontId="25" fillId="0" borderId="0" xfId="28" applyNumberFormat="1" applyFont="1" applyFill="1" applyBorder="1" applyAlignment="1">
      <alignment vertical="top" wrapText="1"/>
    </xf>
    <xf numFmtId="3" fontId="13" fillId="0" borderId="0" xfId="0" applyNumberFormat="1" applyFont="1" applyFill="1" applyBorder="1" applyAlignment="1">
      <alignment horizontal="right"/>
    </xf>
    <xf numFmtId="3" fontId="12" fillId="0" borderId="0" xfId="18" applyNumberFormat="1" applyFont="1" applyFill="1" applyAlignment="1">
      <alignment horizontal="center"/>
    </xf>
    <xf numFmtId="3" fontId="12" fillId="0" borderId="0" xfId="18" applyNumberFormat="1" applyFont="1" applyFill="1" applyAlignment="1">
      <alignment horizontal="center" vertical="center"/>
    </xf>
    <xf numFmtId="3" fontId="21" fillId="0" borderId="17" xfId="18" applyNumberFormat="1" applyFont="1" applyFill="1" applyBorder="1" applyAlignment="1">
      <alignment shrinkToFit="1"/>
    </xf>
    <xf numFmtId="3" fontId="39" fillId="0" borderId="190" xfId="18" applyNumberFormat="1" applyFont="1" applyFill="1" applyBorder="1" applyAlignment="1">
      <alignment horizontal="right"/>
    </xf>
    <xf numFmtId="3" fontId="18" fillId="0" borderId="123" xfId="18" applyNumberFormat="1" applyFont="1" applyFill="1" applyBorder="1" applyAlignment="1">
      <alignment horizontal="right"/>
    </xf>
    <xf numFmtId="3" fontId="20" fillId="0" borderId="24" xfId="18" applyNumberFormat="1" applyFont="1" applyFill="1" applyBorder="1" applyAlignment="1">
      <alignment horizontal="left" vertical="top" wrapText="1" indent="4"/>
    </xf>
    <xf numFmtId="164" fontId="13" fillId="0" borderId="19" xfId="0" applyNumberFormat="1" applyFont="1" applyFill="1" applyBorder="1" applyAlignment="1">
      <alignment horizontal="left" vertical="top" wrapText="1" indent="2"/>
    </xf>
    <xf numFmtId="0" fontId="12" fillId="0" borderId="0" xfId="0" applyFont="1" applyFill="1" applyBorder="1" applyAlignment="1">
      <alignment horizontal="center" vertical="center"/>
    </xf>
    <xf numFmtId="0" fontId="18" fillId="0" borderId="16" xfId="32" applyFont="1" applyFill="1" applyBorder="1" applyAlignment="1" applyProtection="1">
      <alignment horizontal="center"/>
      <protection locked="0"/>
    </xf>
    <xf numFmtId="3" fontId="12" fillId="0" borderId="180" xfId="17" applyNumberFormat="1" applyFont="1" applyFill="1" applyBorder="1" applyAlignment="1">
      <alignment horizontal="right" wrapText="1"/>
    </xf>
    <xf numFmtId="3" fontId="12" fillId="0" borderId="19" xfId="17" applyNumberFormat="1" applyFont="1" applyFill="1" applyBorder="1" applyAlignment="1">
      <alignment horizontal="right" wrapText="1"/>
    </xf>
    <xf numFmtId="3" fontId="12" fillId="0" borderId="181" xfId="17" applyNumberFormat="1" applyFont="1" applyFill="1" applyBorder="1" applyAlignment="1">
      <alignment horizontal="right" wrapText="1"/>
    </xf>
    <xf numFmtId="3" fontId="12" fillId="0" borderId="233" xfId="0" applyNumberFormat="1" applyFont="1" applyFill="1" applyBorder="1" applyAlignment="1">
      <alignment horizontal="right" vertical="center"/>
    </xf>
    <xf numFmtId="3" fontId="12" fillId="0" borderId="182" xfId="0" applyNumberFormat="1" applyFont="1" applyFill="1" applyBorder="1" applyAlignment="1">
      <alignment horizontal="right" vertical="center"/>
    </xf>
    <xf numFmtId="3" fontId="10" fillId="0" borderId="19" xfId="17" applyNumberFormat="1" applyFont="1" applyFill="1" applyBorder="1" applyAlignment="1"/>
    <xf numFmtId="3" fontId="10" fillId="0" borderId="19" xfId="17" applyNumberFormat="1" applyFont="1" applyFill="1" applyBorder="1" applyAlignment="1">
      <alignment vertical="top"/>
    </xf>
    <xf numFmtId="3" fontId="10" fillId="0" borderId="16" xfId="18" applyNumberFormat="1" applyFont="1" applyFill="1" applyBorder="1" applyAlignment="1">
      <alignment vertical="center" shrinkToFit="1"/>
    </xf>
    <xf numFmtId="3" fontId="12" fillId="0" borderId="19" xfId="17" applyNumberFormat="1" applyFont="1" applyFill="1" applyBorder="1" applyAlignment="1">
      <alignment vertical="center"/>
    </xf>
    <xf numFmtId="3" fontId="21" fillId="0" borderId="45" xfId="0" applyNumberFormat="1" applyFont="1" applyFill="1" applyBorder="1" applyAlignment="1">
      <alignment vertical="top"/>
    </xf>
    <xf numFmtId="3" fontId="24" fillId="0" borderId="45" xfId="0" applyNumberFormat="1" applyFont="1" applyFill="1" applyBorder="1" applyAlignment="1">
      <alignment vertical="top"/>
    </xf>
    <xf numFmtId="3" fontId="21" fillId="0" borderId="46" xfId="0" applyNumberFormat="1" applyFont="1" applyFill="1" applyBorder="1" applyAlignment="1">
      <alignment vertical="top"/>
    </xf>
    <xf numFmtId="3" fontId="24" fillId="0" borderId="45" xfId="0" applyNumberFormat="1" applyFont="1" applyFill="1" applyBorder="1" applyAlignment="1">
      <alignment vertical="center"/>
    </xf>
    <xf numFmtId="3" fontId="21" fillId="0" borderId="46" xfId="0" applyNumberFormat="1" applyFont="1" applyFill="1" applyBorder="1" applyAlignment="1">
      <alignment vertical="center"/>
    </xf>
    <xf numFmtId="3" fontId="21" fillId="0" borderId="17" xfId="0" applyNumberFormat="1" applyFont="1" applyFill="1" applyBorder="1" applyAlignment="1">
      <alignment vertical="top"/>
    </xf>
    <xf numFmtId="3" fontId="24" fillId="0" borderId="17" xfId="0" applyNumberFormat="1" applyFont="1" applyFill="1" applyBorder="1" applyAlignment="1">
      <alignment vertical="top"/>
    </xf>
    <xf numFmtId="3" fontId="39" fillId="0" borderId="115" xfId="0" applyNumberFormat="1" applyFont="1" applyFill="1" applyBorder="1" applyAlignment="1">
      <alignment horizontal="center"/>
    </xf>
    <xf numFmtId="3" fontId="40" fillId="0" borderId="115" xfId="0" applyNumberFormat="1" applyFont="1" applyFill="1" applyBorder="1" applyAlignment="1">
      <alignment horizontal="center"/>
    </xf>
    <xf numFmtId="3" fontId="18" fillId="0" borderId="36" xfId="28" applyNumberFormat="1" applyFont="1" applyFill="1" applyBorder="1" applyAlignment="1"/>
    <xf numFmtId="3" fontId="20" fillId="0" borderId="78" xfId="0" applyNumberFormat="1" applyFont="1" applyFill="1" applyBorder="1" applyAlignment="1"/>
    <xf numFmtId="3" fontId="21" fillId="0" borderId="45" xfId="0" applyNumberFormat="1" applyFont="1" applyFill="1" applyBorder="1" applyAlignment="1">
      <alignment horizontal="right" vertical="center"/>
    </xf>
    <xf numFmtId="3" fontId="21" fillId="0" borderId="46" xfId="0" applyNumberFormat="1" applyFont="1" applyFill="1" applyBorder="1" applyAlignment="1">
      <alignment horizontal="right" vertical="center"/>
    </xf>
    <xf numFmtId="3" fontId="21" fillId="0" borderId="21" xfId="0" applyNumberFormat="1" applyFont="1" applyFill="1" applyBorder="1" applyAlignment="1">
      <alignment horizontal="right" vertical="center"/>
    </xf>
    <xf numFmtId="3" fontId="39" fillId="0" borderId="36" xfId="18" applyNumberFormat="1" applyFont="1" applyFill="1" applyBorder="1" applyAlignment="1">
      <alignment horizontal="left" wrapText="1"/>
    </xf>
    <xf numFmtId="3" fontId="39" fillId="0" borderId="223" xfId="18" applyNumberFormat="1" applyFont="1" applyFill="1" applyBorder="1" applyAlignment="1">
      <alignment horizontal="left" wrapText="1"/>
    </xf>
    <xf numFmtId="0" fontId="21" fillId="0" borderId="17" xfId="31" applyFont="1" applyFill="1" applyBorder="1" applyAlignment="1">
      <alignment wrapText="1"/>
    </xf>
    <xf numFmtId="3" fontId="39" fillId="0" borderId="115" xfId="21" applyNumberFormat="1" applyFont="1" applyFill="1" applyBorder="1" applyAlignment="1">
      <alignment horizontal="right" wrapText="1"/>
    </xf>
    <xf numFmtId="3" fontId="10" fillId="0" borderId="26" xfId="21" applyNumberFormat="1" applyFont="1" applyFill="1" applyBorder="1" applyAlignment="1">
      <alignment horizontal="right"/>
    </xf>
    <xf numFmtId="0" fontId="12" fillId="0" borderId="78" xfId="31" applyFont="1" applyFill="1" applyBorder="1" applyAlignment="1">
      <alignment horizontal="center" wrapText="1"/>
    </xf>
    <xf numFmtId="3" fontId="12" fillId="0" borderId="24" xfId="21" applyNumberFormat="1" applyFont="1" applyFill="1" applyBorder="1" applyAlignment="1">
      <alignment horizontal="right" wrapText="1"/>
    </xf>
    <xf numFmtId="3" fontId="43" fillId="0" borderId="232" xfId="31" applyNumberFormat="1" applyFont="1" applyFill="1" applyBorder="1" applyAlignment="1">
      <alignment horizontal="right"/>
    </xf>
    <xf numFmtId="0" fontId="10" fillId="0" borderId="15" xfId="31" applyFont="1" applyFill="1" applyBorder="1" applyAlignment="1">
      <alignment horizontal="center"/>
    </xf>
    <xf numFmtId="3" fontId="12" fillId="0" borderId="129" xfId="21" applyNumberFormat="1" applyFont="1" applyFill="1" applyBorder="1" applyAlignment="1">
      <alignment horizontal="right" wrapText="1"/>
    </xf>
    <xf numFmtId="0" fontId="10" fillId="0" borderId="58" xfId="31" applyFont="1" applyFill="1" applyBorder="1" applyAlignment="1">
      <alignment horizontal="center"/>
    </xf>
    <xf numFmtId="3" fontId="12" fillId="0" borderId="27" xfId="21" applyNumberFormat="1" applyFont="1" applyFill="1" applyBorder="1" applyAlignment="1">
      <alignment horizontal="center" vertical="center" wrapText="1"/>
    </xf>
    <xf numFmtId="3" fontId="12" fillId="0" borderId="24" xfId="21" applyNumberFormat="1" applyFont="1" applyFill="1" applyBorder="1" applyAlignment="1">
      <alignment horizontal="center" vertical="center" wrapText="1"/>
    </xf>
    <xf numFmtId="3" fontId="12" fillId="0" borderId="26" xfId="21" applyNumberFormat="1" applyFont="1" applyFill="1" applyBorder="1" applyAlignment="1">
      <alignment horizontal="center" vertical="center" wrapText="1"/>
    </xf>
    <xf numFmtId="3" fontId="10" fillId="0" borderId="78" xfId="21" applyNumberFormat="1" applyFont="1" applyFill="1" applyBorder="1" applyAlignment="1">
      <alignment horizontal="right" vertical="center" wrapText="1"/>
    </xf>
    <xf numFmtId="3" fontId="12" fillId="0" borderId="82" xfId="21" applyNumberFormat="1" applyFont="1" applyFill="1" applyBorder="1" applyAlignment="1">
      <alignment horizontal="right" vertical="center" wrapText="1"/>
    </xf>
    <xf numFmtId="3" fontId="12" fillId="0" borderId="17" xfId="31" applyNumberFormat="1" applyFont="1" applyFill="1" applyBorder="1" applyAlignment="1">
      <alignment horizontal="right"/>
    </xf>
    <xf numFmtId="3" fontId="12" fillId="0" borderId="24" xfId="31" applyNumberFormat="1" applyFont="1" applyFill="1" applyBorder="1" applyAlignment="1">
      <alignment horizontal="right"/>
    </xf>
    <xf numFmtId="3" fontId="12" fillId="0" borderId="24" xfId="21" applyNumberFormat="1" applyFont="1" applyFill="1" applyBorder="1" applyAlignment="1">
      <alignment horizontal="right" vertical="center" wrapText="1"/>
    </xf>
    <xf numFmtId="3" fontId="12" fillId="0" borderId="78" xfId="21" applyNumberFormat="1" applyFont="1" applyFill="1" applyBorder="1" applyAlignment="1">
      <alignment horizontal="right" vertical="center" wrapText="1"/>
    </xf>
    <xf numFmtId="3" fontId="43" fillId="0" borderId="232" xfId="21" applyNumberFormat="1" applyFont="1" applyFill="1" applyBorder="1" applyAlignment="1">
      <alignment horizontal="right" vertical="center" wrapText="1"/>
    </xf>
    <xf numFmtId="3" fontId="12" fillId="0" borderId="206" xfId="21" applyNumberFormat="1" applyFont="1" applyFill="1" applyBorder="1" applyAlignment="1">
      <alignment horizontal="right" vertical="center" wrapText="1"/>
    </xf>
    <xf numFmtId="3" fontId="21" fillId="0" borderId="23" xfId="18" applyNumberFormat="1" applyFont="1" applyFill="1" applyBorder="1" applyAlignment="1">
      <alignment wrapText="1"/>
    </xf>
    <xf numFmtId="3" fontId="12" fillId="0" borderId="51" xfId="21" applyNumberFormat="1" applyFont="1" applyFill="1" applyBorder="1" applyAlignment="1">
      <alignment horizontal="right" vertical="center" wrapText="1"/>
    </xf>
    <xf numFmtId="3" fontId="18" fillId="0" borderId="36" xfId="18" applyNumberFormat="1" applyFont="1" applyFill="1" applyBorder="1" applyAlignment="1">
      <alignment horizontal="right"/>
    </xf>
    <xf numFmtId="3" fontId="12" fillId="0" borderId="0" xfId="18" applyNumberFormat="1" applyFont="1" applyFill="1" applyAlignment="1">
      <alignment horizontal="center"/>
    </xf>
    <xf numFmtId="3" fontId="12" fillId="0" borderId="0" xfId="18" applyNumberFormat="1" applyFont="1" applyFill="1" applyAlignment="1">
      <alignment horizontal="center" vertical="center"/>
    </xf>
    <xf numFmtId="0" fontId="43" fillId="0" borderId="17" xfId="21" applyFont="1" applyFill="1" applyBorder="1" applyAlignment="1"/>
    <xf numFmtId="3" fontId="20" fillId="0" borderId="171" xfId="18" applyNumberFormat="1" applyFont="1" applyFill="1" applyBorder="1" applyAlignment="1">
      <alignment horizontal="right"/>
    </xf>
    <xf numFmtId="3" fontId="21" fillId="0" borderId="45" xfId="0" applyNumberFormat="1" applyFont="1" applyFill="1" applyBorder="1" applyAlignment="1">
      <alignment horizontal="right" wrapText="1"/>
    </xf>
    <xf numFmtId="3" fontId="20" fillId="0" borderId="45" xfId="0" applyNumberFormat="1" applyFont="1" applyFill="1" applyBorder="1" applyAlignment="1">
      <alignment vertical="center"/>
    </xf>
    <xf numFmtId="3" fontId="21" fillId="0" borderId="122" xfId="0" applyNumberFormat="1" applyFont="1" applyFill="1" applyBorder="1" applyAlignment="1"/>
    <xf numFmtId="3" fontId="10" fillId="0" borderId="18" xfId="0" applyNumberFormat="1" applyFont="1" applyFill="1" applyBorder="1" applyAlignment="1">
      <alignment horizontal="right" vertical="top" wrapText="1"/>
    </xf>
    <xf numFmtId="0" fontId="21" fillId="0" borderId="50" xfId="31" applyFont="1" applyFill="1" applyBorder="1" applyAlignment="1">
      <alignment horizontal="center" vertical="center"/>
    </xf>
    <xf numFmtId="0" fontId="21" fillId="0" borderId="45" xfId="31" applyFont="1" applyFill="1" applyBorder="1" applyAlignment="1">
      <alignment horizontal="center" vertical="top"/>
    </xf>
    <xf numFmtId="0" fontId="21" fillId="0" borderId="45" xfId="21" applyFont="1" applyFill="1" applyBorder="1" applyAlignment="1">
      <alignment vertical="top" wrapText="1"/>
    </xf>
    <xf numFmtId="3" fontId="21" fillId="0" borderId="45" xfId="31" applyNumberFormat="1" applyFont="1" applyFill="1" applyBorder="1" applyAlignment="1">
      <alignment horizontal="right" vertical="center"/>
    </xf>
    <xf numFmtId="3" fontId="21" fillId="0" borderId="45" xfId="21" applyNumberFormat="1" applyFont="1" applyFill="1" applyBorder="1" applyAlignment="1">
      <alignment horizontal="right" vertical="center"/>
    </xf>
    <xf numFmtId="3" fontId="21" fillId="0" borderId="208" xfId="31" applyNumberFormat="1" applyFont="1" applyFill="1" applyBorder="1" applyAlignment="1">
      <alignment horizontal="right" vertical="center"/>
    </xf>
    <xf numFmtId="0" fontId="21" fillId="0" borderId="129" xfId="31" applyFont="1" applyFill="1" applyBorder="1" applyAlignment="1">
      <alignment horizontal="center" vertical="center" wrapText="1"/>
    </xf>
    <xf numFmtId="3" fontId="21" fillId="0" borderId="129" xfId="21" applyNumberFormat="1" applyFont="1" applyFill="1" applyBorder="1" applyAlignment="1">
      <alignment horizontal="right" vertical="center" wrapText="1"/>
    </xf>
    <xf numFmtId="3" fontId="21" fillId="0" borderId="246" xfId="31" applyNumberFormat="1" applyFont="1" applyFill="1" applyBorder="1" applyAlignment="1">
      <alignment horizontal="right" vertical="center"/>
    </xf>
    <xf numFmtId="3" fontId="21" fillId="0" borderId="48" xfId="21" applyNumberFormat="1" applyFont="1" applyFill="1" applyBorder="1" applyAlignment="1">
      <alignment horizontal="right" vertical="center" wrapText="1"/>
    </xf>
    <xf numFmtId="0" fontId="18" fillId="0" borderId="17" xfId="32" applyFont="1" applyFill="1" applyBorder="1" applyAlignment="1" applyProtection="1">
      <alignment horizontal="center" vertical="top"/>
      <protection locked="0"/>
    </xf>
    <xf numFmtId="3" fontId="21" fillId="0" borderId="9" xfId="31" applyNumberFormat="1" applyFont="1" applyFill="1" applyBorder="1" applyAlignment="1" applyProtection="1">
      <alignment horizontal="right" vertical="center"/>
      <protection locked="0"/>
    </xf>
    <xf numFmtId="3" fontId="21" fillId="0" borderId="13" xfId="31" applyNumberFormat="1" applyFont="1" applyFill="1" applyBorder="1" applyAlignment="1" applyProtection="1">
      <alignment horizontal="right" vertical="center"/>
      <protection locked="0"/>
    </xf>
    <xf numFmtId="3" fontId="18" fillId="0" borderId="81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81" xfId="31" applyNumberFormat="1" applyFont="1" applyFill="1" applyBorder="1" applyAlignment="1" applyProtection="1">
      <alignment horizontal="right" vertical="center"/>
      <protection locked="0"/>
    </xf>
    <xf numFmtId="3" fontId="21" fillId="0" borderId="23" xfId="31" applyNumberFormat="1" applyFont="1" applyFill="1" applyBorder="1" applyAlignment="1" applyProtection="1">
      <alignment horizontal="right" vertical="center"/>
      <protection locked="0"/>
    </xf>
    <xf numFmtId="3" fontId="21" fillId="0" borderId="58" xfId="31" applyNumberFormat="1" applyFont="1" applyFill="1" applyBorder="1" applyAlignment="1" applyProtection="1">
      <alignment horizontal="right" vertical="center"/>
      <protection locked="0"/>
    </xf>
    <xf numFmtId="3" fontId="21" fillId="0" borderId="74" xfId="32" applyNumberFormat="1" applyFont="1" applyFill="1" applyBorder="1" applyAlignment="1" applyProtection="1">
      <alignment vertical="center"/>
      <protection locked="0"/>
    </xf>
    <xf numFmtId="3" fontId="18" fillId="0" borderId="60" xfId="31" applyNumberFormat="1" applyFont="1" applyFill="1" applyBorder="1" applyAlignment="1" applyProtection="1">
      <alignment horizontal="center" vertical="center" wrapText="1"/>
      <protection locked="0"/>
    </xf>
    <xf numFmtId="3" fontId="18" fillId="0" borderId="78" xfId="31" applyNumberFormat="1" applyFont="1" applyFill="1" applyBorder="1" applyAlignment="1" applyProtection="1">
      <alignment horizontal="right"/>
      <protection locked="0"/>
    </xf>
    <xf numFmtId="3" fontId="18" fillId="0" borderId="78" xfId="31" applyNumberFormat="1" applyFont="1" applyFill="1" applyBorder="1" applyAlignment="1" applyProtection="1">
      <alignment horizontal="right" vertical="center"/>
      <protection locked="0"/>
    </xf>
    <xf numFmtId="3" fontId="18" fillId="0" borderId="78" xfId="31" applyNumberFormat="1" applyFont="1" applyFill="1" applyBorder="1" applyAlignment="1" applyProtection="1">
      <alignment horizontal="left"/>
      <protection locked="0"/>
    </xf>
    <xf numFmtId="3" fontId="18" fillId="0" borderId="78" xfId="31" applyNumberFormat="1" applyFont="1" applyFill="1" applyBorder="1" applyAlignment="1" applyProtection="1">
      <alignment vertical="center"/>
      <protection locked="0"/>
    </xf>
    <xf numFmtId="3" fontId="21" fillId="0" borderId="213" xfId="31" applyNumberFormat="1" applyFont="1" applyFill="1" applyBorder="1" applyAlignment="1" applyProtection="1">
      <alignment horizontal="right" vertical="center"/>
      <protection locked="0"/>
    </xf>
    <xf numFmtId="3" fontId="21" fillId="0" borderId="177" xfId="31" applyNumberFormat="1" applyFont="1" applyFill="1" applyBorder="1" applyAlignment="1" applyProtection="1">
      <alignment horizontal="right" vertical="center"/>
      <protection locked="0"/>
    </xf>
    <xf numFmtId="3" fontId="21" fillId="0" borderId="60" xfId="31" applyNumberFormat="1" applyFont="1" applyFill="1" applyBorder="1" applyAlignment="1" applyProtection="1">
      <alignment horizontal="right" vertical="center"/>
      <protection locked="0"/>
    </xf>
    <xf numFmtId="3" fontId="21" fillId="0" borderId="57" xfId="31" applyNumberFormat="1" applyFont="1" applyFill="1" applyBorder="1" applyAlignment="1" applyProtection="1">
      <alignment horizontal="right" vertical="center"/>
      <protection locked="0"/>
    </xf>
    <xf numFmtId="3" fontId="21" fillId="0" borderId="21" xfId="31" applyNumberFormat="1" applyFont="1" applyFill="1" applyBorder="1" applyAlignment="1" applyProtection="1">
      <alignment horizontal="right" vertical="center"/>
      <protection locked="0"/>
    </xf>
    <xf numFmtId="3" fontId="18" fillId="0" borderId="220" xfId="31" applyNumberFormat="1" applyFont="1" applyFill="1" applyBorder="1" applyAlignment="1" applyProtection="1">
      <alignment horizontal="left"/>
      <protection locked="0"/>
    </xf>
    <xf numFmtId="3" fontId="12" fillId="0" borderId="13" xfId="17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right"/>
    </xf>
    <xf numFmtId="3" fontId="10" fillId="0" borderId="10" xfId="0" applyNumberFormat="1" applyFont="1" applyFill="1" applyBorder="1" applyAlignment="1">
      <alignment horizontal="right"/>
    </xf>
    <xf numFmtId="3" fontId="12" fillId="0" borderId="247" xfId="17" applyNumberFormat="1" applyFont="1" applyFill="1" applyBorder="1" applyAlignment="1">
      <alignment horizontal="center" vertical="center" wrapText="1"/>
    </xf>
    <xf numFmtId="3" fontId="12" fillId="0" borderId="89" xfId="0" applyNumberFormat="1" applyFont="1" applyFill="1" applyBorder="1"/>
    <xf numFmtId="3" fontId="10" fillId="0" borderId="89" xfId="0" applyNumberFormat="1" applyFont="1" applyFill="1" applyBorder="1"/>
    <xf numFmtId="3" fontId="12" fillId="0" borderId="89" xfId="0" applyNumberFormat="1" applyFont="1" applyFill="1" applyBorder="1" applyAlignment="1"/>
    <xf numFmtId="3" fontId="12" fillId="0" borderId="101" xfId="0" applyNumberFormat="1" applyFont="1" applyFill="1" applyBorder="1"/>
    <xf numFmtId="3" fontId="12" fillId="0" borderId="101" xfId="17" applyNumberFormat="1" applyFont="1" applyFill="1" applyBorder="1" applyAlignment="1">
      <alignment horizontal="right" wrapText="1"/>
    </xf>
    <xf numFmtId="3" fontId="10" fillId="0" borderId="101" xfId="0" applyNumberFormat="1" applyFont="1" applyFill="1" applyBorder="1"/>
    <xf numFmtId="3" fontId="12" fillId="0" borderId="89" xfId="0" applyNumberFormat="1" applyFont="1" applyFill="1" applyBorder="1" applyAlignment="1">
      <alignment vertical="center"/>
    </xf>
    <xf numFmtId="3" fontId="39" fillId="0" borderId="115" xfId="0" applyNumberFormat="1" applyFont="1" applyFill="1" applyBorder="1" applyAlignment="1">
      <alignment vertical="center"/>
    </xf>
    <xf numFmtId="3" fontId="39" fillId="0" borderId="236" xfId="0" applyNumberFormat="1" applyFont="1" applyFill="1" applyBorder="1" applyAlignment="1">
      <alignment vertical="center"/>
    </xf>
    <xf numFmtId="3" fontId="20" fillId="0" borderId="0" xfId="31" applyNumberFormat="1" applyFont="1" applyFill="1" applyBorder="1" applyAlignment="1" applyProtection="1">
      <protection locked="0"/>
    </xf>
    <xf numFmtId="3" fontId="20" fillId="0" borderId="43" xfId="31" applyNumberFormat="1" applyFont="1" applyFill="1" applyBorder="1" applyAlignment="1" applyProtection="1">
      <alignment vertical="center" wrapText="1"/>
      <protection locked="0"/>
    </xf>
    <xf numFmtId="3" fontId="20" fillId="0" borderId="17" xfId="31" applyNumberFormat="1" applyFont="1" applyFill="1" applyBorder="1" applyAlignment="1" applyProtection="1">
      <alignment vertical="center"/>
      <protection locked="0"/>
    </xf>
    <xf numFmtId="3" fontId="20" fillId="0" borderId="45" xfId="31" applyNumberFormat="1" applyFont="1" applyFill="1" applyBorder="1" applyAlignment="1" applyProtection="1">
      <alignment vertical="center"/>
      <protection locked="0"/>
    </xf>
    <xf numFmtId="3" fontId="20" fillId="0" borderId="53" xfId="31" applyNumberFormat="1" applyFont="1" applyFill="1" applyBorder="1" applyAlignment="1" applyProtection="1">
      <alignment vertical="center"/>
      <protection locked="0"/>
    </xf>
    <xf numFmtId="0" fontId="24" fillId="0" borderId="17" xfId="31" applyFont="1" applyFill="1" applyBorder="1" applyAlignment="1" applyProtection="1">
      <alignment horizontal="center" vertical="top"/>
      <protection locked="0"/>
    </xf>
    <xf numFmtId="3" fontId="18" fillId="0" borderId="24" xfId="28" applyNumberFormat="1" applyFont="1" applyFill="1" applyBorder="1" applyAlignment="1" applyProtection="1">
      <alignment horizontal="center" vertical="top"/>
      <protection locked="0"/>
    </xf>
    <xf numFmtId="4" fontId="14" fillId="0" borderId="19" xfId="0" applyNumberFormat="1" applyFont="1" applyFill="1" applyBorder="1" applyAlignment="1">
      <alignment horizontal="center" wrapText="1"/>
    </xf>
    <xf numFmtId="3" fontId="20" fillId="0" borderId="129" xfId="21" applyNumberFormat="1" applyFont="1" applyFill="1" applyBorder="1" applyAlignment="1">
      <alignment horizontal="right" vertical="center" wrapText="1"/>
    </xf>
    <xf numFmtId="3" fontId="21" fillId="0" borderId="23" xfId="21" applyNumberFormat="1" applyFont="1" applyFill="1" applyBorder="1" applyAlignment="1">
      <alignment horizontal="right" vertical="center" wrapText="1"/>
    </xf>
    <xf numFmtId="3" fontId="13" fillId="0" borderId="10" xfId="28" applyNumberFormat="1" applyFont="1" applyFill="1" applyBorder="1" applyAlignment="1">
      <alignment vertical="top" wrapText="1"/>
    </xf>
    <xf numFmtId="3" fontId="37" fillId="0" borderId="17" xfId="22" applyNumberFormat="1" applyFont="1" applyBorder="1" applyAlignment="1">
      <alignment horizontal="right" vertical="center" wrapText="1"/>
    </xf>
    <xf numFmtId="0" fontId="10" fillId="0" borderId="45" xfId="31" applyFont="1" applyFill="1" applyBorder="1" applyAlignment="1">
      <alignment horizontal="center" vertical="top"/>
    </xf>
    <xf numFmtId="0" fontId="18" fillId="0" borderId="115" xfId="31" applyFont="1" applyFill="1" applyBorder="1" applyAlignment="1">
      <alignment horizontal="center" vertical="center" wrapText="1"/>
    </xf>
    <xf numFmtId="3" fontId="10" fillId="0" borderId="0" xfId="20" applyNumberFormat="1" applyFont="1" applyFill="1" applyBorder="1" applyAlignment="1">
      <alignment horizontal="right" vertical="center"/>
    </xf>
    <xf numFmtId="3" fontId="21" fillId="0" borderId="49" xfId="0" applyNumberFormat="1" applyFont="1" applyFill="1" applyBorder="1" applyAlignment="1">
      <alignment horizontal="right"/>
    </xf>
    <xf numFmtId="3" fontId="24" fillId="0" borderId="0" xfId="31" applyNumberFormat="1" applyFont="1" applyFill="1" applyBorder="1" applyAlignment="1" applyProtection="1">
      <alignment horizontal="right"/>
      <protection locked="0"/>
    </xf>
    <xf numFmtId="3" fontId="21" fillId="0" borderId="122" xfId="31" applyNumberFormat="1" applyFont="1" applyFill="1" applyBorder="1" applyAlignment="1" applyProtection="1">
      <alignment horizontal="left"/>
      <protection locked="0"/>
    </xf>
    <xf numFmtId="3" fontId="21" fillId="0" borderId="122" xfId="31" applyNumberFormat="1" applyFont="1" applyFill="1" applyBorder="1" applyAlignment="1" applyProtection="1">
      <alignment horizontal="right" vertical="center"/>
      <protection locked="0"/>
    </xf>
    <xf numFmtId="3" fontId="21" fillId="0" borderId="122" xfId="31" applyNumberFormat="1" applyFont="1" applyFill="1" applyBorder="1" applyAlignment="1" applyProtection="1">
      <alignment horizontal="right"/>
      <protection locked="0"/>
    </xf>
    <xf numFmtId="3" fontId="21" fillId="0" borderId="0" xfId="32" applyNumberFormat="1" applyFont="1" applyFill="1" applyBorder="1" applyAlignment="1" applyProtection="1">
      <alignment horizontal="right"/>
      <protection locked="0"/>
    </xf>
    <xf numFmtId="3" fontId="21" fillId="0" borderId="0" xfId="31" applyNumberFormat="1" applyFont="1" applyFill="1" applyBorder="1" applyAlignment="1" applyProtection="1">
      <alignment horizontal="right"/>
      <protection locked="0"/>
    </xf>
    <xf numFmtId="3" fontId="21" fillId="0" borderId="232" xfId="31" applyNumberFormat="1" applyFont="1" applyFill="1" applyBorder="1" applyAlignment="1" applyProtection="1">
      <alignment horizontal="left"/>
      <protection locked="0"/>
    </xf>
    <xf numFmtId="3" fontId="21" fillId="0" borderId="232" xfId="31" applyNumberFormat="1" applyFont="1" applyFill="1" applyBorder="1" applyAlignment="1" applyProtection="1">
      <alignment horizontal="right" vertical="center"/>
      <protection locked="0"/>
    </xf>
    <xf numFmtId="3" fontId="21" fillId="0" borderId="232" xfId="31" applyNumberFormat="1" applyFont="1" applyFill="1" applyBorder="1" applyAlignment="1" applyProtection="1">
      <alignment horizontal="right"/>
      <protection locked="0"/>
    </xf>
    <xf numFmtId="3" fontId="20" fillId="0" borderId="24" xfId="31" applyNumberFormat="1" applyFont="1" applyFill="1" applyBorder="1" applyAlignment="1" applyProtection="1">
      <protection locked="0"/>
    </xf>
    <xf numFmtId="3" fontId="20" fillId="0" borderId="24" xfId="31" applyNumberFormat="1" applyFont="1" applyFill="1" applyBorder="1" applyAlignment="1" applyProtection="1">
      <alignment vertical="center"/>
      <protection locked="0"/>
    </xf>
    <xf numFmtId="3" fontId="20" fillId="0" borderId="24" xfId="31" applyNumberFormat="1" applyFont="1" applyFill="1" applyBorder="1" applyAlignment="1" applyProtection="1">
      <alignment horizontal="right" vertical="center"/>
      <protection locked="0"/>
    </xf>
    <xf numFmtId="3" fontId="24" fillId="0" borderId="55" xfId="31" applyNumberFormat="1" applyFont="1" applyFill="1" applyBorder="1" applyAlignment="1" applyProtection="1">
      <alignment vertical="center"/>
      <protection locked="0"/>
    </xf>
    <xf numFmtId="3" fontId="24" fillId="0" borderId="53" xfId="31" applyNumberFormat="1" applyFont="1" applyFill="1" applyBorder="1" applyAlignment="1" applyProtection="1">
      <alignment vertical="center"/>
      <protection locked="0"/>
    </xf>
    <xf numFmtId="3" fontId="24" fillId="0" borderId="43" xfId="31" applyNumberFormat="1" applyFont="1" applyFill="1" applyBorder="1" applyAlignment="1" applyProtection="1">
      <alignment vertical="center"/>
      <protection locked="0"/>
    </xf>
    <xf numFmtId="3" fontId="20" fillId="0" borderId="0" xfId="32" applyNumberFormat="1" applyFont="1" applyFill="1" applyBorder="1" applyAlignment="1" applyProtection="1">
      <protection locked="0"/>
    </xf>
    <xf numFmtId="3" fontId="25" fillId="0" borderId="17" xfId="21" applyNumberFormat="1" applyFont="1" applyFill="1" applyBorder="1" applyAlignment="1">
      <alignment horizontal="right" wrapText="1"/>
    </xf>
    <xf numFmtId="0" fontId="18" fillId="0" borderId="129" xfId="31" applyFont="1" applyFill="1" applyBorder="1" applyAlignment="1">
      <alignment horizontal="center" vertical="center" wrapText="1"/>
    </xf>
    <xf numFmtId="0" fontId="12" fillId="0" borderId="0" xfId="0" applyFont="1" applyFill="1" applyAlignment="1">
      <alignment shrinkToFit="1"/>
    </xf>
    <xf numFmtId="3" fontId="18" fillId="0" borderId="202" xfId="31" applyNumberFormat="1" applyFont="1" applyFill="1" applyBorder="1" applyAlignment="1">
      <alignment horizontal="center" vertical="center" wrapText="1"/>
    </xf>
    <xf numFmtId="3" fontId="21" fillId="0" borderId="236" xfId="0" applyNumberFormat="1" applyFont="1" applyFill="1" applyBorder="1" applyAlignment="1">
      <alignment vertical="center"/>
    </xf>
    <xf numFmtId="3" fontId="21" fillId="0" borderId="232" xfId="0" applyNumberFormat="1" applyFont="1" applyFill="1" applyBorder="1" applyAlignment="1">
      <alignment vertical="center"/>
    </xf>
    <xf numFmtId="3" fontId="21" fillId="0" borderId="46" xfId="0" applyNumberFormat="1" applyFont="1" applyFill="1" applyBorder="1" applyAlignment="1">
      <alignment horizontal="right" wrapText="1"/>
    </xf>
    <xf numFmtId="3" fontId="21" fillId="0" borderId="49" xfId="0" applyNumberFormat="1" applyFont="1" applyFill="1" applyBorder="1" applyAlignment="1">
      <alignment horizontal="right" wrapText="1"/>
    </xf>
    <xf numFmtId="0" fontId="18" fillId="0" borderId="45" xfId="31" applyFont="1" applyFill="1" applyBorder="1" applyAlignment="1">
      <alignment horizontal="center"/>
    </xf>
    <xf numFmtId="3" fontId="43" fillId="0" borderId="24" xfId="21" applyNumberFormat="1" applyFont="1" applyFill="1" applyBorder="1" applyAlignment="1">
      <alignment horizontal="right" vertical="center" wrapText="1"/>
    </xf>
    <xf numFmtId="3" fontId="43" fillId="0" borderId="219" xfId="21" applyNumberFormat="1" applyFont="1" applyFill="1" applyBorder="1" applyAlignment="1">
      <alignment horizontal="right" vertical="center" wrapText="1"/>
    </xf>
    <xf numFmtId="3" fontId="12" fillId="0" borderId="128" xfId="21" applyNumberFormat="1" applyFont="1" applyFill="1" applyBorder="1" applyAlignment="1">
      <alignment horizontal="right" vertical="center" wrapText="1"/>
    </xf>
    <xf numFmtId="3" fontId="43" fillId="0" borderId="206" xfId="21" applyNumberFormat="1" applyFont="1" applyFill="1" applyBorder="1" applyAlignment="1">
      <alignment horizontal="right" vertical="center" wrapText="1"/>
    </xf>
    <xf numFmtId="0" fontId="39" fillId="0" borderId="24" xfId="31" applyFont="1" applyFill="1" applyBorder="1" applyAlignment="1">
      <alignment wrapText="1"/>
    </xf>
    <xf numFmtId="49" fontId="10" fillId="0" borderId="0" xfId="0" applyNumberFormat="1" applyFont="1" applyFill="1"/>
    <xf numFmtId="49" fontId="10" fillId="0" borderId="0" xfId="0" applyNumberFormat="1" applyFont="1" applyFill="1" applyAlignment="1">
      <alignment vertical="top"/>
    </xf>
    <xf numFmtId="49" fontId="10" fillId="0" borderId="0" xfId="0" applyNumberFormat="1" applyFont="1" applyFill="1" applyAlignment="1">
      <alignment vertical="center"/>
    </xf>
    <xf numFmtId="3" fontId="58" fillId="0" borderId="0" xfId="0" applyNumberFormat="1" applyFont="1" applyFill="1" applyAlignment="1"/>
    <xf numFmtId="3" fontId="12" fillId="0" borderId="0" xfId="0" applyNumberFormat="1" applyFont="1" applyFill="1" applyAlignment="1"/>
    <xf numFmtId="3" fontId="12" fillId="0" borderId="72" xfId="0" applyNumberFormat="1" applyFont="1" applyFill="1" applyBorder="1" applyAlignment="1">
      <alignment horizontal="center" vertical="center"/>
    </xf>
    <xf numFmtId="3" fontId="12" fillId="0" borderId="0" xfId="31" applyNumberFormat="1" applyFont="1" applyFill="1" applyBorder="1" applyAlignment="1">
      <alignment horizontal="center" vertical="center" wrapText="1"/>
    </xf>
    <xf numFmtId="49" fontId="12" fillId="0" borderId="0" xfId="31" applyNumberFormat="1" applyFont="1" applyFill="1" applyBorder="1" applyAlignment="1">
      <alignment horizontal="left" vertical="center" wrapText="1"/>
    </xf>
    <xf numFmtId="3" fontId="12" fillId="0" borderId="0" xfId="31" applyNumberFormat="1" applyFont="1" applyFill="1" applyBorder="1" applyAlignment="1">
      <alignment horizontal="right" vertical="center" wrapText="1"/>
    </xf>
    <xf numFmtId="3" fontId="12" fillId="0" borderId="0" xfId="31" applyNumberFormat="1" applyFont="1" applyFill="1" applyBorder="1" applyAlignment="1">
      <alignment horizontal="left" vertical="center" wrapText="1"/>
    </xf>
    <xf numFmtId="3" fontId="12" fillId="0" borderId="0" xfId="31" applyNumberFormat="1" applyFont="1" applyFill="1" applyBorder="1" applyAlignment="1">
      <alignment vertical="center" wrapText="1"/>
    </xf>
    <xf numFmtId="3" fontId="12" fillId="0" borderId="23" xfId="21" applyNumberFormat="1" applyFont="1" applyFill="1" applyBorder="1" applyAlignment="1">
      <alignment horizontal="right" wrapText="1"/>
    </xf>
    <xf numFmtId="3" fontId="39" fillId="0" borderId="36" xfId="18" applyNumberFormat="1" applyFont="1" applyFill="1" applyBorder="1" applyAlignment="1">
      <alignment horizontal="left" wrapText="1"/>
    </xf>
    <xf numFmtId="3" fontId="39" fillId="0" borderId="223" xfId="18" applyNumberFormat="1" applyFont="1" applyFill="1" applyBorder="1" applyAlignment="1">
      <alignment horizontal="left" wrapText="1"/>
    </xf>
    <xf numFmtId="3" fontId="25" fillId="0" borderId="206" xfId="21" applyNumberFormat="1" applyFont="1" applyFill="1" applyBorder="1" applyAlignment="1">
      <alignment horizontal="right" wrapText="1"/>
    </xf>
    <xf numFmtId="3" fontId="34" fillId="0" borderId="16" xfId="18" applyNumberFormat="1" applyFont="1" applyFill="1" applyBorder="1" applyAlignment="1">
      <alignment vertical="center" shrinkToFit="1"/>
    </xf>
    <xf numFmtId="0" fontId="61" fillId="0" borderId="4" xfId="0" applyFont="1" applyFill="1" applyBorder="1"/>
    <xf numFmtId="0" fontId="18" fillId="0" borderId="17" xfId="31" applyFont="1" applyFill="1" applyBorder="1" applyAlignment="1" applyProtection="1">
      <alignment horizontal="left" shrinkToFit="1"/>
      <protection locked="0"/>
    </xf>
    <xf numFmtId="14" fontId="10" fillId="0" borderId="206" xfId="22" applyNumberFormat="1" applyFont="1" applyBorder="1" applyAlignment="1">
      <alignment horizontal="center" vertical="center" wrapText="1"/>
    </xf>
    <xf numFmtId="3" fontId="10" fillId="0" borderId="80" xfId="22" applyNumberFormat="1" applyFont="1" applyFill="1" applyBorder="1" applyAlignment="1">
      <alignment horizontal="center" vertical="center" wrapText="1"/>
    </xf>
    <xf numFmtId="3" fontId="10" fillId="0" borderId="122" xfId="22" applyNumberFormat="1" applyFont="1" applyBorder="1" applyAlignment="1">
      <alignment horizontal="right" vertical="center" wrapText="1"/>
    </xf>
    <xf numFmtId="3" fontId="10" fillId="0" borderId="24" xfId="22" applyNumberFormat="1" applyFont="1" applyBorder="1" applyAlignment="1">
      <alignment horizontal="right" vertical="center" wrapText="1"/>
    </xf>
    <xf numFmtId="3" fontId="21" fillId="0" borderId="23" xfId="28" applyNumberFormat="1" applyFont="1" applyFill="1" applyBorder="1" applyAlignment="1"/>
    <xf numFmtId="3" fontId="13" fillId="0" borderId="0" xfId="28" applyNumberFormat="1" applyFont="1" applyFill="1" applyBorder="1" applyAlignment="1">
      <alignment vertical="top" wrapText="1"/>
    </xf>
    <xf numFmtId="3" fontId="25" fillId="0" borderId="244" xfId="33" applyNumberFormat="1" applyFont="1" applyFill="1" applyBorder="1"/>
    <xf numFmtId="3" fontId="21" fillId="0" borderId="19" xfId="31" applyNumberFormat="1" applyFont="1" applyFill="1" applyBorder="1" applyAlignment="1">
      <alignment horizontal="right" vertical="center"/>
    </xf>
    <xf numFmtId="3" fontId="24" fillId="0" borderId="187" xfId="21" applyNumberFormat="1" applyFont="1" applyFill="1" applyBorder="1" applyAlignment="1">
      <alignment horizontal="right" vertical="center" wrapText="1"/>
    </xf>
    <xf numFmtId="3" fontId="21" fillId="0" borderId="17" xfId="31" applyNumberFormat="1" applyFont="1" applyFill="1" applyBorder="1" applyAlignment="1"/>
    <xf numFmtId="3" fontId="63" fillId="0" borderId="17" xfId="21" applyNumberFormat="1" applyFont="1" applyFill="1" applyBorder="1" applyAlignment="1">
      <alignment horizontal="right" wrapText="1"/>
    </xf>
    <xf numFmtId="3" fontId="25" fillId="0" borderId="0" xfId="0" applyNumberFormat="1" applyFont="1" applyFill="1" applyBorder="1" applyAlignment="1">
      <alignment vertical="top"/>
    </xf>
    <xf numFmtId="3" fontId="10" fillId="0" borderId="0" xfId="28" applyNumberFormat="1" applyFont="1" applyFill="1" applyBorder="1" applyAlignment="1">
      <alignment vertical="top" wrapText="1"/>
    </xf>
    <xf numFmtId="3" fontId="10" fillId="0" borderId="10" xfId="28" applyNumberFormat="1" applyFont="1" applyFill="1" applyBorder="1" applyAlignment="1">
      <alignment vertical="top" wrapText="1"/>
    </xf>
    <xf numFmtId="0" fontId="25" fillId="0" borderId="0" xfId="0" applyFont="1" applyFill="1" applyBorder="1" applyAlignment="1">
      <alignment vertical="center"/>
    </xf>
    <xf numFmtId="3" fontId="25" fillId="0" borderId="187" xfId="21" applyNumberFormat="1" applyFont="1" applyFill="1" applyBorder="1" applyAlignment="1">
      <alignment horizontal="right" vertical="center" wrapText="1"/>
    </xf>
    <xf numFmtId="3" fontId="21" fillId="0" borderId="0" xfId="0" applyNumberFormat="1" applyFont="1" applyFill="1" applyBorder="1" applyAlignment="1">
      <alignment horizontal="right"/>
    </xf>
    <xf numFmtId="0" fontId="18" fillId="0" borderId="45" xfId="31" applyFont="1" applyFill="1" applyBorder="1" applyAlignment="1">
      <alignment horizontal="center" vertical="top"/>
    </xf>
    <xf numFmtId="3" fontId="20" fillId="0" borderId="187" xfId="21" applyNumberFormat="1" applyFont="1" applyFill="1" applyBorder="1" applyAlignment="1">
      <alignment horizontal="right" wrapText="1"/>
    </xf>
    <xf numFmtId="0" fontId="18" fillId="0" borderId="17" xfId="31" applyFont="1" applyFill="1" applyBorder="1" applyAlignment="1" applyProtection="1">
      <alignment horizontal="center"/>
      <protection locked="0"/>
    </xf>
    <xf numFmtId="3" fontId="20" fillId="0" borderId="36" xfId="28" applyNumberFormat="1" applyFont="1" applyFill="1" applyBorder="1" applyAlignment="1"/>
    <xf numFmtId="3" fontId="24" fillId="0" borderId="206" xfId="21" applyNumberFormat="1" applyFont="1" applyFill="1" applyBorder="1" applyAlignment="1">
      <alignment horizontal="right" vertical="center" wrapText="1"/>
    </xf>
    <xf numFmtId="3" fontId="60" fillId="0" borderId="17" xfId="0" applyNumberFormat="1" applyFont="1" applyFill="1" applyBorder="1" applyAlignment="1">
      <alignment vertical="center"/>
    </xf>
    <xf numFmtId="3" fontId="60" fillId="0" borderId="23" xfId="0" applyNumberFormat="1" applyFont="1" applyFill="1" applyBorder="1" applyAlignment="1">
      <alignment vertical="center"/>
    </xf>
    <xf numFmtId="3" fontId="62" fillId="0" borderId="17" xfId="0" applyNumberFormat="1" applyFont="1" applyFill="1" applyBorder="1" applyAlignment="1">
      <alignment horizontal="right"/>
    </xf>
    <xf numFmtId="0" fontId="13" fillId="0" borderId="0" xfId="0" applyFont="1" applyFill="1" applyAlignment="1">
      <alignment horizontal="left" wrapText="1" indent="2"/>
    </xf>
    <xf numFmtId="0" fontId="35" fillId="0" borderId="0" xfId="0" applyFont="1" applyFill="1" applyAlignment="1">
      <alignment horizontal="left" indent="2" shrinkToFit="1"/>
    </xf>
    <xf numFmtId="0" fontId="13" fillId="0" borderId="0" xfId="0" applyFont="1" applyFill="1" applyAlignment="1">
      <alignment horizontal="left" indent="2" shrinkToFit="1"/>
    </xf>
    <xf numFmtId="3" fontId="10" fillId="0" borderId="0" xfId="21" applyNumberFormat="1" applyFont="1" applyFill="1" applyBorder="1" applyAlignment="1">
      <alignment wrapText="1"/>
    </xf>
    <xf numFmtId="0" fontId="57" fillId="0" borderId="0" xfId="0" applyFont="1" applyFill="1" applyAlignment="1">
      <alignment horizontal="left" wrapText="1" indent="2" shrinkToFit="1"/>
    </xf>
    <xf numFmtId="0" fontId="18" fillId="0" borderId="4" xfId="32" applyFont="1" applyFill="1" applyBorder="1" applyAlignment="1" applyProtection="1">
      <alignment horizontal="center"/>
      <protection locked="0"/>
    </xf>
    <xf numFmtId="0" fontId="18" fillId="0" borderId="51" xfId="32" applyFont="1" applyFill="1" applyBorder="1" applyAlignment="1" applyProtection="1">
      <alignment horizontal="center"/>
      <protection locked="0"/>
    </xf>
    <xf numFmtId="3" fontId="18" fillId="0" borderId="51" xfId="32" applyNumberFormat="1" applyFont="1" applyFill="1" applyBorder="1" applyAlignment="1" applyProtection="1">
      <protection locked="0"/>
    </xf>
    <xf numFmtId="3" fontId="18" fillId="0" borderId="51" xfId="31" applyNumberFormat="1" applyFont="1" applyFill="1" applyBorder="1" applyAlignment="1" applyProtection="1">
      <protection locked="0"/>
    </xf>
    <xf numFmtId="3" fontId="18" fillId="0" borderId="123" xfId="31" applyNumberFormat="1" applyFont="1" applyFill="1" applyBorder="1" applyAlignment="1" applyProtection="1">
      <alignment horizontal="right"/>
      <protection locked="0"/>
    </xf>
    <xf numFmtId="3" fontId="18" fillId="0" borderId="220" xfId="31" applyNumberFormat="1" applyFont="1" applyFill="1" applyBorder="1" applyAlignment="1" applyProtection="1">
      <alignment horizontal="right"/>
      <protection locked="0"/>
    </xf>
    <xf numFmtId="3" fontId="21" fillId="0" borderId="0" xfId="31" applyNumberFormat="1" applyFont="1" applyFill="1" applyBorder="1" applyAlignment="1" applyProtection="1">
      <alignment horizontal="left"/>
      <protection locked="0"/>
    </xf>
    <xf numFmtId="3" fontId="20" fillId="0" borderId="51" xfId="31" applyNumberFormat="1" applyFont="1" applyFill="1" applyBorder="1" applyAlignment="1" applyProtection="1">
      <alignment vertical="center"/>
      <protection locked="0"/>
    </xf>
    <xf numFmtId="0" fontId="10" fillId="0" borderId="0" xfId="0" applyFont="1" applyFill="1" applyAlignment="1">
      <alignment horizontal="left" vertical="top" wrapText="1" indent="2" shrinkToFit="1"/>
    </xf>
    <xf numFmtId="3" fontId="25" fillId="0" borderId="10" xfId="0" applyNumberFormat="1" applyFont="1" applyFill="1" applyBorder="1" applyAlignment="1">
      <alignment vertical="top"/>
    </xf>
    <xf numFmtId="0" fontId="18" fillId="0" borderId="45" xfId="33" applyFont="1" applyFill="1" applyBorder="1" applyAlignment="1">
      <alignment wrapText="1"/>
    </xf>
    <xf numFmtId="3" fontId="21" fillId="0" borderId="129" xfId="18" applyNumberFormat="1" applyFont="1" applyFill="1" applyBorder="1" applyAlignment="1">
      <alignment horizontal="right" vertical="center"/>
    </xf>
    <xf numFmtId="3" fontId="18" fillId="0" borderId="129" xfId="0" applyNumberFormat="1" applyFont="1" applyFill="1" applyBorder="1" applyAlignment="1">
      <alignment horizontal="right" vertical="center" wrapText="1"/>
    </xf>
    <xf numFmtId="3" fontId="18" fillId="0" borderId="246" xfId="0" applyNumberFormat="1" applyFont="1" applyFill="1" applyBorder="1" applyAlignment="1">
      <alignment horizontal="right" vertical="center" wrapText="1"/>
    </xf>
    <xf numFmtId="3" fontId="39" fillId="0" borderId="187" xfId="21" applyNumberFormat="1" applyFont="1" applyFill="1" applyBorder="1" applyAlignment="1">
      <alignment horizontal="right" wrapText="1"/>
    </xf>
    <xf numFmtId="3" fontId="39" fillId="0" borderId="36" xfId="31" applyNumberFormat="1" applyFont="1" applyFill="1" applyBorder="1" applyAlignment="1">
      <alignment horizontal="right"/>
    </xf>
    <xf numFmtId="3" fontId="18" fillId="0" borderId="7" xfId="0" applyNumberFormat="1" applyFont="1" applyFill="1" applyBorder="1" applyAlignment="1">
      <alignment horizontal="center" vertical="center" wrapText="1"/>
    </xf>
    <xf numFmtId="3" fontId="18" fillId="0" borderId="23" xfId="28" applyNumberFormat="1" applyFont="1" applyFill="1" applyBorder="1" applyAlignment="1">
      <alignment horizontal="left"/>
    </xf>
    <xf numFmtId="3" fontId="18" fillId="0" borderId="115" xfId="28" applyNumberFormat="1" applyFont="1" applyFill="1" applyBorder="1" applyAlignment="1">
      <alignment horizontal="left"/>
    </xf>
    <xf numFmtId="0" fontId="14" fillId="0" borderId="0" xfId="31" applyFont="1" applyFill="1" applyBorder="1" applyAlignment="1" applyProtection="1">
      <alignment horizontal="center" vertical="top"/>
      <protection locked="0"/>
    </xf>
    <xf numFmtId="3" fontId="18" fillId="0" borderId="0" xfId="31" applyNumberFormat="1" applyFont="1" applyFill="1" applyBorder="1" applyAlignment="1" applyProtection="1">
      <alignment horizontal="center" vertical="top"/>
      <protection locked="0"/>
    </xf>
    <xf numFmtId="3" fontId="20" fillId="0" borderId="232" xfId="0" applyNumberFormat="1" applyFont="1" applyFill="1" applyBorder="1" applyAlignment="1">
      <alignment vertical="center"/>
    </xf>
    <xf numFmtId="3" fontId="18" fillId="0" borderId="46" xfId="0" applyNumberFormat="1" applyFont="1" applyFill="1" applyBorder="1" applyAlignment="1">
      <alignment horizontal="right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left"/>
    </xf>
    <xf numFmtId="3" fontId="10" fillId="0" borderId="0" xfId="17" applyNumberFormat="1" applyFont="1" applyFill="1" applyAlignment="1">
      <alignment horizontal="left"/>
    </xf>
    <xf numFmtId="3" fontId="10" fillId="0" borderId="0" xfId="0" applyNumberFormat="1" applyFont="1" applyFill="1" applyAlignment="1">
      <alignment horizontal="left" vertical="center"/>
    </xf>
    <xf numFmtId="3" fontId="18" fillId="0" borderId="142" xfId="0" applyNumberFormat="1" applyFont="1" applyFill="1" applyBorder="1" applyAlignment="1">
      <alignment horizontal="center" vertical="center" wrapText="1"/>
    </xf>
    <xf numFmtId="3" fontId="39" fillId="0" borderId="36" xfId="18" applyNumberFormat="1" applyFont="1" applyFill="1" applyBorder="1" applyAlignment="1">
      <alignment horizontal="left" wrapText="1"/>
    </xf>
    <xf numFmtId="3" fontId="39" fillId="0" borderId="223" xfId="18" applyNumberFormat="1" applyFont="1" applyFill="1" applyBorder="1" applyAlignment="1">
      <alignment horizontal="left" wrapText="1"/>
    </xf>
    <xf numFmtId="0" fontId="0" fillId="0" borderId="36" xfId="0" applyFill="1" applyBorder="1" applyAlignment="1">
      <alignment horizontal="left" wrapText="1"/>
    </xf>
    <xf numFmtId="0" fontId="0" fillId="0" borderId="223" xfId="0" applyFill="1" applyBorder="1" applyAlignment="1">
      <alignment horizontal="left" wrapText="1"/>
    </xf>
    <xf numFmtId="3" fontId="10" fillId="0" borderId="0" xfId="18" applyNumberFormat="1" applyFont="1" applyFill="1" applyAlignment="1">
      <alignment horizontal="left"/>
    </xf>
    <xf numFmtId="0" fontId="10" fillId="0" borderId="0" xfId="32" applyFont="1" applyFill="1" applyBorder="1" applyAlignment="1">
      <alignment horizontal="left"/>
    </xf>
    <xf numFmtId="3" fontId="10" fillId="0" borderId="0" xfId="0" applyNumberFormat="1" applyFont="1" applyFill="1" applyAlignment="1">
      <alignment horizontal="center" vertical="center"/>
    </xf>
    <xf numFmtId="0" fontId="10" fillId="0" borderId="0" xfId="49" applyFont="1" applyFill="1" applyBorder="1" applyAlignment="1">
      <alignment horizontal="center" vertical="center"/>
    </xf>
    <xf numFmtId="0" fontId="10" fillId="0" borderId="0" xfId="32" applyFont="1" applyFill="1" applyBorder="1" applyAlignment="1">
      <alignment vertical="center"/>
    </xf>
    <xf numFmtId="0" fontId="10" fillId="0" borderId="0" xfId="32" applyFont="1" applyFill="1" applyBorder="1" applyAlignment="1">
      <alignment horizontal="center" vertical="center"/>
    </xf>
    <xf numFmtId="3" fontId="10" fillId="0" borderId="0" xfId="22" applyNumberFormat="1" applyFont="1" applyAlignment="1">
      <alignment horizontal="center" vertical="center"/>
    </xf>
    <xf numFmtId="3" fontId="10" fillId="0" borderId="0" xfId="0" applyNumberFormat="1" applyFont="1" applyFill="1" applyAlignment="1">
      <alignment horizontal="left"/>
    </xf>
    <xf numFmtId="3" fontId="10" fillId="0" borderId="0" xfId="0" applyNumberFormat="1" applyFont="1" applyAlignment="1">
      <alignment horizontal="left"/>
    </xf>
    <xf numFmtId="0" fontId="10" fillId="0" borderId="0" xfId="32" applyFont="1" applyFill="1" applyBorder="1" applyAlignment="1" applyProtection="1">
      <alignment horizontal="left"/>
      <protection locked="0"/>
    </xf>
    <xf numFmtId="3" fontId="10" fillId="0" borderId="0" xfId="18" applyNumberFormat="1" applyFont="1" applyFill="1" applyAlignment="1"/>
    <xf numFmtId="0" fontId="10" fillId="0" borderId="0" xfId="0" applyFont="1" applyBorder="1" applyAlignment="1">
      <alignment horizontal="left"/>
    </xf>
    <xf numFmtId="3" fontId="10" fillId="0" borderId="10" xfId="0" applyNumberFormat="1" applyFont="1" applyFill="1" applyBorder="1" applyAlignment="1"/>
    <xf numFmtId="3" fontId="20" fillId="0" borderId="0" xfId="0" applyNumberFormat="1" applyFont="1" applyFill="1" applyAlignment="1">
      <alignment horizontal="right"/>
    </xf>
    <xf numFmtId="0" fontId="18" fillId="0" borderId="0" xfId="0" applyFont="1" applyFill="1" applyAlignment="1">
      <alignment horizontal="center" vertical="top"/>
    </xf>
    <xf numFmtId="0" fontId="18" fillId="0" borderId="0" xfId="0" applyFont="1" applyFill="1" applyAlignment="1">
      <alignment vertical="top"/>
    </xf>
    <xf numFmtId="0" fontId="18" fillId="0" borderId="0" xfId="0" applyFont="1" applyFill="1" applyAlignment="1">
      <alignment wrapText="1"/>
    </xf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58" fillId="0" borderId="0" xfId="21" applyFont="1" applyFill="1" applyBorder="1" applyAlignment="1">
      <alignment horizontal="left" wrapTex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3" fontId="10" fillId="0" borderId="0" xfId="20" applyNumberFormat="1" applyFont="1" applyAlignment="1">
      <alignment horizontal="right" vertical="center"/>
    </xf>
    <xf numFmtId="0" fontId="12" fillId="0" borderId="0" xfId="20" applyFont="1" applyAlignment="1">
      <alignment horizontal="center"/>
    </xf>
    <xf numFmtId="0" fontId="18" fillId="0" borderId="39" xfId="20" applyFont="1" applyFill="1" applyBorder="1" applyAlignment="1">
      <alignment horizontal="left" wrapText="1"/>
    </xf>
    <xf numFmtId="0" fontId="12" fillId="0" borderId="0" xfId="0" applyFont="1" applyAlignment="1">
      <alignment horizontal="center"/>
    </xf>
    <xf numFmtId="0" fontId="12" fillId="0" borderId="0" xfId="2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39" xfId="0" applyFont="1" applyBorder="1" applyAlignment="1">
      <alignment horizontal="center" vertical="center" wrapText="1"/>
    </xf>
    <xf numFmtId="0" fontId="12" fillId="0" borderId="140" xfId="0" applyFont="1" applyBorder="1" applyAlignment="1">
      <alignment horizontal="center" vertical="center" wrapText="1"/>
    </xf>
    <xf numFmtId="3" fontId="12" fillId="0" borderId="141" xfId="0" applyNumberFormat="1" applyFont="1" applyBorder="1" applyAlignment="1">
      <alignment horizontal="center" vertical="center"/>
    </xf>
    <xf numFmtId="3" fontId="12" fillId="0" borderId="142" xfId="0" applyNumberFormat="1" applyFont="1" applyBorder="1" applyAlignment="1">
      <alignment horizontal="center" vertical="center"/>
    </xf>
    <xf numFmtId="3" fontId="12" fillId="0" borderId="141" xfId="0" applyNumberFormat="1" applyFont="1" applyBorder="1" applyAlignment="1">
      <alignment horizontal="center" vertical="center" wrapText="1"/>
    </xf>
    <xf numFmtId="3" fontId="12" fillId="0" borderId="142" xfId="0" applyNumberFormat="1" applyFont="1" applyBorder="1" applyAlignment="1">
      <alignment horizontal="center" vertical="center" wrapText="1"/>
    </xf>
    <xf numFmtId="3" fontId="12" fillId="0" borderId="0" xfId="17" applyNumberFormat="1" applyFont="1" applyFill="1" applyAlignment="1">
      <alignment horizontal="center" vertical="center"/>
    </xf>
    <xf numFmtId="49" fontId="12" fillId="0" borderId="0" xfId="17" applyNumberFormat="1" applyFont="1" applyFill="1" applyAlignment="1">
      <alignment horizontal="left"/>
    </xf>
    <xf numFmtId="3" fontId="10" fillId="0" borderId="0" xfId="17" applyNumberFormat="1" applyFont="1" applyFill="1" applyAlignment="1">
      <alignment horizontal="left"/>
    </xf>
    <xf numFmtId="3" fontId="18" fillId="0" borderId="23" xfId="28" applyNumberFormat="1" applyFont="1" applyFill="1" applyBorder="1" applyAlignment="1">
      <alignment horizontal="left" wrapText="1"/>
    </xf>
    <xf numFmtId="3" fontId="18" fillId="0" borderId="115" xfId="28" applyNumberFormat="1" applyFont="1" applyFill="1" applyBorder="1" applyAlignment="1">
      <alignment horizontal="left" wrapText="1"/>
    </xf>
    <xf numFmtId="3" fontId="24" fillId="0" borderId="114" xfId="0" applyNumberFormat="1" applyFont="1" applyFill="1" applyBorder="1" applyAlignment="1">
      <alignment horizontal="left" vertical="center"/>
    </xf>
    <xf numFmtId="3" fontId="24" fillId="0" borderId="191" xfId="0" applyNumberFormat="1" applyFont="1" applyFill="1" applyBorder="1" applyAlignment="1">
      <alignment horizontal="left" vertical="center"/>
    </xf>
    <xf numFmtId="3" fontId="24" fillId="0" borderId="117" xfId="0" applyNumberFormat="1" applyFont="1" applyFill="1" applyBorder="1" applyAlignment="1">
      <alignment horizontal="left" vertical="center"/>
    </xf>
    <xf numFmtId="3" fontId="21" fillId="0" borderId="173" xfId="0" applyNumberFormat="1" applyFont="1" applyFill="1" applyBorder="1" applyAlignment="1">
      <alignment horizontal="center" vertical="center"/>
    </xf>
    <xf numFmtId="3" fontId="21" fillId="0" borderId="170" xfId="0" applyNumberFormat="1" applyFont="1" applyFill="1" applyBorder="1" applyAlignment="1">
      <alignment horizontal="center" vertical="center"/>
    </xf>
    <xf numFmtId="3" fontId="21" fillId="0" borderId="128" xfId="0" applyNumberFormat="1" applyFont="1" applyFill="1" applyBorder="1" applyAlignment="1">
      <alignment horizontal="center" vertical="center"/>
    </xf>
    <xf numFmtId="3" fontId="21" fillId="0" borderId="173" xfId="28" applyNumberFormat="1" applyFont="1" applyFill="1" applyBorder="1" applyAlignment="1">
      <alignment horizontal="center" vertical="center"/>
    </xf>
    <xf numFmtId="3" fontId="21" fillId="0" borderId="170" xfId="28" applyNumberFormat="1" applyFont="1" applyFill="1" applyBorder="1" applyAlignment="1">
      <alignment horizontal="center" vertical="center"/>
    </xf>
    <xf numFmtId="3" fontId="21" fillId="0" borderId="128" xfId="28" applyNumberFormat="1" applyFont="1" applyFill="1" applyBorder="1" applyAlignment="1">
      <alignment horizontal="center" vertical="center"/>
    </xf>
    <xf numFmtId="3" fontId="18" fillId="0" borderId="143" xfId="0" applyNumberFormat="1" applyFont="1" applyFill="1" applyBorder="1" applyAlignment="1">
      <alignment horizontal="center" vertical="center" wrapText="1"/>
    </xf>
    <xf numFmtId="3" fontId="18" fillId="0" borderId="7" xfId="0" applyNumberFormat="1" applyFont="1" applyFill="1" applyBorder="1" applyAlignment="1">
      <alignment horizontal="center" vertical="center" wrapText="1"/>
    </xf>
    <xf numFmtId="3" fontId="18" fillId="0" borderId="139" xfId="0" applyNumberFormat="1" applyFont="1" applyFill="1" applyBorder="1" applyAlignment="1">
      <alignment horizontal="center" vertical="center" textRotation="90"/>
    </xf>
    <xf numFmtId="3" fontId="18" fillId="0" borderId="140" xfId="0" applyNumberFormat="1" applyFont="1" applyFill="1" applyBorder="1" applyAlignment="1">
      <alignment horizontal="center" vertical="center" textRotation="90"/>
    </xf>
    <xf numFmtId="3" fontId="18" fillId="0" borderId="145" xfId="0" applyNumberFormat="1" applyFont="1" applyFill="1" applyBorder="1" applyAlignment="1">
      <alignment horizontal="center" vertical="center" textRotation="90"/>
    </xf>
    <xf numFmtId="0" fontId="0" fillId="0" borderId="107" xfId="0" applyFont="1" applyFill="1" applyBorder="1" applyAlignment="1">
      <alignment horizontal="center" vertical="center"/>
    </xf>
    <xf numFmtId="3" fontId="21" fillId="0" borderId="145" xfId="0" applyNumberFormat="1" applyFont="1" applyFill="1" applyBorder="1" applyAlignment="1">
      <alignment horizontal="center" vertical="center"/>
    </xf>
    <xf numFmtId="3" fontId="21" fillId="0" borderId="112" xfId="0" applyNumberFormat="1" applyFont="1" applyFill="1" applyBorder="1" applyAlignment="1">
      <alignment horizontal="center" vertical="center"/>
    </xf>
    <xf numFmtId="3" fontId="21" fillId="0" borderId="107" xfId="0" applyNumberFormat="1" applyFont="1" applyFill="1" applyBorder="1" applyAlignment="1">
      <alignment horizontal="center" vertical="center"/>
    </xf>
    <xf numFmtId="3" fontId="21" fillId="0" borderId="20" xfId="0" applyNumberFormat="1" applyFont="1" applyFill="1" applyBorder="1" applyAlignment="1">
      <alignment horizontal="center" vertical="center"/>
    </xf>
    <xf numFmtId="3" fontId="18" fillId="0" borderId="143" xfId="0" applyNumberFormat="1" applyFont="1" applyFill="1" applyBorder="1" applyAlignment="1">
      <alignment horizontal="center" vertical="center"/>
    </xf>
    <xf numFmtId="3" fontId="14" fillId="0" borderId="6" xfId="0" applyNumberFormat="1" applyFont="1" applyFill="1" applyBorder="1" applyAlignment="1">
      <alignment horizontal="center" vertical="center"/>
    </xf>
    <xf numFmtId="3" fontId="21" fillId="0" borderId="30" xfId="0" applyNumberFormat="1" applyFont="1" applyFill="1" applyBorder="1" applyAlignment="1">
      <alignment horizontal="center" vertical="center" wrapText="1"/>
    </xf>
    <xf numFmtId="3" fontId="21" fillId="0" borderId="31" xfId="0" applyNumberFormat="1" applyFont="1" applyFill="1" applyBorder="1" applyAlignment="1">
      <alignment horizontal="center" vertical="center" wrapText="1"/>
    </xf>
    <xf numFmtId="3" fontId="18" fillId="0" borderId="23" xfId="28" applyNumberFormat="1" applyFont="1" applyFill="1" applyBorder="1" applyAlignment="1">
      <alignment horizontal="left"/>
    </xf>
    <xf numFmtId="3" fontId="18" fillId="0" borderId="115" xfId="28" applyNumberFormat="1" applyFont="1" applyFill="1" applyBorder="1" applyAlignment="1">
      <alignment horizontal="left"/>
    </xf>
    <xf numFmtId="3" fontId="12" fillId="0" borderId="0" xfId="0" applyNumberFormat="1" applyFont="1" applyFill="1" applyAlignment="1">
      <alignment horizontal="left"/>
    </xf>
    <xf numFmtId="3" fontId="10" fillId="0" borderId="0" xfId="0" applyNumberFormat="1" applyFont="1" applyFill="1" applyAlignment="1">
      <alignment horizontal="left"/>
    </xf>
    <xf numFmtId="3" fontId="12" fillId="0" borderId="0" xfId="0" applyNumberFormat="1" applyFont="1" applyFill="1" applyAlignment="1">
      <alignment horizontal="center" vertical="center"/>
    </xf>
    <xf numFmtId="3" fontId="20" fillId="0" borderId="0" xfId="0" applyNumberFormat="1" applyFont="1" applyFill="1" applyAlignment="1">
      <alignment horizontal="right" vertical="center"/>
    </xf>
    <xf numFmtId="3" fontId="12" fillId="0" borderId="0" xfId="0" applyNumberFormat="1" applyFont="1" applyAlignment="1">
      <alignment horizontal="left" wrapText="1"/>
    </xf>
    <xf numFmtId="3" fontId="10" fillId="0" borderId="0" xfId="0" applyNumberFormat="1" applyFont="1" applyAlignment="1">
      <alignment horizontal="left"/>
    </xf>
    <xf numFmtId="3" fontId="21" fillId="0" borderId="12" xfId="0" applyNumberFormat="1" applyFont="1" applyFill="1" applyBorder="1" applyAlignment="1">
      <alignment horizontal="center" vertical="center"/>
    </xf>
    <xf numFmtId="3" fontId="21" fillId="0" borderId="13" xfId="0" applyNumberFormat="1" applyFont="1" applyFill="1" applyBorder="1" applyAlignment="1">
      <alignment horizontal="center" vertical="center"/>
    </xf>
    <xf numFmtId="3" fontId="21" fillId="0" borderId="131" xfId="0" applyNumberFormat="1" applyFont="1" applyFill="1" applyBorder="1" applyAlignment="1">
      <alignment horizontal="center" vertical="center"/>
    </xf>
    <xf numFmtId="3" fontId="21" fillId="0" borderId="69" xfId="0" applyNumberFormat="1" applyFont="1" applyFill="1" applyBorder="1" applyAlignment="1">
      <alignment horizontal="center" vertical="center"/>
    </xf>
    <xf numFmtId="3" fontId="21" fillId="0" borderId="9" xfId="0" applyNumberFormat="1" applyFont="1" applyFill="1" applyBorder="1" applyAlignment="1">
      <alignment horizontal="center" vertical="center"/>
    </xf>
    <xf numFmtId="3" fontId="21" fillId="0" borderId="144" xfId="0" applyNumberFormat="1" applyFont="1" applyFill="1" applyBorder="1" applyAlignment="1">
      <alignment horizontal="center" vertical="center"/>
    </xf>
    <xf numFmtId="3" fontId="18" fillId="0" borderId="141" xfId="0" applyNumberFormat="1" applyFont="1" applyFill="1" applyBorder="1" applyAlignment="1">
      <alignment horizontal="center" vertical="center" textRotation="90"/>
    </xf>
    <xf numFmtId="0" fontId="0" fillId="0" borderId="142" xfId="0" applyFont="1" applyFill="1" applyBorder="1" applyAlignment="1">
      <alignment horizontal="center" vertical="center"/>
    </xf>
    <xf numFmtId="3" fontId="21" fillId="0" borderId="141" xfId="0" applyNumberFormat="1" applyFont="1" applyFill="1" applyBorder="1" applyAlignment="1">
      <alignment horizontal="center" vertical="center"/>
    </xf>
    <xf numFmtId="3" fontId="21" fillId="0" borderId="142" xfId="0" applyNumberFormat="1" applyFont="1" applyFill="1" applyBorder="1" applyAlignment="1">
      <alignment horizontal="center" vertical="center"/>
    </xf>
    <xf numFmtId="3" fontId="18" fillId="0" borderId="141" xfId="0" applyNumberFormat="1" applyFont="1" applyFill="1" applyBorder="1" applyAlignment="1">
      <alignment horizontal="center" vertical="center" wrapText="1"/>
    </xf>
    <xf numFmtId="3" fontId="18" fillId="0" borderId="142" xfId="0" applyNumberFormat="1" applyFont="1" applyFill="1" applyBorder="1" applyAlignment="1">
      <alignment horizontal="center" vertical="center" wrapText="1"/>
    </xf>
    <xf numFmtId="3" fontId="18" fillId="0" borderId="145" xfId="0" applyNumberFormat="1" applyFont="1" applyFill="1" applyBorder="1" applyAlignment="1">
      <alignment horizontal="center" vertical="center" wrapText="1"/>
    </xf>
    <xf numFmtId="3" fontId="18" fillId="0" borderId="107" xfId="0" applyNumberFormat="1" applyFont="1" applyFill="1" applyBorder="1" applyAlignment="1">
      <alignment horizontal="center" vertical="center" wrapText="1"/>
    </xf>
    <xf numFmtId="3" fontId="20" fillId="0" borderId="16" xfId="0" applyNumberFormat="1" applyFont="1" applyFill="1" applyBorder="1" applyAlignment="1">
      <alignment horizontal="left" vertical="center" wrapText="1"/>
    </xf>
    <xf numFmtId="3" fontId="20" fillId="0" borderId="115" xfId="0" applyNumberFormat="1" applyFont="1" applyFill="1" applyBorder="1" applyAlignment="1">
      <alignment horizontal="left" vertical="center" wrapText="1"/>
    </xf>
    <xf numFmtId="3" fontId="20" fillId="0" borderId="17" xfId="0" applyNumberFormat="1" applyFont="1" applyFill="1" applyBorder="1" applyAlignment="1">
      <alignment horizontal="left" vertical="center" wrapText="1"/>
    </xf>
    <xf numFmtId="3" fontId="20" fillId="0" borderId="16" xfId="0" applyNumberFormat="1" applyFont="1" applyFill="1" applyBorder="1" applyAlignment="1">
      <alignment horizontal="left" vertical="top" wrapText="1"/>
    </xf>
    <xf numFmtId="3" fontId="20" fillId="0" borderId="115" xfId="0" applyNumberFormat="1" applyFont="1" applyFill="1" applyBorder="1" applyAlignment="1">
      <alignment horizontal="left" vertical="top" wrapText="1"/>
    </xf>
    <xf numFmtId="3" fontId="20" fillId="0" borderId="17" xfId="0" applyNumberFormat="1" applyFont="1" applyFill="1" applyBorder="1" applyAlignment="1">
      <alignment horizontal="left" vertical="top" wrapText="1"/>
    </xf>
    <xf numFmtId="3" fontId="18" fillId="0" borderId="138" xfId="28" applyNumberFormat="1" applyFont="1" applyFill="1" applyBorder="1" applyAlignment="1">
      <alignment horizontal="left" wrapText="1"/>
    </xf>
    <xf numFmtId="3" fontId="18" fillId="0" borderId="133" xfId="28" applyNumberFormat="1" applyFont="1" applyFill="1" applyBorder="1" applyAlignment="1">
      <alignment horizontal="left" wrapText="1"/>
    </xf>
    <xf numFmtId="3" fontId="24" fillId="0" borderId="114" xfId="28" applyNumberFormat="1" applyFont="1" applyFill="1" applyBorder="1" applyAlignment="1">
      <alignment horizontal="left" vertical="center"/>
    </xf>
    <xf numFmtId="3" fontId="24" fillId="0" borderId="191" xfId="28" applyNumberFormat="1" applyFont="1" applyFill="1" applyBorder="1" applyAlignment="1">
      <alignment horizontal="left" vertical="center"/>
    </xf>
    <xf numFmtId="3" fontId="24" fillId="0" borderId="117" xfId="28" applyNumberFormat="1" applyFont="1" applyFill="1" applyBorder="1" applyAlignment="1">
      <alignment horizontal="left" vertical="center"/>
    </xf>
    <xf numFmtId="3" fontId="20" fillId="0" borderId="42" xfId="0" applyNumberFormat="1" applyFont="1" applyFill="1" applyBorder="1" applyAlignment="1">
      <alignment horizontal="left" vertical="center"/>
    </xf>
    <xf numFmtId="3" fontId="20" fillId="0" borderId="128" xfId="0" applyNumberFormat="1" applyFont="1" applyFill="1" applyBorder="1" applyAlignment="1">
      <alignment horizontal="left" vertical="center"/>
    </xf>
    <xf numFmtId="3" fontId="20" fillId="0" borderId="43" xfId="0" applyNumberFormat="1" applyFont="1" applyFill="1" applyBorder="1" applyAlignment="1">
      <alignment horizontal="left" vertical="center"/>
    </xf>
    <xf numFmtId="3" fontId="18" fillId="0" borderId="168" xfId="0" applyNumberFormat="1" applyFont="1" applyFill="1" applyBorder="1" applyAlignment="1">
      <alignment horizontal="center" vertical="center" wrapText="1"/>
    </xf>
    <xf numFmtId="3" fontId="18" fillId="0" borderId="169" xfId="0" applyNumberFormat="1" applyFont="1" applyFill="1" applyBorder="1" applyAlignment="1">
      <alignment horizontal="center" vertical="center" wrapText="1"/>
    </xf>
    <xf numFmtId="3" fontId="21" fillId="0" borderId="146" xfId="0" applyNumberFormat="1" applyFont="1" applyFill="1" applyBorder="1" applyAlignment="1">
      <alignment horizontal="center" vertical="center" wrapText="1"/>
    </xf>
    <xf numFmtId="3" fontId="21" fillId="0" borderId="110" xfId="0" applyNumberFormat="1" applyFont="1" applyFill="1" applyBorder="1" applyAlignment="1">
      <alignment horizontal="center" vertical="center" wrapText="1"/>
    </xf>
    <xf numFmtId="3" fontId="18" fillId="0" borderId="23" xfId="28" applyNumberFormat="1" applyFont="1" applyFill="1" applyBorder="1" applyAlignment="1">
      <alignment horizontal="left" vertical="top" wrapText="1"/>
    </xf>
    <xf numFmtId="3" fontId="18" fillId="0" borderId="115" xfId="28" applyNumberFormat="1" applyFont="1" applyFill="1" applyBorder="1" applyAlignment="1">
      <alignment horizontal="left" vertical="top" wrapText="1"/>
    </xf>
    <xf numFmtId="3" fontId="18" fillId="0" borderId="36" xfId="28" applyNumberFormat="1" applyFont="1" applyFill="1" applyBorder="1" applyAlignment="1">
      <alignment horizontal="left" wrapText="1"/>
    </xf>
    <xf numFmtId="3" fontId="12" fillId="0" borderId="0" xfId="0" applyNumberFormat="1" applyFont="1" applyAlignment="1">
      <alignment horizontal="left"/>
    </xf>
    <xf numFmtId="3" fontId="18" fillId="0" borderId="111" xfId="0" applyNumberFormat="1" applyFont="1" applyFill="1" applyBorder="1" applyAlignment="1">
      <alignment horizontal="center" vertical="center"/>
    </xf>
    <xf numFmtId="3" fontId="18" fillId="0" borderId="39" xfId="0" applyNumberFormat="1" applyFont="1" applyFill="1" applyBorder="1" applyAlignment="1">
      <alignment horizontal="center" vertical="center"/>
    </xf>
    <xf numFmtId="3" fontId="18" fillId="0" borderId="112" xfId="0" applyNumberFormat="1" applyFont="1" applyFill="1" applyBorder="1" applyAlignment="1">
      <alignment horizontal="center" vertical="center"/>
    </xf>
    <xf numFmtId="3" fontId="18" fillId="0" borderId="143" xfId="17" applyNumberFormat="1" applyFont="1" applyFill="1" applyBorder="1" applyAlignment="1">
      <alignment horizontal="center" vertical="center" wrapText="1"/>
    </xf>
    <xf numFmtId="3" fontId="20" fillId="0" borderId="0" xfId="0" applyNumberFormat="1" applyFont="1" applyFill="1" applyAlignment="1">
      <alignment horizontal="right"/>
    </xf>
    <xf numFmtId="3" fontId="18" fillId="0" borderId="142" xfId="0" applyNumberFormat="1" applyFont="1" applyFill="1" applyBorder="1" applyAlignment="1">
      <alignment horizontal="center" vertical="center" textRotation="90"/>
    </xf>
    <xf numFmtId="3" fontId="21" fillId="0" borderId="175" xfId="0" applyNumberFormat="1" applyFont="1" applyFill="1" applyBorder="1" applyAlignment="1">
      <alignment horizontal="center" vertical="center"/>
    </xf>
    <xf numFmtId="3" fontId="21" fillId="0" borderId="176" xfId="0" applyNumberFormat="1" applyFont="1" applyFill="1" applyBorder="1" applyAlignment="1">
      <alignment horizontal="center" vertical="center"/>
    </xf>
    <xf numFmtId="3" fontId="18" fillId="0" borderId="141" xfId="0" applyNumberFormat="1" applyFont="1" applyFill="1" applyBorder="1" applyAlignment="1">
      <alignment horizontal="center" vertical="center" textRotation="90" wrapText="1"/>
    </xf>
    <xf numFmtId="0" fontId="0" fillId="0" borderId="142" xfId="0" applyFont="1" applyFill="1" applyBorder="1" applyAlignment="1">
      <alignment horizontal="center" vertical="center" textRotation="90" wrapText="1"/>
    </xf>
    <xf numFmtId="3" fontId="59" fillId="0" borderId="81" xfId="18" applyNumberFormat="1" applyFont="1" applyFill="1" applyBorder="1" applyAlignment="1" applyProtection="1">
      <alignment horizontal="left" vertical="center"/>
      <protection locked="0"/>
    </xf>
    <xf numFmtId="3" fontId="59" fillId="0" borderId="128" xfId="18" applyNumberFormat="1" applyFont="1" applyFill="1" applyBorder="1" applyAlignment="1" applyProtection="1">
      <alignment horizontal="left" vertical="center"/>
      <protection locked="0"/>
    </xf>
    <xf numFmtId="3" fontId="59" fillId="0" borderId="43" xfId="18" applyNumberFormat="1" applyFont="1" applyFill="1" applyBorder="1" applyAlignment="1" applyProtection="1">
      <alignment horizontal="left" vertical="center"/>
      <protection locked="0"/>
    </xf>
    <xf numFmtId="0" fontId="21" fillId="0" borderId="12" xfId="32" applyFont="1" applyFill="1" applyBorder="1" applyAlignment="1" applyProtection="1">
      <alignment horizontal="center" vertical="center"/>
      <protection locked="0"/>
    </xf>
    <xf numFmtId="0" fontId="21" fillId="0" borderId="13" xfId="32" applyFont="1" applyFill="1" applyBorder="1" applyAlignment="1" applyProtection="1">
      <alignment horizontal="center" vertical="center"/>
      <protection locked="0"/>
    </xf>
    <xf numFmtId="0" fontId="21" fillId="0" borderId="131" xfId="32" applyFont="1" applyFill="1" applyBorder="1" applyAlignment="1" applyProtection="1">
      <alignment horizontal="center" vertical="center"/>
      <protection locked="0"/>
    </xf>
    <xf numFmtId="0" fontId="24" fillId="0" borderId="23" xfId="32" applyFont="1" applyFill="1" applyBorder="1" applyAlignment="1" applyProtection="1">
      <alignment horizontal="left"/>
      <protection locked="0"/>
    </xf>
    <xf numFmtId="0" fontId="24" fillId="0" borderId="115" xfId="32" applyFont="1" applyFill="1" applyBorder="1" applyAlignment="1" applyProtection="1">
      <alignment horizontal="left"/>
      <protection locked="0"/>
    </xf>
    <xf numFmtId="0" fontId="21" fillId="0" borderId="69" xfId="32" applyFont="1" applyFill="1" applyBorder="1" applyAlignment="1" applyProtection="1">
      <alignment horizontal="center" vertical="center"/>
      <protection locked="0"/>
    </xf>
    <xf numFmtId="0" fontId="21" fillId="0" borderId="9" xfId="32" applyFont="1" applyFill="1" applyBorder="1" applyAlignment="1" applyProtection="1">
      <alignment horizontal="center" vertical="center"/>
      <protection locked="0"/>
    </xf>
    <xf numFmtId="0" fontId="21" fillId="0" borderId="144" xfId="32" applyFont="1" applyFill="1" applyBorder="1" applyAlignment="1" applyProtection="1">
      <alignment horizontal="center" vertical="center"/>
      <protection locked="0"/>
    </xf>
    <xf numFmtId="0" fontId="12" fillId="0" borderId="0" xfId="32" applyFont="1" applyFill="1" applyBorder="1" applyAlignment="1" applyProtection="1">
      <alignment horizontal="left"/>
      <protection locked="0"/>
    </xf>
    <xf numFmtId="0" fontId="10" fillId="0" borderId="0" xfId="32" applyFont="1" applyFill="1" applyBorder="1" applyAlignment="1" applyProtection="1">
      <alignment horizontal="left"/>
      <protection locked="0"/>
    </xf>
    <xf numFmtId="0" fontId="12" fillId="0" borderId="0" xfId="31" applyFont="1" applyFill="1" applyBorder="1" applyAlignment="1" applyProtection="1">
      <alignment horizontal="center"/>
      <protection locked="0"/>
    </xf>
    <xf numFmtId="0" fontId="12" fillId="0" borderId="0" xfId="32" applyFont="1" applyFill="1" applyBorder="1" applyAlignment="1" applyProtection="1">
      <alignment horizontal="center" vertical="center"/>
      <protection locked="0"/>
    </xf>
    <xf numFmtId="3" fontId="18" fillId="0" borderId="139" xfId="18" applyNumberFormat="1" applyFont="1" applyFill="1" applyBorder="1" applyAlignment="1" applyProtection="1">
      <alignment horizontal="center" vertical="center" textRotation="90"/>
      <protection locked="0"/>
    </xf>
    <xf numFmtId="3" fontId="18" fillId="0" borderId="140" xfId="18" applyNumberFormat="1" applyFont="1" applyFill="1" applyBorder="1" applyAlignment="1" applyProtection="1">
      <alignment horizontal="center" vertical="center" textRotation="90"/>
      <protection locked="0"/>
    </xf>
    <xf numFmtId="3" fontId="18" fillId="0" borderId="141" xfId="18" applyNumberFormat="1" applyFont="1" applyFill="1" applyBorder="1" applyAlignment="1" applyProtection="1">
      <alignment horizontal="center" vertical="center" textRotation="90"/>
      <protection locked="0"/>
    </xf>
    <xf numFmtId="3" fontId="18" fillId="0" borderId="142" xfId="18" applyNumberFormat="1" applyFont="1" applyFill="1" applyBorder="1" applyAlignment="1" applyProtection="1">
      <alignment horizontal="center" vertical="center" textRotation="90"/>
      <protection locked="0"/>
    </xf>
    <xf numFmtId="0" fontId="21" fillId="0" borderId="141" xfId="31" applyFont="1" applyFill="1" applyBorder="1" applyAlignment="1" applyProtection="1">
      <alignment horizontal="center" vertical="center" wrapText="1"/>
      <protection locked="0"/>
    </xf>
    <xf numFmtId="0" fontId="21" fillId="0" borderId="142" xfId="31" applyFont="1" applyFill="1" applyBorder="1" applyAlignment="1" applyProtection="1">
      <alignment horizontal="center" vertical="center" wrapText="1"/>
      <protection locked="0"/>
    </xf>
    <xf numFmtId="0" fontId="18" fillId="0" borderId="141" xfId="31" applyFont="1" applyFill="1" applyBorder="1" applyAlignment="1" applyProtection="1">
      <alignment horizontal="center" vertical="center" textRotation="90" wrapText="1"/>
      <protection locked="0"/>
    </xf>
    <xf numFmtId="0" fontId="18" fillId="0" borderId="142" xfId="31" applyFont="1" applyFill="1" applyBorder="1" applyAlignment="1" applyProtection="1">
      <alignment horizontal="center" vertical="center" textRotation="90" wrapText="1"/>
      <protection locked="0"/>
    </xf>
    <xf numFmtId="3" fontId="18" fillId="0" borderId="141" xfId="31" applyNumberFormat="1" applyFont="1" applyFill="1" applyBorder="1" applyAlignment="1" applyProtection="1">
      <alignment horizontal="center" vertical="center" wrapText="1"/>
      <protection locked="0"/>
    </xf>
    <xf numFmtId="3" fontId="18" fillId="0" borderId="142" xfId="31" applyNumberFormat="1" applyFont="1" applyFill="1" applyBorder="1" applyAlignment="1" applyProtection="1">
      <alignment horizontal="center" vertical="center" wrapText="1"/>
      <protection locked="0"/>
    </xf>
    <xf numFmtId="3" fontId="18" fillId="0" borderId="145" xfId="31" applyNumberFormat="1" applyFont="1" applyFill="1" applyBorder="1" applyAlignment="1" applyProtection="1">
      <alignment horizontal="center" vertical="center" wrapText="1"/>
      <protection locked="0"/>
    </xf>
    <xf numFmtId="3" fontId="18" fillId="0" borderId="107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141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142" xfId="31" applyNumberFormat="1" applyFont="1" applyFill="1" applyBorder="1" applyAlignment="1" applyProtection="1">
      <alignment horizontal="center" vertical="center" wrapText="1"/>
      <protection locked="0"/>
    </xf>
    <xf numFmtId="3" fontId="20" fillId="0" borderId="141" xfId="31" applyNumberFormat="1" applyFont="1" applyFill="1" applyBorder="1" applyAlignment="1" applyProtection="1">
      <alignment horizontal="center" vertical="center" wrapText="1"/>
      <protection locked="0"/>
    </xf>
    <xf numFmtId="3" fontId="20" fillId="0" borderId="142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112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20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231" xfId="31" applyNumberFormat="1" applyFont="1" applyFill="1" applyBorder="1" applyAlignment="1" applyProtection="1">
      <alignment horizontal="center" vertical="center" wrapText="1"/>
      <protection locked="0"/>
    </xf>
    <xf numFmtId="3" fontId="21" fillId="0" borderId="102" xfId="31" applyNumberFormat="1" applyFont="1" applyFill="1" applyBorder="1" applyAlignment="1" applyProtection="1">
      <alignment horizontal="center" vertical="center" wrapText="1"/>
      <protection locked="0"/>
    </xf>
    <xf numFmtId="3" fontId="14" fillId="0" borderId="0" xfId="0" applyNumberFormat="1" applyFont="1" applyFill="1" applyBorder="1" applyAlignment="1">
      <alignment horizontal="left" vertical="top"/>
    </xf>
    <xf numFmtId="3" fontId="21" fillId="0" borderId="194" xfId="18" applyNumberFormat="1" applyFont="1" applyFill="1" applyBorder="1" applyAlignment="1">
      <alignment horizontal="center" vertical="center" wrapText="1"/>
    </xf>
    <xf numFmtId="3" fontId="21" fillId="0" borderId="198" xfId="18" applyNumberFormat="1" applyFont="1" applyFill="1" applyBorder="1" applyAlignment="1">
      <alignment horizontal="center" vertical="center" wrapText="1"/>
    </xf>
    <xf numFmtId="3" fontId="18" fillId="0" borderId="195" xfId="0" applyNumberFormat="1" applyFont="1" applyFill="1" applyBorder="1" applyAlignment="1">
      <alignment horizontal="center" vertical="center"/>
    </xf>
    <xf numFmtId="3" fontId="18" fillId="0" borderId="196" xfId="0" applyNumberFormat="1" applyFont="1" applyFill="1" applyBorder="1" applyAlignment="1">
      <alignment horizontal="center" vertical="center"/>
    </xf>
    <xf numFmtId="3" fontId="18" fillId="0" borderId="194" xfId="18" applyNumberFormat="1" applyFont="1" applyFill="1" applyBorder="1" applyAlignment="1">
      <alignment horizontal="center" vertical="center" wrapText="1"/>
    </xf>
    <xf numFmtId="3" fontId="18" fillId="0" borderId="198" xfId="18" applyNumberFormat="1" applyFont="1" applyFill="1" applyBorder="1" applyAlignment="1">
      <alignment horizontal="center" vertical="center" wrapText="1"/>
    </xf>
    <xf numFmtId="3" fontId="18" fillId="0" borderId="193" xfId="18" applyNumberFormat="1" applyFont="1" applyFill="1" applyBorder="1" applyAlignment="1">
      <alignment horizontal="center" vertical="center" textRotation="90"/>
    </xf>
    <xf numFmtId="3" fontId="18" fillId="0" borderId="197" xfId="18" applyNumberFormat="1" applyFont="1" applyFill="1" applyBorder="1" applyAlignment="1">
      <alignment horizontal="center" vertical="center" textRotation="90"/>
    </xf>
    <xf numFmtId="3" fontId="18" fillId="0" borderId="194" xfId="18" applyNumberFormat="1" applyFont="1" applyFill="1" applyBorder="1" applyAlignment="1">
      <alignment horizontal="center" vertical="center" textRotation="90"/>
    </xf>
    <xf numFmtId="3" fontId="18" fillId="0" borderId="198" xfId="18" applyNumberFormat="1" applyFont="1" applyFill="1" applyBorder="1" applyAlignment="1">
      <alignment horizontal="center" vertical="center" textRotation="90"/>
    </xf>
    <xf numFmtId="3" fontId="18" fillId="0" borderId="199" xfId="18" applyNumberFormat="1" applyFont="1" applyFill="1" applyBorder="1" applyAlignment="1">
      <alignment horizontal="center" vertical="center" wrapText="1"/>
    </xf>
    <xf numFmtId="3" fontId="18" fillId="0" borderId="200" xfId="18" applyNumberFormat="1" applyFont="1" applyFill="1" applyBorder="1" applyAlignment="1">
      <alignment horizontal="center" vertical="center" wrapText="1"/>
    </xf>
    <xf numFmtId="0" fontId="21" fillId="0" borderId="194" xfId="18" applyFont="1" applyFill="1" applyBorder="1" applyAlignment="1">
      <alignment horizontal="center" vertical="center" wrapText="1"/>
    </xf>
    <xf numFmtId="0" fontId="21" fillId="0" borderId="198" xfId="18" applyFont="1" applyFill="1" applyBorder="1" applyAlignment="1">
      <alignment horizontal="center" vertical="center" wrapText="1"/>
    </xf>
    <xf numFmtId="3" fontId="18" fillId="0" borderId="175" xfId="0" applyNumberFormat="1" applyFont="1" applyFill="1" applyBorder="1" applyAlignment="1">
      <alignment horizontal="center" vertical="center" textRotation="90" wrapText="1"/>
    </xf>
    <xf numFmtId="0" fontId="18" fillId="0" borderId="176" xfId="0" applyFont="1" applyFill="1" applyBorder="1" applyAlignment="1">
      <alignment horizontal="center" vertical="center" textRotation="90" wrapText="1"/>
    </xf>
    <xf numFmtId="3" fontId="20" fillId="0" borderId="114" xfId="0" applyNumberFormat="1" applyFont="1" applyFill="1" applyBorder="1" applyAlignment="1">
      <alignment horizontal="left" wrapText="1"/>
    </xf>
    <xf numFmtId="3" fontId="20" fillId="0" borderId="191" xfId="0" applyNumberFormat="1" applyFont="1" applyFill="1" applyBorder="1" applyAlignment="1">
      <alignment horizontal="left" wrapText="1"/>
    </xf>
    <xf numFmtId="3" fontId="20" fillId="0" borderId="222" xfId="0" applyNumberFormat="1" applyFont="1" applyFill="1" applyBorder="1" applyAlignment="1">
      <alignment horizontal="left" wrapText="1"/>
    </xf>
    <xf numFmtId="3" fontId="39" fillId="0" borderId="23" xfId="18" applyNumberFormat="1" applyFont="1" applyFill="1" applyBorder="1" applyAlignment="1">
      <alignment horizontal="left" wrapText="1"/>
    </xf>
    <xf numFmtId="0" fontId="0" fillId="0" borderId="36" xfId="0" applyFill="1" applyBorder="1" applyAlignment="1">
      <alignment horizontal="left" wrapText="1"/>
    </xf>
    <xf numFmtId="0" fontId="0" fillId="0" borderId="223" xfId="0" applyFill="1" applyBorder="1" applyAlignment="1">
      <alignment horizontal="left" wrapText="1"/>
    </xf>
    <xf numFmtId="3" fontId="20" fillId="0" borderId="23" xfId="0" applyNumberFormat="1" applyFont="1" applyFill="1" applyBorder="1" applyAlignment="1">
      <alignment horizontal="left" wrapText="1"/>
    </xf>
    <xf numFmtId="3" fontId="21" fillId="0" borderId="59" xfId="18" applyNumberFormat="1" applyFont="1" applyFill="1" applyBorder="1" applyAlignment="1">
      <alignment horizontal="left" wrapText="1"/>
    </xf>
    <xf numFmtId="0" fontId="0" fillId="0" borderId="172" xfId="0" applyFill="1" applyBorder="1" applyAlignment="1">
      <alignment horizontal="left" wrapText="1"/>
    </xf>
    <xf numFmtId="0" fontId="0" fillId="0" borderId="224" xfId="0" applyFill="1" applyBorder="1" applyAlignment="1">
      <alignment horizontal="left" wrapText="1"/>
    </xf>
    <xf numFmtId="3" fontId="20" fillId="0" borderId="23" xfId="18" applyNumberFormat="1" applyFont="1" applyFill="1" applyBorder="1" applyAlignment="1">
      <alignment horizontal="left" wrapText="1"/>
    </xf>
    <xf numFmtId="3" fontId="21" fillId="0" borderId="138" xfId="18" applyNumberFormat="1" applyFont="1" applyFill="1" applyBorder="1" applyAlignment="1">
      <alignment horizontal="left" wrapText="1"/>
    </xf>
    <xf numFmtId="0" fontId="0" fillId="0" borderId="190" xfId="0" applyFill="1" applyBorder="1" applyAlignment="1">
      <alignment horizontal="left" wrapText="1"/>
    </xf>
    <xf numFmtId="0" fontId="0" fillId="0" borderId="230" xfId="0" applyFill="1" applyBorder="1" applyAlignment="1">
      <alignment horizontal="left" wrapText="1"/>
    </xf>
    <xf numFmtId="3" fontId="20" fillId="0" borderId="36" xfId="18" applyNumberFormat="1" applyFont="1" applyFill="1" applyBorder="1" applyAlignment="1">
      <alignment horizontal="left" wrapText="1"/>
    </xf>
    <xf numFmtId="3" fontId="20" fillId="0" borderId="223" xfId="18" applyNumberFormat="1" applyFont="1" applyFill="1" applyBorder="1" applyAlignment="1">
      <alignment horizontal="left" wrapText="1"/>
    </xf>
    <xf numFmtId="3" fontId="21" fillId="0" borderId="23" xfId="18" applyNumberFormat="1" applyFont="1" applyFill="1" applyBorder="1" applyAlignment="1">
      <alignment horizontal="left" wrapText="1"/>
    </xf>
    <xf numFmtId="3" fontId="12" fillId="0" borderId="0" xfId="18" applyNumberFormat="1" applyFont="1" applyFill="1" applyAlignment="1">
      <alignment horizontal="left"/>
    </xf>
    <xf numFmtId="3" fontId="10" fillId="0" borderId="0" xfId="18" applyNumberFormat="1" applyFont="1" applyFill="1" applyAlignment="1">
      <alignment horizontal="left"/>
    </xf>
    <xf numFmtId="3" fontId="21" fillId="0" borderId="97" xfId="18" applyNumberFormat="1" applyFont="1" applyFill="1" applyBorder="1" applyAlignment="1">
      <alignment horizontal="center" vertical="center" wrapText="1"/>
    </xf>
    <xf numFmtId="3" fontId="21" fillId="0" borderId="98" xfId="18" applyNumberFormat="1" applyFont="1" applyFill="1" applyBorder="1" applyAlignment="1">
      <alignment horizontal="center" vertical="center" wrapText="1"/>
    </xf>
    <xf numFmtId="3" fontId="21" fillId="0" borderId="229" xfId="18" applyNumberFormat="1" applyFont="1" applyFill="1" applyBorder="1" applyAlignment="1">
      <alignment horizontal="center" vertical="center" wrapText="1"/>
    </xf>
    <xf numFmtId="3" fontId="39" fillId="0" borderId="36" xfId="18" applyNumberFormat="1" applyFont="1" applyFill="1" applyBorder="1" applyAlignment="1">
      <alignment horizontal="left" wrapText="1"/>
    </xf>
    <xf numFmtId="3" fontId="39" fillId="0" borderId="223" xfId="18" applyNumberFormat="1" applyFont="1" applyFill="1" applyBorder="1" applyAlignment="1">
      <alignment horizontal="left" wrapText="1"/>
    </xf>
    <xf numFmtId="3" fontId="12" fillId="0" borderId="0" xfId="18" applyNumberFormat="1" applyFont="1" applyFill="1" applyAlignment="1">
      <alignment horizontal="center"/>
    </xf>
    <xf numFmtId="3" fontId="12" fillId="0" borderId="0" xfId="18" applyNumberFormat="1" applyFont="1" applyFill="1" applyAlignment="1">
      <alignment horizontal="center" vertical="center"/>
    </xf>
    <xf numFmtId="3" fontId="20" fillId="0" borderId="0" xfId="18" applyNumberFormat="1" applyFont="1" applyFill="1" applyAlignment="1">
      <alignment horizontal="right"/>
    </xf>
    <xf numFmtId="0" fontId="20" fillId="0" borderId="0" xfId="18" applyFont="1" applyFill="1" applyBorder="1" applyAlignment="1">
      <alignment horizontal="right" wrapText="1"/>
    </xf>
    <xf numFmtId="0" fontId="12" fillId="0" borderId="147" xfId="18" applyFont="1" applyFill="1" applyBorder="1" applyAlignment="1">
      <alignment horizontal="center" vertical="center" wrapText="1"/>
    </xf>
    <xf numFmtId="0" fontId="12" fillId="0" borderId="148" xfId="18" applyFont="1" applyFill="1" applyBorder="1" applyAlignment="1">
      <alignment horizontal="center" vertical="center" wrapText="1"/>
    </xf>
    <xf numFmtId="3" fontId="10" fillId="0" borderId="137" xfId="0" applyNumberFormat="1" applyFont="1" applyFill="1" applyBorder="1" applyAlignment="1">
      <alignment horizontal="center" vertical="center" wrapText="1"/>
    </xf>
    <xf numFmtId="3" fontId="10" fillId="0" borderId="22" xfId="0" applyNumberFormat="1" applyFont="1" applyFill="1" applyBorder="1" applyAlignment="1">
      <alignment horizontal="center" vertical="center" wrapText="1"/>
    </xf>
    <xf numFmtId="3" fontId="12" fillId="0" borderId="0" xfId="18" applyNumberFormat="1" applyFont="1" applyFill="1" applyAlignment="1">
      <alignment horizontal="left" wrapText="1"/>
    </xf>
    <xf numFmtId="3" fontId="10" fillId="0" borderId="0" xfId="18" applyNumberFormat="1" applyFont="1" applyFill="1" applyAlignment="1">
      <alignment wrapText="1"/>
    </xf>
    <xf numFmtId="3" fontId="21" fillId="0" borderId="0" xfId="18" applyNumberFormat="1" applyFont="1" applyFill="1" applyAlignment="1">
      <alignment horizontal="center" vertical="center" wrapText="1"/>
    </xf>
    <xf numFmtId="0" fontId="12" fillId="0" borderId="0" xfId="32" applyFont="1" applyFill="1" applyBorder="1" applyAlignment="1">
      <alignment horizontal="left"/>
    </xf>
    <xf numFmtId="0" fontId="10" fillId="0" borderId="0" xfId="32" applyFont="1" applyFill="1" applyBorder="1" applyAlignment="1">
      <alignment horizontal="left"/>
    </xf>
    <xf numFmtId="3" fontId="21" fillId="0" borderId="111" xfId="21" applyNumberFormat="1" applyFont="1" applyFill="1" applyBorder="1" applyAlignment="1">
      <alignment horizontal="center" vertical="center" wrapText="1"/>
    </xf>
    <xf numFmtId="3" fontId="21" fillId="0" borderId="39" xfId="21" applyNumberFormat="1" applyFont="1" applyFill="1" applyBorder="1" applyAlignment="1">
      <alignment horizontal="center" vertical="center" wrapText="1"/>
    </xf>
    <xf numFmtId="3" fontId="21" fillId="0" borderId="204" xfId="21" applyNumberFormat="1" applyFont="1" applyFill="1" applyBorder="1" applyAlignment="1">
      <alignment horizontal="center" vertical="center" wrapText="1"/>
    </xf>
    <xf numFmtId="0" fontId="12" fillId="0" borderId="0" xfId="31" applyFont="1" applyFill="1" applyBorder="1" applyAlignment="1">
      <alignment horizontal="center"/>
    </xf>
    <xf numFmtId="0" fontId="12" fillId="0" borderId="0" xfId="32" applyFont="1" applyFill="1" applyBorder="1" applyAlignment="1">
      <alignment horizontal="center" vertical="center"/>
    </xf>
    <xf numFmtId="3" fontId="18" fillId="0" borderId="159" xfId="18" applyNumberFormat="1" applyFont="1" applyFill="1" applyBorder="1" applyAlignment="1">
      <alignment horizontal="center" vertical="center" textRotation="90"/>
    </xf>
    <xf numFmtId="3" fontId="18" fillId="0" borderId="165" xfId="18" applyNumberFormat="1" applyFont="1" applyFill="1" applyBorder="1" applyAlignment="1">
      <alignment horizontal="center" vertical="center" textRotation="90"/>
    </xf>
    <xf numFmtId="3" fontId="18" fillId="0" borderId="166" xfId="18" applyNumberFormat="1" applyFont="1" applyFill="1" applyBorder="1" applyAlignment="1">
      <alignment horizontal="center" vertical="center" textRotation="90"/>
    </xf>
    <xf numFmtId="3" fontId="18" fillId="0" borderId="160" xfId="18" applyNumberFormat="1" applyFont="1" applyFill="1" applyBorder="1" applyAlignment="1">
      <alignment horizontal="center" vertical="center" textRotation="90"/>
    </xf>
    <xf numFmtId="3" fontId="18" fillId="0" borderId="154" xfId="18" applyNumberFormat="1" applyFont="1" applyFill="1" applyBorder="1" applyAlignment="1">
      <alignment horizontal="center" vertical="center" textRotation="90"/>
    </xf>
    <xf numFmtId="3" fontId="18" fillId="0" borderId="64" xfId="18" applyNumberFormat="1" applyFont="1" applyFill="1" applyBorder="1" applyAlignment="1">
      <alignment horizontal="center" vertical="center" textRotation="90"/>
    </xf>
    <xf numFmtId="0" fontId="21" fillId="0" borderId="141" xfId="31" applyFont="1" applyFill="1" applyBorder="1" applyAlignment="1">
      <alignment horizontal="center" vertical="center" wrapText="1"/>
    </xf>
    <xf numFmtId="0" fontId="21" fillId="0" borderId="158" xfId="31" applyFont="1" applyFill="1" applyBorder="1" applyAlignment="1">
      <alignment horizontal="center" vertical="center" wrapText="1"/>
    </xf>
    <xf numFmtId="0" fontId="21" fillId="0" borderId="142" xfId="31" applyFont="1" applyFill="1" applyBorder="1" applyAlignment="1">
      <alignment horizontal="center" vertical="center" wrapText="1"/>
    </xf>
    <xf numFmtId="3" fontId="18" fillId="0" borderId="160" xfId="31" applyNumberFormat="1" applyFont="1" applyFill="1" applyBorder="1" applyAlignment="1">
      <alignment horizontal="center" vertical="center" wrapText="1"/>
    </xf>
    <xf numFmtId="3" fontId="18" fillId="0" borderId="154" xfId="31" applyNumberFormat="1" applyFont="1" applyFill="1" applyBorder="1" applyAlignment="1">
      <alignment horizontal="center" vertical="center" wrapText="1"/>
    </xf>
    <xf numFmtId="3" fontId="18" fillId="0" borderId="64" xfId="31" applyNumberFormat="1" applyFont="1" applyFill="1" applyBorder="1" applyAlignment="1">
      <alignment horizontal="center" vertical="center" wrapText="1"/>
    </xf>
    <xf numFmtId="3" fontId="18" fillId="0" borderId="85" xfId="31" applyNumberFormat="1" applyFont="1" applyFill="1" applyBorder="1" applyAlignment="1">
      <alignment horizontal="center" vertical="center" wrapText="1"/>
    </xf>
    <xf numFmtId="3" fontId="18" fillId="0" borderId="90" xfId="31" applyNumberFormat="1" applyFont="1" applyFill="1" applyBorder="1" applyAlignment="1">
      <alignment horizontal="center" vertical="center" wrapText="1"/>
    </xf>
    <xf numFmtId="3" fontId="18" fillId="0" borderId="178" xfId="31" applyNumberFormat="1" applyFont="1" applyFill="1" applyBorder="1" applyAlignment="1">
      <alignment horizontal="center" vertical="center" wrapText="1"/>
    </xf>
    <xf numFmtId="0" fontId="18" fillId="0" borderId="162" xfId="31" applyFont="1" applyFill="1" applyBorder="1" applyAlignment="1">
      <alignment horizontal="center" vertical="center" textRotation="90" wrapText="1"/>
    </xf>
    <xf numFmtId="0" fontId="18" fillId="0" borderId="163" xfId="31" applyFont="1" applyFill="1" applyBorder="1" applyAlignment="1">
      <alignment horizontal="center" vertical="center" textRotation="90" wrapText="1"/>
    </xf>
    <xf numFmtId="0" fontId="18" fillId="0" borderId="65" xfId="31" applyFont="1" applyFill="1" applyBorder="1" applyAlignment="1">
      <alignment horizontal="center" vertical="center" textRotation="90" wrapText="1"/>
    </xf>
    <xf numFmtId="3" fontId="21" fillId="0" borderId="175" xfId="31" applyNumberFormat="1" applyFont="1" applyFill="1" applyBorder="1" applyAlignment="1">
      <alignment horizontal="center" vertical="center" wrapText="1"/>
    </xf>
    <xf numFmtId="3" fontId="21" fillId="0" borderId="141" xfId="31" applyNumberFormat="1" applyFont="1" applyFill="1" applyBorder="1" applyAlignment="1">
      <alignment horizontal="center" vertical="center" wrapText="1"/>
    </xf>
    <xf numFmtId="3" fontId="21" fillId="0" borderId="168" xfId="31" applyNumberFormat="1" applyFont="1" applyFill="1" applyBorder="1" applyAlignment="1">
      <alignment horizontal="center" vertical="center" wrapText="1"/>
    </xf>
    <xf numFmtId="3" fontId="18" fillId="0" borderId="180" xfId="31" applyNumberFormat="1" applyFont="1" applyFill="1" applyBorder="1" applyAlignment="1">
      <alignment horizontal="center" vertical="center" wrapText="1"/>
    </xf>
    <xf numFmtId="3" fontId="18" fillId="0" borderId="181" xfId="31" applyNumberFormat="1" applyFont="1" applyFill="1" applyBorder="1" applyAlignment="1">
      <alignment horizontal="center" vertical="center" wrapText="1"/>
    </xf>
    <xf numFmtId="3" fontId="18" fillId="0" borderId="182" xfId="31" applyNumberFormat="1" applyFont="1" applyFill="1" applyBorder="1" applyAlignment="1">
      <alignment horizontal="center" vertical="center" wrapText="1"/>
    </xf>
    <xf numFmtId="3" fontId="18" fillId="0" borderId="202" xfId="31" applyNumberFormat="1" applyFont="1" applyFill="1" applyBorder="1" applyAlignment="1">
      <alignment horizontal="center" vertical="center" wrapText="1"/>
    </xf>
    <xf numFmtId="3" fontId="21" fillId="0" borderId="203" xfId="31" applyNumberFormat="1" applyFont="1" applyFill="1" applyBorder="1" applyAlignment="1">
      <alignment horizontal="center" vertical="center" wrapText="1"/>
    </xf>
    <xf numFmtId="3" fontId="21" fillId="0" borderId="183" xfId="31" applyNumberFormat="1" applyFont="1" applyFill="1" applyBorder="1" applyAlignment="1">
      <alignment horizontal="center" vertical="center" wrapText="1"/>
    </xf>
    <xf numFmtId="3" fontId="21" fillId="0" borderId="173" xfId="21" applyNumberFormat="1" applyFont="1" applyFill="1" applyBorder="1" applyAlignment="1">
      <alignment horizontal="center" vertical="center" wrapText="1"/>
    </xf>
    <xf numFmtId="3" fontId="21" fillId="0" borderId="170" xfId="21" applyNumberFormat="1" applyFont="1" applyFill="1" applyBorder="1" applyAlignment="1">
      <alignment horizontal="center" vertical="center" wrapText="1"/>
    </xf>
    <xf numFmtId="3" fontId="21" fillId="0" borderId="245" xfId="21" applyNumberFormat="1" applyFont="1" applyFill="1" applyBorder="1" applyAlignment="1">
      <alignment horizontal="center" vertical="center" wrapText="1"/>
    </xf>
    <xf numFmtId="0" fontId="10" fillId="0" borderId="0" xfId="32" applyFont="1" applyFill="1" applyBorder="1" applyAlignment="1">
      <alignment horizontal="left" vertical="center"/>
    </xf>
    <xf numFmtId="3" fontId="10" fillId="0" borderId="0" xfId="31" applyNumberFormat="1" applyFont="1" applyFill="1" applyBorder="1" applyAlignment="1">
      <alignment horizontal="right"/>
    </xf>
    <xf numFmtId="3" fontId="21" fillId="0" borderId="39" xfId="31" applyNumberFormat="1" applyFont="1" applyFill="1" applyBorder="1" applyAlignment="1">
      <alignment horizontal="center" vertical="center" wrapText="1"/>
    </xf>
    <xf numFmtId="3" fontId="21" fillId="0" borderId="204" xfId="31" applyNumberFormat="1" applyFont="1" applyFill="1" applyBorder="1" applyAlignment="1">
      <alignment horizontal="center" vertical="center" wrapText="1"/>
    </xf>
    <xf numFmtId="0" fontId="34" fillId="0" borderId="23" xfId="31" applyFont="1" applyFill="1" applyBorder="1" applyAlignment="1">
      <alignment horizontal="left" wrapText="1"/>
    </xf>
    <xf numFmtId="0" fontId="34" fillId="0" borderId="36" xfId="31" applyFont="1" applyFill="1" applyBorder="1" applyAlignment="1">
      <alignment horizontal="left" wrapText="1"/>
    </xf>
    <xf numFmtId="0" fontId="34" fillId="0" borderId="115" xfId="31" applyFont="1" applyFill="1" applyBorder="1" applyAlignment="1">
      <alignment horizontal="left" wrapText="1"/>
    </xf>
    <xf numFmtId="3" fontId="39" fillId="0" borderId="26" xfId="18" applyNumberFormat="1" applyFont="1" applyFill="1" applyBorder="1" applyAlignment="1">
      <alignment horizontal="left" wrapText="1"/>
    </xf>
    <xf numFmtId="3" fontId="39" fillId="0" borderId="122" xfId="18" applyNumberFormat="1" applyFont="1" applyFill="1" applyBorder="1" applyAlignment="1">
      <alignment horizontal="left" wrapText="1"/>
    </xf>
    <xf numFmtId="3" fontId="39" fillId="0" borderId="248" xfId="18" applyNumberFormat="1" applyFont="1" applyFill="1" applyBorder="1" applyAlignment="1">
      <alignment horizontal="left" wrapText="1"/>
    </xf>
    <xf numFmtId="0" fontId="0" fillId="0" borderId="36" xfId="0" applyBorder="1" applyAlignment="1">
      <alignment horizontal="left" wrapText="1"/>
    </xf>
    <xf numFmtId="0" fontId="0" fillId="0" borderId="223" xfId="0" applyBorder="1" applyAlignment="1">
      <alignment horizontal="left" wrapText="1"/>
    </xf>
    <xf numFmtId="0" fontId="0" fillId="0" borderId="172" xfId="0" applyBorder="1" applyAlignment="1">
      <alignment horizontal="left" wrapText="1"/>
    </xf>
    <xf numFmtId="0" fontId="0" fillId="0" borderId="224" xfId="0" applyBorder="1" applyAlignment="1">
      <alignment horizontal="left" wrapText="1"/>
    </xf>
    <xf numFmtId="3" fontId="12" fillId="0" borderId="173" xfId="21" applyNumberFormat="1" applyFont="1" applyFill="1" applyBorder="1" applyAlignment="1">
      <alignment horizontal="center" vertical="center" wrapText="1"/>
    </xf>
    <xf numFmtId="3" fontId="12" fillId="0" borderId="170" xfId="21" applyNumberFormat="1" applyFont="1" applyFill="1" applyBorder="1" applyAlignment="1">
      <alignment horizontal="center" vertical="center" wrapText="1"/>
    </xf>
    <xf numFmtId="3" fontId="12" fillId="0" borderId="245" xfId="21" applyNumberFormat="1" applyFont="1" applyFill="1" applyBorder="1" applyAlignment="1">
      <alignment horizontal="center" vertical="center" wrapText="1"/>
    </xf>
    <xf numFmtId="3" fontId="10" fillId="0" borderId="160" xfId="18" applyNumberFormat="1" applyFont="1" applyFill="1" applyBorder="1" applyAlignment="1">
      <alignment horizontal="center" vertical="center" textRotation="90"/>
    </xf>
    <xf numFmtId="3" fontId="10" fillId="0" borderId="154" xfId="18" applyNumberFormat="1" applyFont="1" applyFill="1" applyBorder="1" applyAlignment="1">
      <alignment horizontal="center" vertical="center" textRotation="90"/>
    </xf>
    <xf numFmtId="3" fontId="10" fillId="0" borderId="64" xfId="18" applyNumberFormat="1" applyFont="1" applyFill="1" applyBorder="1" applyAlignment="1">
      <alignment horizontal="center" vertical="center" textRotation="90"/>
    </xf>
    <xf numFmtId="0" fontId="10" fillId="0" borderId="0" xfId="31" applyFont="1" applyFill="1" applyBorder="1" applyAlignment="1">
      <alignment horizontal="center"/>
    </xf>
    <xf numFmtId="3" fontId="10" fillId="0" borderId="159" xfId="18" applyNumberFormat="1" applyFont="1" applyFill="1" applyBorder="1" applyAlignment="1">
      <alignment horizontal="center" vertical="center" textRotation="90"/>
    </xf>
    <xf numFmtId="3" fontId="10" fillId="0" borderId="165" xfId="18" applyNumberFormat="1" applyFont="1" applyFill="1" applyBorder="1" applyAlignment="1">
      <alignment horizontal="center" vertical="center" textRotation="90"/>
    </xf>
    <xf numFmtId="3" fontId="10" fillId="0" borderId="166" xfId="18" applyNumberFormat="1" applyFont="1" applyFill="1" applyBorder="1" applyAlignment="1">
      <alignment horizontal="center" vertical="center" textRotation="90"/>
    </xf>
    <xf numFmtId="3" fontId="10" fillId="0" borderId="160" xfId="31" applyNumberFormat="1" applyFont="1" applyFill="1" applyBorder="1" applyAlignment="1">
      <alignment horizontal="center" vertical="center" wrapText="1"/>
    </xf>
    <xf numFmtId="3" fontId="10" fillId="0" borderId="154" xfId="31" applyNumberFormat="1" applyFont="1" applyFill="1" applyBorder="1" applyAlignment="1">
      <alignment horizontal="center" vertical="center" wrapText="1"/>
    </xf>
    <xf numFmtId="3" fontId="10" fillId="0" borderId="64" xfId="31" applyNumberFormat="1" applyFont="1" applyFill="1" applyBorder="1" applyAlignment="1">
      <alignment horizontal="center" vertical="center" wrapText="1"/>
    </xf>
    <xf numFmtId="0" fontId="12" fillId="0" borderId="0" xfId="32" applyFont="1" applyFill="1" applyBorder="1" applyAlignment="1">
      <alignment horizontal="center"/>
    </xf>
    <xf numFmtId="0" fontId="10" fillId="0" borderId="141" xfId="31" applyFont="1" applyFill="1" applyBorder="1" applyAlignment="1">
      <alignment horizontal="center" vertical="center"/>
    </xf>
    <xf numFmtId="0" fontId="10" fillId="0" borderId="158" xfId="31" applyFont="1" applyFill="1" applyBorder="1" applyAlignment="1">
      <alignment horizontal="center" vertical="center"/>
    </xf>
    <xf numFmtId="0" fontId="10" fillId="0" borderId="142" xfId="31" applyFont="1" applyFill="1" applyBorder="1" applyAlignment="1">
      <alignment horizontal="center" vertical="center"/>
    </xf>
    <xf numFmtId="3" fontId="10" fillId="0" borderId="85" xfId="31" applyNumberFormat="1" applyFont="1" applyFill="1" applyBorder="1" applyAlignment="1">
      <alignment horizontal="center" vertical="center" wrapText="1"/>
    </xf>
    <xf numFmtId="3" fontId="10" fillId="0" borderId="90" xfId="31" applyNumberFormat="1" applyFont="1" applyFill="1" applyBorder="1" applyAlignment="1">
      <alignment horizontal="center" vertical="center" wrapText="1"/>
    </xf>
    <xf numFmtId="3" fontId="10" fillId="0" borderId="178" xfId="31" applyNumberFormat="1" applyFont="1" applyFill="1" applyBorder="1" applyAlignment="1">
      <alignment horizontal="center" vertical="center" wrapText="1"/>
    </xf>
    <xf numFmtId="3" fontId="10" fillId="0" borderId="84" xfId="31" applyNumberFormat="1" applyFont="1" applyFill="1" applyBorder="1" applyAlignment="1">
      <alignment horizontal="center" vertical="center" wrapText="1"/>
    </xf>
    <xf numFmtId="3" fontId="10" fillId="0" borderId="161" xfId="31" applyNumberFormat="1" applyFont="1" applyFill="1" applyBorder="1" applyAlignment="1">
      <alignment horizontal="center" vertical="center" wrapText="1"/>
    </xf>
    <xf numFmtId="3" fontId="10" fillId="0" borderId="180" xfId="31" applyNumberFormat="1" applyFont="1" applyFill="1" applyBorder="1" applyAlignment="1">
      <alignment horizontal="center" vertical="center" wrapText="1"/>
    </xf>
    <xf numFmtId="3" fontId="10" fillId="0" borderId="181" xfId="31" applyNumberFormat="1" applyFont="1" applyFill="1" applyBorder="1" applyAlignment="1">
      <alignment horizontal="center" vertical="center" wrapText="1"/>
    </xf>
    <xf numFmtId="3" fontId="10" fillId="0" borderId="182" xfId="31" applyNumberFormat="1" applyFont="1" applyFill="1" applyBorder="1" applyAlignment="1">
      <alignment horizontal="center" vertical="center" wrapText="1"/>
    </xf>
    <xf numFmtId="3" fontId="10" fillId="0" borderId="201" xfId="31" applyNumberFormat="1" applyFont="1" applyFill="1" applyBorder="1" applyAlignment="1">
      <alignment horizontal="center" vertical="center" wrapText="1"/>
    </xf>
    <xf numFmtId="3" fontId="10" fillId="0" borderId="184" xfId="31" applyNumberFormat="1" applyFont="1" applyFill="1" applyBorder="1" applyAlignment="1">
      <alignment horizontal="center" vertical="center" wrapText="1"/>
    </xf>
    <xf numFmtId="3" fontId="10" fillId="0" borderId="185" xfId="31" applyNumberFormat="1" applyFont="1" applyFill="1" applyBorder="1" applyAlignment="1">
      <alignment horizontal="center" vertical="center" wrapText="1"/>
    </xf>
    <xf numFmtId="3" fontId="10" fillId="0" borderId="186" xfId="31" applyNumberFormat="1" applyFont="1" applyFill="1" applyBorder="1" applyAlignment="1">
      <alignment horizontal="center" vertical="center" wrapText="1"/>
    </xf>
    <xf numFmtId="3" fontId="12" fillId="0" borderId="118" xfId="31" applyNumberFormat="1" applyFont="1" applyFill="1" applyBorder="1" applyAlignment="1">
      <alignment horizontal="center" vertical="center" wrapText="1"/>
    </xf>
    <xf numFmtId="3" fontId="12" fillId="0" borderId="183" xfId="3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0" fontId="12" fillId="0" borderId="12" xfId="21" applyFont="1" applyFill="1" applyBorder="1" applyAlignment="1">
      <alignment horizontal="center" vertical="center" wrapText="1"/>
    </xf>
    <xf numFmtId="0" fontId="12" fillId="0" borderId="131" xfId="21" applyFont="1" applyFill="1" applyBorder="1" applyAlignment="1">
      <alignment horizontal="center" vertical="center" wrapText="1"/>
    </xf>
    <xf numFmtId="0" fontId="12" fillId="0" borderId="12" xfId="31" applyFont="1" applyFill="1" applyBorder="1" applyAlignment="1">
      <alignment horizontal="center" vertical="center"/>
    </xf>
    <xf numFmtId="0" fontId="12" fillId="0" borderId="131" xfId="31" applyFont="1" applyFill="1" applyBorder="1" applyAlignment="1">
      <alignment horizontal="center" vertical="center"/>
    </xf>
    <xf numFmtId="0" fontId="12" fillId="0" borderId="12" xfId="31" applyFont="1" applyFill="1" applyBorder="1" applyAlignment="1">
      <alignment horizontal="center" vertical="center" wrapText="1"/>
    </xf>
    <xf numFmtId="0" fontId="12" fillId="0" borderId="131" xfId="31" applyFont="1" applyFill="1" applyBorder="1" applyAlignment="1">
      <alignment horizontal="center" vertical="center" wrapText="1"/>
    </xf>
    <xf numFmtId="3" fontId="12" fillId="0" borderId="130" xfId="19" applyNumberFormat="1" applyFont="1" applyFill="1" applyBorder="1" applyAlignment="1">
      <alignment horizontal="center" vertical="center" wrapText="1"/>
    </xf>
    <xf numFmtId="3" fontId="12" fillId="0" borderId="149" xfId="19" applyNumberFormat="1" applyFont="1" applyFill="1" applyBorder="1" applyAlignment="1">
      <alignment horizontal="center" vertical="center" wrapText="1"/>
    </xf>
    <xf numFmtId="0" fontId="10" fillId="0" borderId="0" xfId="45" applyFont="1" applyFill="1" applyBorder="1" applyAlignment="1">
      <alignment horizontal="left" vertical="center"/>
    </xf>
    <xf numFmtId="0" fontId="12" fillId="0" borderId="0" xfId="31" applyFont="1" applyFill="1" applyBorder="1" applyAlignment="1">
      <alignment horizontal="center" vertical="center"/>
    </xf>
    <xf numFmtId="0" fontId="13" fillId="0" borderId="0" xfId="31" applyFont="1" applyFill="1" applyBorder="1" applyAlignment="1">
      <alignment horizontal="center" vertical="center"/>
    </xf>
    <xf numFmtId="0" fontId="10" fillId="0" borderId="139" xfId="19" applyFont="1" applyFill="1" applyBorder="1" applyAlignment="1">
      <alignment horizontal="center" vertical="center" textRotation="90"/>
    </xf>
    <xf numFmtId="0" fontId="10" fillId="0" borderId="140" xfId="19" applyFont="1" applyFill="1" applyBorder="1" applyAlignment="1">
      <alignment horizontal="center" vertical="center" textRotation="90"/>
    </xf>
    <xf numFmtId="0" fontId="12" fillId="0" borderId="150" xfId="19" applyFont="1" applyFill="1" applyBorder="1" applyAlignment="1">
      <alignment horizontal="center" vertical="center" wrapText="1"/>
    </xf>
    <xf numFmtId="0" fontId="12" fillId="0" borderId="151" xfId="19" applyFont="1" applyFill="1" applyBorder="1" applyAlignment="1">
      <alignment horizontal="center" vertical="center" wrapText="1"/>
    </xf>
    <xf numFmtId="3" fontId="12" fillId="0" borderId="119" xfId="19" applyNumberFormat="1" applyFont="1" applyFill="1" applyBorder="1" applyAlignment="1">
      <alignment horizontal="center" vertical="center" wrapText="1"/>
    </xf>
    <xf numFmtId="3" fontId="12" fillId="0" borderId="75" xfId="19" applyNumberFormat="1" applyFont="1" applyFill="1" applyBorder="1" applyAlignment="1">
      <alignment horizontal="center" vertical="center" wrapText="1"/>
    </xf>
    <xf numFmtId="3" fontId="12" fillId="0" borderId="81" xfId="19" applyNumberFormat="1" applyFont="1" applyFill="1" applyBorder="1" applyAlignment="1">
      <alignment horizontal="center" vertical="center" wrapText="1"/>
    </xf>
    <xf numFmtId="0" fontId="10" fillId="0" borderId="59" xfId="46" applyFont="1" applyFill="1" applyBorder="1" applyAlignment="1">
      <alignment horizontal="center" vertical="center" wrapText="1"/>
    </xf>
    <xf numFmtId="3" fontId="12" fillId="0" borderId="137" xfId="19" applyNumberFormat="1" applyFont="1" applyFill="1" applyBorder="1" applyAlignment="1">
      <alignment horizontal="center" vertical="center" wrapText="1"/>
    </xf>
    <xf numFmtId="3" fontId="12" fillId="0" borderId="136" xfId="19" applyNumberFormat="1" applyFont="1" applyFill="1" applyBorder="1" applyAlignment="1">
      <alignment horizontal="center" vertical="center" wrapText="1"/>
    </xf>
    <xf numFmtId="0" fontId="10" fillId="0" borderId="6" xfId="25" applyFont="1" applyFill="1" applyBorder="1" applyAlignment="1">
      <alignment horizontal="center"/>
    </xf>
    <xf numFmtId="0" fontId="10" fillId="0" borderId="152" xfId="24" applyFont="1" applyFill="1" applyBorder="1" applyAlignment="1">
      <alignment horizontal="center" vertical="center" wrapText="1"/>
    </xf>
    <xf numFmtId="0" fontId="10" fillId="0" borderId="153" xfId="24" applyFont="1" applyFill="1" applyBorder="1" applyAlignment="1">
      <alignment horizontal="center" vertical="center" wrapText="1"/>
    </xf>
    <xf numFmtId="0" fontId="12" fillId="0" borderId="0" xfId="24" applyFont="1" applyFill="1" applyAlignment="1">
      <alignment horizontal="center" vertical="center"/>
    </xf>
    <xf numFmtId="0" fontId="13" fillId="0" borderId="0" xfId="27" applyFont="1" applyFill="1" applyAlignment="1">
      <alignment horizontal="right"/>
    </xf>
    <xf numFmtId="0" fontId="38" fillId="0" borderId="19" xfId="0" applyFont="1" applyBorder="1" applyAlignment="1">
      <alignment horizontal="center" vertical="center"/>
    </xf>
    <xf numFmtId="0" fontId="38" fillId="0" borderId="111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51" fillId="0" borderId="111" xfId="0" applyFont="1" applyBorder="1" applyAlignment="1">
      <alignment horizontal="left" vertical="center" wrapText="1"/>
    </xf>
    <xf numFmtId="0" fontId="0" fillId="0" borderId="112" xfId="0" applyBorder="1" applyAlignment="1">
      <alignment horizontal="left" vertical="center" wrapText="1"/>
    </xf>
    <xf numFmtId="3" fontId="38" fillId="0" borderId="112" xfId="0" applyNumberFormat="1" applyFont="1" applyBorder="1" applyAlignment="1">
      <alignment horizontal="right" vertical="center"/>
    </xf>
    <xf numFmtId="3" fontId="38" fillId="0" borderId="19" xfId="0" applyNumberFormat="1" applyFont="1" applyBorder="1" applyAlignment="1">
      <alignment horizontal="right" vertical="center"/>
    </xf>
    <xf numFmtId="3" fontId="38" fillId="0" borderId="20" xfId="0" applyNumberFormat="1" applyFont="1" applyBorder="1" applyAlignment="1">
      <alignment horizontal="right" vertical="center"/>
    </xf>
    <xf numFmtId="3" fontId="38" fillId="0" borderId="143" xfId="0" applyNumberFormat="1" applyFont="1" applyBorder="1" applyAlignment="1">
      <alignment horizontal="right" vertical="center"/>
    </xf>
    <xf numFmtId="3" fontId="38" fillId="0" borderId="202" xfId="0" applyNumberFormat="1" applyFont="1" applyBorder="1" applyAlignment="1">
      <alignment horizontal="right" vertical="center"/>
    </xf>
    <xf numFmtId="3" fontId="38" fillId="0" borderId="7" xfId="0" applyNumberFormat="1" applyFont="1" applyBorder="1" applyAlignment="1">
      <alignment horizontal="right" vertical="center"/>
    </xf>
    <xf numFmtId="0" fontId="38" fillId="0" borderId="5" xfId="0" applyFont="1" applyBorder="1" applyAlignment="1">
      <alignment horizontal="center" vertical="center"/>
    </xf>
    <xf numFmtId="0" fontId="38" fillId="0" borderId="143" xfId="0" applyFont="1" applyBorder="1" applyAlignment="1">
      <alignment vertical="center"/>
    </xf>
    <xf numFmtId="0" fontId="38" fillId="0" borderId="7" xfId="0" applyFont="1" applyBorder="1" applyAlignment="1">
      <alignment vertical="center"/>
    </xf>
    <xf numFmtId="0" fontId="18" fillId="0" borderId="39" xfId="23" applyFont="1" applyFill="1" applyBorder="1" applyAlignment="1">
      <alignment horizontal="left" vertical="center" wrapText="1"/>
    </xf>
    <xf numFmtId="0" fontId="38" fillId="0" borderId="111" xfId="0" applyFont="1" applyBorder="1" applyAlignment="1">
      <alignment horizontal="left" vertical="center" wrapText="1"/>
    </xf>
    <xf numFmtId="0" fontId="38" fillId="0" borderId="112" xfId="0" applyFont="1" applyBorder="1" applyAlignment="1">
      <alignment vertical="center"/>
    </xf>
    <xf numFmtId="0" fontId="38" fillId="0" borderId="19" xfId="0" applyFont="1" applyBorder="1" applyAlignment="1">
      <alignment vertical="center"/>
    </xf>
    <xf numFmtId="0" fontId="50" fillId="0" borderId="111" xfId="0" applyFont="1" applyBorder="1" applyAlignment="1">
      <alignment horizontal="center" vertical="center" wrapText="1"/>
    </xf>
    <xf numFmtId="0" fontId="50" fillId="0" borderId="39" xfId="0" applyFont="1" applyBorder="1" applyAlignment="1">
      <alignment horizontal="center" vertical="center" wrapText="1"/>
    </xf>
    <xf numFmtId="0" fontId="49" fillId="0" borderId="112" xfId="0" applyFont="1" applyBorder="1" applyAlignment="1">
      <alignment horizontal="center" vertical="center" wrapText="1"/>
    </xf>
    <xf numFmtId="0" fontId="10" fillId="0" borderId="0" xfId="4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23" applyFont="1" applyFill="1" applyBorder="1" applyAlignment="1">
      <alignment horizontal="center"/>
    </xf>
    <xf numFmtId="0" fontId="12" fillId="0" borderId="0" xfId="23" applyFont="1" applyFill="1" applyBorder="1" applyAlignment="1">
      <alignment horizontal="center" vertical="center"/>
    </xf>
    <xf numFmtId="0" fontId="50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3" fontId="50" fillId="0" borderId="12" xfId="0" applyNumberFormat="1" applyFont="1" applyBorder="1" applyAlignment="1">
      <alignment horizontal="center" vertical="center"/>
    </xf>
    <xf numFmtId="0" fontId="50" fillId="0" borderId="214" xfId="0" applyFont="1" applyBorder="1" applyAlignment="1">
      <alignment horizontal="center" vertical="center"/>
    </xf>
    <xf numFmtId="0" fontId="10" fillId="0" borderId="6" xfId="23" applyFont="1" applyFill="1" applyBorder="1" applyAlignment="1">
      <alignment horizontal="center"/>
    </xf>
    <xf numFmtId="0" fontId="10" fillId="0" borderId="0" xfId="23" applyFont="1" applyFill="1" applyBorder="1" applyAlignment="1">
      <alignment horizontal="center" vertical="center" wrapText="1"/>
    </xf>
    <xf numFmtId="3" fontId="10" fillId="0" borderId="0" xfId="22" applyNumberFormat="1" applyFont="1" applyAlignment="1">
      <alignment horizontal="left" wrapText="1"/>
    </xf>
    <xf numFmtId="3" fontId="10" fillId="0" borderId="162" xfId="22" applyNumberFormat="1" applyFont="1" applyBorder="1" applyAlignment="1">
      <alignment horizontal="center" vertical="center" wrapText="1"/>
    </xf>
    <xf numFmtId="3" fontId="10" fillId="0" borderId="160" xfId="22" applyNumberFormat="1" applyFont="1" applyBorder="1" applyAlignment="1">
      <alignment horizontal="center" vertical="center" wrapText="1"/>
    </xf>
    <xf numFmtId="3" fontId="10" fillId="0" borderId="163" xfId="22" applyNumberFormat="1" applyFont="1" applyBorder="1" applyAlignment="1">
      <alignment horizontal="center" vertical="center" wrapText="1"/>
    </xf>
    <xf numFmtId="3" fontId="10" fillId="0" borderId="154" xfId="22" applyNumberFormat="1" applyFont="1" applyBorder="1" applyAlignment="1">
      <alignment horizontal="center" vertical="center" wrapText="1"/>
    </xf>
    <xf numFmtId="3" fontId="10" fillId="0" borderId="87" xfId="22" applyNumberFormat="1" applyFont="1" applyBorder="1" applyAlignment="1">
      <alignment horizontal="center" vertical="center" wrapText="1"/>
    </xf>
    <xf numFmtId="3" fontId="10" fillId="0" borderId="92" xfId="22" applyNumberFormat="1" applyFont="1" applyBorder="1" applyAlignment="1">
      <alignment horizontal="center" vertical="center" wrapText="1"/>
    </xf>
    <xf numFmtId="3" fontId="10" fillId="0" borderId="164" xfId="22" applyNumberFormat="1" applyFont="1" applyBorder="1" applyAlignment="1">
      <alignment horizontal="center" vertical="center" wrapText="1"/>
    </xf>
    <xf numFmtId="3" fontId="10" fillId="0" borderId="216" xfId="22" applyNumberFormat="1" applyFont="1" applyBorder="1" applyAlignment="1">
      <alignment horizontal="center" vertical="center" wrapText="1"/>
    </xf>
    <xf numFmtId="3" fontId="10" fillId="0" borderId="217" xfId="22" applyNumberFormat="1" applyFont="1" applyBorder="1" applyAlignment="1">
      <alignment horizontal="center" vertical="center" wrapText="1"/>
    </xf>
    <xf numFmtId="3" fontId="10" fillId="0" borderId="184" xfId="22" applyNumberFormat="1" applyFont="1" applyFill="1" applyBorder="1" applyAlignment="1">
      <alignment horizontal="center" vertical="center" wrapText="1"/>
    </xf>
    <xf numFmtId="3" fontId="10" fillId="0" borderId="142" xfId="22" applyNumberFormat="1" applyFont="1" applyFill="1" applyBorder="1" applyAlignment="1">
      <alignment horizontal="center" vertical="center" wrapText="1"/>
    </xf>
    <xf numFmtId="0" fontId="10" fillId="0" borderId="154" xfId="22" applyNumberFormat="1" applyFont="1" applyBorder="1" applyAlignment="1">
      <alignment horizontal="center" vertical="center" wrapText="1"/>
    </xf>
    <xf numFmtId="3" fontId="10" fillId="0" borderId="155" xfId="22" applyNumberFormat="1" applyFont="1" applyBorder="1" applyAlignment="1">
      <alignment horizontal="center" vertical="center" wrapText="1"/>
    </xf>
    <xf numFmtId="3" fontId="10" fillId="0" borderId="156" xfId="22" applyNumberFormat="1" applyFont="1" applyBorder="1" applyAlignment="1">
      <alignment horizontal="center" vertical="center" wrapText="1"/>
    </xf>
    <xf numFmtId="3" fontId="10" fillId="0" borderId="139" xfId="22" applyNumberFormat="1" applyFont="1" applyBorder="1" applyAlignment="1">
      <alignment horizontal="center" vertical="center" textRotation="90" wrapText="1"/>
    </xf>
    <xf numFmtId="3" fontId="10" fillId="0" borderId="157" xfId="22" applyNumberFormat="1" applyFont="1" applyBorder="1" applyAlignment="1">
      <alignment horizontal="center" vertical="center" textRotation="90" wrapText="1"/>
    </xf>
    <xf numFmtId="3" fontId="10" fillId="0" borderId="140" xfId="22" applyNumberFormat="1" applyFont="1" applyBorder="1" applyAlignment="1">
      <alignment horizontal="center" vertical="center" textRotation="90" wrapText="1"/>
    </xf>
    <xf numFmtId="3" fontId="10" fillId="0" borderId="141" xfId="22" applyNumberFormat="1" applyFont="1" applyBorder="1" applyAlignment="1">
      <alignment horizontal="center" vertical="center" textRotation="90" wrapText="1"/>
    </xf>
    <xf numFmtId="3" fontId="10" fillId="0" borderId="158" xfId="22" applyNumberFormat="1" applyFont="1" applyBorder="1" applyAlignment="1">
      <alignment horizontal="center" vertical="center" textRotation="90" wrapText="1"/>
    </xf>
    <xf numFmtId="3" fontId="10" fillId="0" borderId="142" xfId="22" applyNumberFormat="1" applyFont="1" applyBorder="1" applyAlignment="1">
      <alignment horizontal="center" vertical="center" textRotation="90" wrapText="1"/>
    </xf>
    <xf numFmtId="3" fontId="10" fillId="0" borderId="175" xfId="22" applyNumberFormat="1" applyFont="1" applyBorder="1" applyAlignment="1">
      <alignment horizontal="center" vertical="center" wrapText="1"/>
    </xf>
    <xf numFmtId="3" fontId="10" fillId="0" borderId="99" xfId="22" applyNumberFormat="1" applyFont="1" applyBorder="1" applyAlignment="1">
      <alignment horizontal="center" vertical="center" wrapText="1"/>
    </xf>
    <xf numFmtId="3" fontId="10" fillId="0" borderId="176" xfId="22" applyNumberFormat="1" applyFont="1" applyBorder="1" applyAlignment="1">
      <alignment horizontal="center" vertical="center" wrapText="1"/>
    </xf>
    <xf numFmtId="14" fontId="10" fillId="0" borderId="145" xfId="22" applyNumberFormat="1" applyFont="1" applyBorder="1" applyAlignment="1">
      <alignment horizontal="center" vertical="center" wrapText="1"/>
    </xf>
    <xf numFmtId="14" fontId="10" fillId="0" borderId="88" xfId="22" applyNumberFormat="1" applyFont="1" applyBorder="1" applyAlignment="1">
      <alignment horizontal="center" vertical="center" wrapText="1"/>
    </xf>
    <xf numFmtId="14" fontId="10" fillId="0" borderId="107" xfId="22" applyNumberFormat="1" applyFont="1" applyBorder="1" applyAlignment="1">
      <alignment horizontal="center" vertical="center" wrapText="1"/>
    </xf>
    <xf numFmtId="3" fontId="10" fillId="0" borderId="84" xfId="22" applyNumberFormat="1" applyFont="1" applyBorder="1" applyAlignment="1">
      <alignment horizontal="center" vertical="center" wrapText="1"/>
    </xf>
    <xf numFmtId="3" fontId="10" fillId="0" borderId="161" xfId="22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/>
    </xf>
    <xf numFmtId="3" fontId="12" fillId="0" borderId="12" xfId="22" applyNumberFormat="1" applyFont="1" applyBorder="1" applyAlignment="1">
      <alignment horizontal="center" vertical="center"/>
    </xf>
    <xf numFmtId="3" fontId="12" fillId="0" borderId="13" xfId="22" applyNumberFormat="1" applyFont="1" applyBorder="1" applyAlignment="1">
      <alignment horizontal="center" vertical="center"/>
    </xf>
    <xf numFmtId="3" fontId="10" fillId="0" borderId="0" xfId="22" applyNumberFormat="1" applyFont="1" applyBorder="1" applyAlignment="1">
      <alignment horizontal="left" wrapText="1"/>
    </xf>
    <xf numFmtId="3" fontId="12" fillId="0" borderId="0" xfId="22" applyNumberFormat="1" applyFont="1" applyAlignment="1">
      <alignment horizontal="center"/>
    </xf>
    <xf numFmtId="3" fontId="20" fillId="0" borderId="0" xfId="22" applyNumberFormat="1" applyFont="1" applyBorder="1" applyAlignment="1">
      <alignment horizontal="right"/>
    </xf>
    <xf numFmtId="0" fontId="12" fillId="0" borderId="12" xfId="0" applyFont="1" applyBorder="1" applyAlignment="1">
      <alignment horizontal="center" vertical="center"/>
    </xf>
    <xf numFmtId="0" fontId="12" fillId="0" borderId="167" xfId="0" applyFont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/>
    </xf>
    <xf numFmtId="0" fontId="14" fillId="0" borderId="6" xfId="0" applyFont="1" applyBorder="1" applyAlignment="1">
      <alignment horizontal="center"/>
    </xf>
    <xf numFmtId="0" fontId="12" fillId="0" borderId="12" xfId="0" applyFont="1" applyBorder="1" applyAlignment="1">
      <alignment horizontal="center" vertical="center" wrapText="1"/>
    </xf>
    <xf numFmtId="0" fontId="12" fillId="0" borderId="167" xfId="0" applyFont="1" applyBorder="1" applyAlignment="1">
      <alignment horizontal="center" vertical="center" wrapText="1"/>
    </xf>
  </cellXfs>
  <cellStyles count="50">
    <cellStyle name="Ezres 2" xfId="1"/>
    <cellStyle name="Ezres 3" xfId="2"/>
    <cellStyle name="Ezres 4" xfId="3"/>
    <cellStyle name="Ezres 4 2" xfId="4"/>
    <cellStyle name="Ezres 4 3" xfId="39"/>
    <cellStyle name="Ezres 5" xfId="43"/>
    <cellStyle name="Normál" xfId="0" builtinId="0"/>
    <cellStyle name="Normál 10" xfId="42"/>
    <cellStyle name="Normál 2" xfId="5"/>
    <cellStyle name="Normál 3" xfId="6"/>
    <cellStyle name="Normál 4" xfId="7"/>
    <cellStyle name="Normál 5" xfId="8"/>
    <cellStyle name="Normál 6" xfId="9"/>
    <cellStyle name="Normál 6 2" xfId="10"/>
    <cellStyle name="Normál 6 3" xfId="11"/>
    <cellStyle name="Normál 6 3 2" xfId="12"/>
    <cellStyle name="Normál 6 3 2 2" xfId="37"/>
    <cellStyle name="Normál 6 3 2 3" xfId="38"/>
    <cellStyle name="Normál 6 3 2 3 2" xfId="47"/>
    <cellStyle name="Normál 6 3 2 4" xfId="48"/>
    <cellStyle name="Normál 6 3 2 5" xfId="49"/>
    <cellStyle name="Normál 7" xfId="13"/>
    <cellStyle name="Normál 8" xfId="14"/>
    <cellStyle name="Normál 8 2" xfId="15"/>
    <cellStyle name="Normál 8 2 2" xfId="41"/>
    <cellStyle name="Normál 8 2 3" xfId="46"/>
    <cellStyle name="Normál 9" xfId="16"/>
    <cellStyle name="Normál 9 2" xfId="40"/>
    <cellStyle name="Normál 9 3" xfId="45"/>
    <cellStyle name="Normál_2007.évi konc. összefoglaló bevétel" xfId="17"/>
    <cellStyle name="Normál_2007.évi konc. összefoglaló bevétel 2" xfId="18"/>
    <cellStyle name="Normál_2008.évi költségvetési javaslat" xfId="19"/>
    <cellStyle name="Normál_2011koltsegvetes (2) 2" xfId="20"/>
    <cellStyle name="Normál_Beruházási tábla 2007" xfId="21"/>
    <cellStyle name="Normál_EU-s tábla kv-hez_EU projektek tábla" xfId="22"/>
    <cellStyle name="Normál_fejlesztesi hitel" xfId="23"/>
    <cellStyle name="Normál_Hitel tábla 2012 terv" xfId="24"/>
    <cellStyle name="Normál_Hitel tábla 2012 terv (2)" xfId="25"/>
    <cellStyle name="Normál_hitelállomány07_12" xfId="26"/>
    <cellStyle name="Normál_hiteltörl költségvetés 2014" xfId="27"/>
    <cellStyle name="Normál_Intézményi bevétel-kiadás" xfId="28"/>
    <cellStyle name="Normál_Intézményi bevétel-kiadás 2" xfId="29"/>
    <cellStyle name="Normál_irodai végleges intézményekkel" xfId="30"/>
    <cellStyle name="Normál_Városfejlesztési Iroda - 2008. kv. tervezés" xfId="31"/>
    <cellStyle name="Normál_Városfejlesztési Iroda - 2008. kv. tervezés_2014.évi eredeti előirányzat 2" xfId="32"/>
    <cellStyle name="Normál_Városfejlesztési Iroda - 2008. kv. tervezés_Koltsegvetes_modositas_aprilis_tablazatai" xfId="33"/>
    <cellStyle name="Százalék" xfId="34" builtinId="5"/>
    <cellStyle name="Százalék 2" xfId="35"/>
    <cellStyle name="Százalék 3" xfId="36"/>
    <cellStyle name="Százalék 3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hartsheet" Target="chartsheets/sheet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hartsheet" Target="chartsheets/sheet2.xml"/><Relationship Id="rId33" Type="http://schemas.openxmlformats.org/officeDocument/2006/relationships/externalLink" Target="externalLinks/externalLink5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hartsheet" Target="chartsheets/sheet1.xml"/><Relationship Id="rId32" Type="http://schemas.openxmlformats.org/officeDocument/2006/relationships/externalLink" Target="externalLinks/externalLink4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hartsheet" Target="chartsheets/sheet5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hartsheet" Target="chartsheets/sheet4.xml"/><Relationship Id="rId30" Type="http://schemas.openxmlformats.org/officeDocument/2006/relationships/externalLink" Target="externalLinks/externalLink2.xml"/><Relationship Id="rId35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hu-HU"/>
              <a:t>AZ ÖNKORMÁNYZAT BEVÉTELEINEK ALAKULÁSA 2018-2020</a:t>
            </a:r>
          </a:p>
          <a:p>
            <a:pPr>
              <a:defRPr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hu-HU"/>
              <a:t>
 ÉVEKBEN</a:t>
            </a:r>
          </a:p>
        </c:rich>
      </c:tx>
      <c:layout>
        <c:manualLayout>
          <c:xMode val="edge"/>
          <c:yMode val="edge"/>
          <c:x val="0.26266802660030192"/>
          <c:y val="2.0618446790536725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80"/>
      <c:rotY val="20"/>
      <c:depthPercent val="100"/>
      <c:rAngAx val="1"/>
    </c:view3D>
    <c:floor>
      <c:thickness val="0"/>
      <c:spPr>
        <a:solidFill>
          <a:srgbClr val="C0C0C0">
            <a:alpha val="61000"/>
          </a:srgbClr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chemeClr val="bg1">
            <a:lumMod val="95000"/>
            <a:alpha val="45000"/>
          </a:schemeClr>
        </a:solidFill>
        <a:ln w="12700">
          <a:solidFill>
            <a:srgbClr val="000000"/>
          </a:solidFill>
          <a:prstDash val="solid"/>
        </a:ln>
      </c:spPr>
    </c:sideWall>
    <c:backWall>
      <c:thickness val="0"/>
      <c:spPr>
        <a:solidFill>
          <a:schemeClr val="bg1">
            <a:lumMod val="85000"/>
          </a:schemeClr>
        </a:solidFill>
        <a:ln w="12700">
          <a:solidFill>
            <a:srgbClr val="00000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4167076607175114"/>
          <c:y val="0.13230234095350241"/>
          <c:w val="0.50672182006204758"/>
          <c:h val="0.7938144329896906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[2]Munka1!$A$6</c:f>
              <c:strCache>
                <c:ptCount val="1"/>
                <c:pt idx="0">
                  <c:v>Központi koltségvetési támogatás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([2]Munka1!$B$4:$D$4,[2]Munka1!$B$15:$D$15)</c:f>
              <c:strCache>
                <c:ptCount val="6"/>
                <c:pt idx="0">
                  <c:v>2018.ÉVI TÉNY  </c:v>
                </c:pt>
                <c:pt idx="1">
                  <c:v>2019.ÉVI VÁRHATÓ   </c:v>
                </c:pt>
                <c:pt idx="2">
                  <c:v>2020.ÉVI TERV </c:v>
                </c:pt>
                <c:pt idx="3">
                  <c:v>33868500</c:v>
                </c:pt>
                <c:pt idx="4">
                  <c:v>39174083</c:v>
                </c:pt>
                <c:pt idx="5">
                  <c:v>37772045</c:v>
                </c:pt>
              </c:strCache>
            </c:strRef>
          </c:cat>
          <c:val>
            <c:numRef>
              <c:f>[2]Munka1!$B$6:$D$6</c:f>
              <c:numCache>
                <c:formatCode>General</c:formatCode>
                <c:ptCount val="3"/>
                <c:pt idx="0">
                  <c:v>3393904</c:v>
                </c:pt>
                <c:pt idx="1">
                  <c:v>3676859</c:v>
                </c:pt>
                <c:pt idx="2">
                  <c:v>3066627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4DD-40D1-807B-4E3490D81C03}"/>
            </c:ext>
          </c:extLst>
        </c:ser>
        <c:ser>
          <c:idx val="1"/>
          <c:order val="1"/>
          <c:tx>
            <c:strRef>
              <c:f>[2]Munka1!$A$8</c:f>
              <c:strCache>
                <c:ptCount val="1"/>
                <c:pt idx="0">
                  <c:v>Működési célú támogatások</c:v>
                </c:pt>
              </c:strCache>
            </c:strRef>
          </c:tx>
          <c:spPr>
            <a:solidFill>
              <a:schemeClr val="bg2">
                <a:lumMod val="2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([2]Munka1!$B$4:$D$4,[2]Munka1!$B$15:$D$15)</c:f>
              <c:strCache>
                <c:ptCount val="6"/>
                <c:pt idx="0">
                  <c:v>2018.ÉVI TÉNY  </c:v>
                </c:pt>
                <c:pt idx="1">
                  <c:v>2019.ÉVI VÁRHATÓ   </c:v>
                </c:pt>
                <c:pt idx="2">
                  <c:v>2020.ÉVI TERV </c:v>
                </c:pt>
                <c:pt idx="3">
                  <c:v>33868500</c:v>
                </c:pt>
                <c:pt idx="4">
                  <c:v>39174083</c:v>
                </c:pt>
                <c:pt idx="5">
                  <c:v>37772045</c:v>
                </c:pt>
              </c:strCache>
            </c:strRef>
          </c:cat>
          <c:val>
            <c:numRef>
              <c:f>[2]Munka1!$B$8:$D$8</c:f>
              <c:numCache>
                <c:formatCode>General</c:formatCode>
                <c:ptCount val="3"/>
                <c:pt idx="0">
                  <c:v>582004</c:v>
                </c:pt>
                <c:pt idx="1">
                  <c:v>1401865</c:v>
                </c:pt>
                <c:pt idx="2">
                  <c:v>1573630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4DD-40D1-807B-4E3490D81C03}"/>
            </c:ext>
          </c:extLst>
        </c:ser>
        <c:ser>
          <c:idx val="3"/>
          <c:order val="2"/>
          <c:tx>
            <c:strRef>
              <c:f>[2]Munka1!$A$9</c:f>
              <c:strCache>
                <c:ptCount val="1"/>
                <c:pt idx="0">
                  <c:v>Közhatalmi bevételek (helyi adók,, gépjárműadó, egyéb pótlék, bírság)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([2]Munka1!$B$4:$D$4,[2]Munka1!$B$15:$D$15)</c:f>
              <c:strCache>
                <c:ptCount val="6"/>
                <c:pt idx="0">
                  <c:v>2018.ÉVI TÉNY  </c:v>
                </c:pt>
                <c:pt idx="1">
                  <c:v>2019.ÉVI VÁRHATÓ   </c:v>
                </c:pt>
                <c:pt idx="2">
                  <c:v>2020.ÉVI TERV </c:v>
                </c:pt>
                <c:pt idx="3">
                  <c:v>33868500</c:v>
                </c:pt>
                <c:pt idx="4">
                  <c:v>39174083</c:v>
                </c:pt>
                <c:pt idx="5">
                  <c:v>37772045</c:v>
                </c:pt>
              </c:strCache>
            </c:strRef>
          </c:cat>
          <c:val>
            <c:numRef>
              <c:f>[2]Munka1!$B$9:$D$9</c:f>
              <c:numCache>
                <c:formatCode>General</c:formatCode>
                <c:ptCount val="3"/>
                <c:pt idx="0">
                  <c:v>8049548</c:v>
                </c:pt>
                <c:pt idx="1">
                  <c:v>8108452</c:v>
                </c:pt>
                <c:pt idx="2">
                  <c:v>7945120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4DD-40D1-807B-4E3490D81C03}"/>
            </c:ext>
          </c:extLst>
        </c:ser>
        <c:ser>
          <c:idx val="4"/>
          <c:order val="3"/>
          <c:tx>
            <c:strRef>
              <c:f>[2]Munka1!$A$10</c:f>
              <c:strCache>
                <c:ptCount val="1"/>
                <c:pt idx="0">
                  <c:v>Ingatlanok és tárgyi eszközök értékesítése</c:v>
                </c:pt>
              </c:strCache>
            </c:strRef>
          </c:tx>
          <c:spPr>
            <a:solidFill>
              <a:srgbClr val="00206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([2]Munka1!$B$4:$D$4,[2]Munka1!$B$15:$D$15)</c:f>
              <c:strCache>
                <c:ptCount val="6"/>
                <c:pt idx="0">
                  <c:v>2018.ÉVI TÉNY  </c:v>
                </c:pt>
                <c:pt idx="1">
                  <c:v>2019.ÉVI VÁRHATÓ   </c:v>
                </c:pt>
                <c:pt idx="2">
                  <c:v>2020.ÉVI TERV </c:v>
                </c:pt>
                <c:pt idx="3">
                  <c:v>33868500</c:v>
                </c:pt>
                <c:pt idx="4">
                  <c:v>39174083</c:v>
                </c:pt>
                <c:pt idx="5">
                  <c:v>37772045</c:v>
                </c:pt>
              </c:strCache>
            </c:strRef>
          </c:cat>
          <c:val>
            <c:numRef>
              <c:f>[2]Munka1!$B$10:$D$10</c:f>
              <c:numCache>
                <c:formatCode>General</c:formatCode>
                <c:ptCount val="3"/>
                <c:pt idx="0">
                  <c:v>136583</c:v>
                </c:pt>
                <c:pt idx="1">
                  <c:v>153966</c:v>
                </c:pt>
                <c:pt idx="2">
                  <c:v>190000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4DD-40D1-807B-4E3490D81C03}"/>
            </c:ext>
          </c:extLst>
        </c:ser>
        <c:ser>
          <c:idx val="5"/>
          <c:order val="4"/>
          <c:tx>
            <c:strRef>
              <c:f>[2]Munka1!$A$11</c:f>
              <c:strCache>
                <c:ptCount val="1"/>
                <c:pt idx="0">
                  <c:v>Működési bevételek 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([2]Munka1!$B$4:$D$4,[2]Munka1!$B$15:$D$15)</c:f>
              <c:strCache>
                <c:ptCount val="6"/>
                <c:pt idx="0">
                  <c:v>2018.ÉVI TÉNY  </c:v>
                </c:pt>
                <c:pt idx="1">
                  <c:v>2019.ÉVI VÁRHATÓ   </c:v>
                </c:pt>
                <c:pt idx="2">
                  <c:v>2020.ÉVI TERV </c:v>
                </c:pt>
                <c:pt idx="3">
                  <c:v>33868500</c:v>
                </c:pt>
                <c:pt idx="4">
                  <c:v>39174083</c:v>
                </c:pt>
                <c:pt idx="5">
                  <c:v>37772045</c:v>
                </c:pt>
              </c:strCache>
            </c:strRef>
          </c:cat>
          <c:val>
            <c:numRef>
              <c:f>[2]Munka1!$B$11:$D$11</c:f>
              <c:numCache>
                <c:formatCode>General</c:formatCode>
                <c:ptCount val="3"/>
                <c:pt idx="0">
                  <c:v>2034526</c:v>
                </c:pt>
                <c:pt idx="1">
                  <c:v>1953150</c:v>
                </c:pt>
                <c:pt idx="2">
                  <c:v>2529882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24DD-40D1-807B-4E3490D81C03}"/>
            </c:ext>
          </c:extLst>
        </c:ser>
        <c:ser>
          <c:idx val="7"/>
          <c:order val="5"/>
          <c:tx>
            <c:strRef>
              <c:f>[2]Munka1!$A$12</c:f>
              <c:strCache>
                <c:ptCount val="1"/>
                <c:pt idx="0">
                  <c:v>Átvett pénzeszközök,felhalmozási bevételek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([2]Munka1!$B$4:$D$4,[2]Munka1!$B$15:$D$15)</c:f>
              <c:strCache>
                <c:ptCount val="6"/>
                <c:pt idx="0">
                  <c:v>2018.ÉVI TÉNY  </c:v>
                </c:pt>
                <c:pt idx="1">
                  <c:v>2019.ÉVI VÁRHATÓ   </c:v>
                </c:pt>
                <c:pt idx="2">
                  <c:v>2020.ÉVI TERV </c:v>
                </c:pt>
                <c:pt idx="3">
                  <c:v>33868500</c:v>
                </c:pt>
                <c:pt idx="4">
                  <c:v>39174083</c:v>
                </c:pt>
                <c:pt idx="5">
                  <c:v>37772045</c:v>
                </c:pt>
              </c:strCache>
            </c:strRef>
          </c:cat>
          <c:val>
            <c:numRef>
              <c:f>[2]Munka1!$B$12:$D$12</c:f>
              <c:numCache>
                <c:formatCode>General</c:formatCode>
                <c:ptCount val="3"/>
                <c:pt idx="0">
                  <c:v>62968</c:v>
                </c:pt>
                <c:pt idx="1">
                  <c:v>641201</c:v>
                </c:pt>
                <c:pt idx="2">
                  <c:v>7543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24DD-40D1-807B-4E3490D81C03}"/>
            </c:ext>
          </c:extLst>
        </c:ser>
        <c:ser>
          <c:idx val="8"/>
          <c:order val="6"/>
          <c:tx>
            <c:strRef>
              <c:f>[2]Munka1!$A$13</c:f>
              <c:strCache>
                <c:ptCount val="1"/>
                <c:pt idx="0">
                  <c:v>Költségvetési maradvány</c:v>
                </c:pt>
              </c:strCache>
            </c:strRef>
          </c:tx>
          <c:spPr>
            <a:solidFill>
              <a:srgbClr val="00B05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([2]Munka1!$B$4:$D$4,[2]Munka1!$B$15:$D$15)</c:f>
              <c:strCache>
                <c:ptCount val="6"/>
                <c:pt idx="0">
                  <c:v>2018.ÉVI TÉNY  </c:v>
                </c:pt>
                <c:pt idx="1">
                  <c:v>2019.ÉVI VÁRHATÓ   </c:v>
                </c:pt>
                <c:pt idx="2">
                  <c:v>2020.ÉVI TERV </c:v>
                </c:pt>
                <c:pt idx="3">
                  <c:v>33868500</c:v>
                </c:pt>
                <c:pt idx="4">
                  <c:v>39174083</c:v>
                </c:pt>
                <c:pt idx="5">
                  <c:v>37772045</c:v>
                </c:pt>
              </c:strCache>
            </c:strRef>
          </c:cat>
          <c:val>
            <c:numRef>
              <c:f>[2]Munka1!$B$13:$D$13</c:f>
              <c:numCache>
                <c:formatCode>General</c:formatCode>
                <c:ptCount val="3"/>
                <c:pt idx="0">
                  <c:v>6873658</c:v>
                </c:pt>
                <c:pt idx="1">
                  <c:v>13087077</c:v>
                </c:pt>
                <c:pt idx="2">
                  <c:v>12883374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24DD-40D1-807B-4E3490D81C03}"/>
            </c:ext>
          </c:extLst>
        </c:ser>
        <c:ser>
          <c:idx val="9"/>
          <c:order val="7"/>
          <c:tx>
            <c:strRef>
              <c:f>[2]Munka1!$A$14</c:f>
              <c:strCache>
                <c:ptCount val="1"/>
                <c:pt idx="0">
                  <c:v>Hitelfelvétel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([2]Munka1!$B$4:$D$4,[2]Munka1!$B$15:$D$15)</c:f>
              <c:strCache>
                <c:ptCount val="6"/>
                <c:pt idx="0">
                  <c:v>2018.ÉVI TÉNY  </c:v>
                </c:pt>
                <c:pt idx="1">
                  <c:v>2019.ÉVI VÁRHATÓ   </c:v>
                </c:pt>
                <c:pt idx="2">
                  <c:v>2020.ÉVI TERV </c:v>
                </c:pt>
                <c:pt idx="3">
                  <c:v>33868500</c:v>
                </c:pt>
                <c:pt idx="4">
                  <c:v>39174083</c:v>
                </c:pt>
                <c:pt idx="5">
                  <c:v>37772045</c:v>
                </c:pt>
              </c:strCache>
            </c:strRef>
          </c:cat>
          <c:val>
            <c:numRef>
              <c:f>[2]Munka1!$B$14:$D$14</c:f>
              <c:numCache>
                <c:formatCode>General</c:formatCode>
                <c:ptCount val="3"/>
                <c:pt idx="0">
                  <c:v>51512</c:v>
                </c:pt>
                <c:pt idx="1">
                  <c:v>676488</c:v>
                </c:pt>
                <c:pt idx="2">
                  <c:v>1409800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24DD-40D1-807B-4E3490D81C03}"/>
            </c:ext>
          </c:extLst>
        </c:ser>
        <c:ser>
          <c:idx val="2"/>
          <c:order val="8"/>
          <c:tx>
            <c:strRef>
              <c:f>[2]Munka1!$A$7</c:f>
              <c:strCache>
                <c:ptCount val="1"/>
                <c:pt idx="0">
                  <c:v>Egyéb kapott támogatás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([2]Munka1!$B$4:$D$4,[2]Munka1!$B$15:$D$15)</c:f>
              <c:strCache>
                <c:ptCount val="6"/>
                <c:pt idx="0">
                  <c:v>2018.ÉVI TÉNY  </c:v>
                </c:pt>
                <c:pt idx="1">
                  <c:v>2019.ÉVI VÁRHATÓ   </c:v>
                </c:pt>
                <c:pt idx="2">
                  <c:v>2020.ÉVI TERV </c:v>
                </c:pt>
                <c:pt idx="3">
                  <c:v>33868500</c:v>
                </c:pt>
                <c:pt idx="4">
                  <c:v>39174083</c:v>
                </c:pt>
                <c:pt idx="5">
                  <c:v>37772045</c:v>
                </c:pt>
              </c:strCache>
            </c:strRef>
          </c:cat>
          <c:val>
            <c:numRef>
              <c:f>[2]Munka1!$B$7:$D$7</c:f>
              <c:numCache>
                <c:formatCode>General</c:formatCode>
                <c:ptCount val="3"/>
                <c:pt idx="0">
                  <c:v>12683797</c:v>
                </c:pt>
                <c:pt idx="1">
                  <c:v>9475025</c:v>
                </c:pt>
                <c:pt idx="2">
                  <c:v>8166069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24DD-40D1-807B-4E3490D81C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9860736"/>
        <c:axId val="129862272"/>
        <c:axId val="0"/>
      </c:bar3DChart>
      <c:catAx>
        <c:axId val="129860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  <c:crossAx val="12986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9862272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l">
                  <a:defRPr sz="117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hu-HU"/>
                  <a:t>Ezer forint</a:t>
                </a:r>
              </a:p>
            </c:rich>
          </c:tx>
          <c:layout>
            <c:manualLayout>
              <c:xMode val="edge"/>
              <c:yMode val="edge"/>
              <c:x val="7.3423143350604486E-2"/>
              <c:y val="0.1752577915712343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  <c:crossAx val="129860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egendEntry>
        <c:idx val="0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</c:legendEntry>
      <c:legendEntry>
        <c:idx val="1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</c:legendEntry>
      <c:legendEntry>
        <c:idx val="2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</c:legendEntry>
      <c:legendEntry>
        <c:idx val="3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</c:legendEntry>
      <c:legendEntry>
        <c:idx val="4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</c:legendEntry>
      <c:legendEntry>
        <c:idx val="5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</c:legendEntry>
      <c:legendEntry>
        <c:idx val="6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</c:legendEntry>
      <c:legendEntry>
        <c:idx val="7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</c:legendEntry>
      <c:legendEntry>
        <c:idx val="8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hu-HU"/>
          </a:p>
        </c:txPr>
      </c:legendEntry>
      <c:layout>
        <c:manualLayout>
          <c:xMode val="edge"/>
          <c:yMode val="edge"/>
          <c:x val="0.69803818026489883"/>
          <c:y val="0.16878316090198364"/>
          <c:w val="0.20234591529747784"/>
          <c:h val="0.704636498750909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hu-HU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hu-HU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hu-HU"/>
              <a:t>AZ ÖNKORMÁNYZAT KIADÁSAINAK ALAKULÁSA A 2018-2020</a:t>
            </a:r>
          </a:p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hu-HU"/>
              <a:t>ÉVEKBEN</a:t>
            </a:r>
          </a:p>
        </c:rich>
      </c:tx>
      <c:layout>
        <c:manualLayout>
          <c:xMode val="edge"/>
          <c:yMode val="edge"/>
          <c:x val="0.23784900465430114"/>
          <c:y val="2.061852318739547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100"/>
      <c:rotY val="20"/>
      <c:depthPercent val="100"/>
      <c:rAngAx val="0"/>
      <c:perspective val="30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5305067218200621"/>
          <c:y val="0.10309278350515463"/>
          <c:w val="0.55532574974146842"/>
          <c:h val="0.80584192439862545"/>
        </c:manualLayout>
      </c:layout>
      <c:bar3DChart>
        <c:barDir val="col"/>
        <c:grouping val="standard"/>
        <c:varyColors val="0"/>
        <c:ser>
          <c:idx val="2"/>
          <c:order val="0"/>
          <c:tx>
            <c:strRef>
              <c:f>[3]Munka1!$B$8</c:f>
              <c:strCache>
                <c:ptCount val="1"/>
                <c:pt idx="0">
                  <c:v>Hiteltörlesztés</c:v>
                </c:pt>
              </c:strCache>
            </c:strRef>
          </c:tx>
          <c:spPr>
            <a:solidFill>
              <a:srgbClr val="FF99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[3]Munka1!$C$6:$E$6</c:f>
              <c:strCache>
                <c:ptCount val="3"/>
                <c:pt idx="0">
                  <c:v>2018. évi tény</c:v>
                </c:pt>
                <c:pt idx="1">
                  <c:v>2019. évi várható</c:v>
                </c:pt>
                <c:pt idx="2">
                  <c:v>2020. évi terv</c:v>
                </c:pt>
              </c:strCache>
            </c:strRef>
          </c:cat>
          <c:val>
            <c:numRef>
              <c:f>[3]Munka1!$C$8:$E$8</c:f>
              <c:numCache>
                <c:formatCode>General</c:formatCode>
                <c:ptCount val="3"/>
                <c:pt idx="0">
                  <c:v>107595</c:v>
                </c:pt>
                <c:pt idx="1">
                  <c:v>113595</c:v>
                </c:pt>
                <c:pt idx="2">
                  <c:v>108504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AB8-4C5D-90F6-FF853391D9CE}"/>
            </c:ext>
          </c:extLst>
        </c:ser>
        <c:ser>
          <c:idx val="3"/>
          <c:order val="1"/>
          <c:tx>
            <c:strRef>
              <c:f>[3]Munka1!$B$9</c:f>
              <c:strCache>
                <c:ptCount val="1"/>
                <c:pt idx="0">
                  <c:v>Beruházás, felújítás, egyéb felhalmozás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[3]Munka1!$C$6:$E$6</c:f>
              <c:strCache>
                <c:ptCount val="3"/>
                <c:pt idx="0">
                  <c:v>2018. évi tény</c:v>
                </c:pt>
                <c:pt idx="1">
                  <c:v>2019. évi várható</c:v>
                </c:pt>
                <c:pt idx="2">
                  <c:v>2020. évi terv</c:v>
                </c:pt>
              </c:strCache>
            </c:strRef>
          </c:cat>
          <c:val>
            <c:numRef>
              <c:f>[3]Munka1!$C$9:$E$9</c:f>
              <c:numCache>
                <c:formatCode>General</c:formatCode>
                <c:ptCount val="3"/>
                <c:pt idx="0">
                  <c:v>8662579</c:v>
                </c:pt>
                <c:pt idx="1">
                  <c:v>21578471</c:v>
                </c:pt>
                <c:pt idx="2">
                  <c:v>22227115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AB8-4C5D-90F6-FF853391D9CE}"/>
            </c:ext>
          </c:extLst>
        </c:ser>
        <c:ser>
          <c:idx val="4"/>
          <c:order val="2"/>
          <c:tx>
            <c:strRef>
              <c:f>[3]Munka1!$B$10</c:f>
              <c:strCache>
                <c:ptCount val="1"/>
                <c:pt idx="0">
                  <c:v>Intézmények működési kiadásai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[3]Munka1!$C$6:$E$6</c:f>
              <c:strCache>
                <c:ptCount val="3"/>
                <c:pt idx="0">
                  <c:v>2018. évi tény</c:v>
                </c:pt>
                <c:pt idx="1">
                  <c:v>2019. évi várható</c:v>
                </c:pt>
                <c:pt idx="2">
                  <c:v>2020. évi terv</c:v>
                </c:pt>
              </c:strCache>
            </c:strRef>
          </c:cat>
          <c:val>
            <c:numRef>
              <c:f>[3]Munka1!$C$10:$E$10</c:f>
              <c:numCache>
                <c:formatCode>General</c:formatCode>
                <c:ptCount val="3"/>
                <c:pt idx="0">
                  <c:v>7197678</c:v>
                </c:pt>
                <c:pt idx="1">
                  <c:v>8871331</c:v>
                </c:pt>
                <c:pt idx="2">
                  <c:v>7971537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AB8-4C5D-90F6-FF853391D9CE}"/>
            </c:ext>
          </c:extLst>
        </c:ser>
        <c:ser>
          <c:idx val="5"/>
          <c:order val="3"/>
          <c:tx>
            <c:strRef>
              <c:f>[3]Munka1!$B$11</c:f>
              <c:strCache>
                <c:ptCount val="1"/>
                <c:pt idx="0">
                  <c:v>Önkormányzati feladatok és kötelezettségek működési kiadásai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[3]Munka1!$C$6:$E$6</c:f>
              <c:strCache>
                <c:ptCount val="3"/>
                <c:pt idx="0">
                  <c:v>2018. évi tény</c:v>
                </c:pt>
                <c:pt idx="1">
                  <c:v>2019. évi várható</c:v>
                </c:pt>
                <c:pt idx="2">
                  <c:v>2020. évi terv</c:v>
                </c:pt>
              </c:strCache>
            </c:strRef>
          </c:cat>
          <c:val>
            <c:numRef>
              <c:f>[3]Munka1!$C$11:$E$11</c:f>
              <c:numCache>
                <c:formatCode>General</c:formatCode>
                <c:ptCount val="3"/>
                <c:pt idx="0">
                  <c:v>4826496</c:v>
                </c:pt>
                <c:pt idx="1">
                  <c:v>7877817</c:v>
                </c:pt>
                <c:pt idx="2">
                  <c:v>6767214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AB8-4C5D-90F6-FF853391D9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5342592"/>
        <c:axId val="165557376"/>
        <c:axId val="165329088"/>
      </c:bar3DChart>
      <c:catAx>
        <c:axId val="165342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65557376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655573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hu-HU"/>
                  <a:t>Ezer forint</a:t>
                </a:r>
              </a:p>
            </c:rich>
          </c:tx>
          <c:layout>
            <c:manualLayout>
              <c:xMode val="edge"/>
              <c:yMode val="edge"/>
              <c:x val="0.17476736646029431"/>
              <c:y val="0.151202804376329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65342592"/>
        <c:crosses val="autoZero"/>
        <c:crossBetween val="between"/>
      </c:valAx>
      <c:serAx>
        <c:axId val="165329088"/>
        <c:scaling>
          <c:orientation val="minMax"/>
        </c:scaling>
        <c:delete val="1"/>
        <c:axPos val="b"/>
        <c:majorTickMark val="out"/>
        <c:minorTickMark val="none"/>
        <c:tickLblPos val="nextTo"/>
        <c:crossAx val="165557376"/>
        <c:crosses val="autoZero"/>
      </c:serAx>
      <c:spPr>
        <a:noFill/>
        <a:ln w="25400">
          <a:noFill/>
        </a:ln>
      </c:spPr>
    </c:plotArea>
    <c:legend>
      <c:legendPos val="r"/>
      <c:legendEntry>
        <c:idx val="0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</c:legendEntry>
      <c:legendEntry>
        <c:idx val="1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</c:legendEntry>
      <c:legendEntry>
        <c:idx val="2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</c:legendEntry>
      <c:legendEntry>
        <c:idx val="3"/>
        <c:txPr>
          <a:bodyPr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</c:legendEntry>
      <c:layout>
        <c:manualLayout>
          <c:xMode val="edge"/>
          <c:yMode val="edge"/>
          <c:x val="0.68355741119906022"/>
          <c:y val="0.12886604082310829"/>
          <c:w val="0.20717275853874106"/>
          <c:h val="0.61512029849775873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hu-HU"/>
              <a:t>AZ ÖNKORMÁNYZAT KÖZPONTI SZABÁLYOZÁSBÓL SZÁRMAZÓ FORRÁSAI 2018 - 2020 ÉVEKBEN</a:t>
            </a:r>
          </a:p>
        </c:rich>
      </c:tx>
      <c:layout>
        <c:manualLayout>
          <c:xMode val="edge"/>
          <c:yMode val="edge"/>
          <c:x val="0.10754911514803182"/>
          <c:y val="2.061852318739547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7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5408479834539815"/>
          <c:y val="0.10652920962199312"/>
          <c:w val="0.59462254395036196"/>
          <c:h val="0.82646048109965631"/>
        </c:manualLayout>
      </c:layout>
      <c:bar3DChart>
        <c:barDir val="col"/>
        <c:grouping val="stacked"/>
        <c:varyColors val="0"/>
        <c:ser>
          <c:idx val="3"/>
          <c:order val="0"/>
          <c:tx>
            <c:strRef>
              <c:f>[4]Munka1!$A$8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[4]Munka1!$B$3:$D$3</c:f>
              <c:strCache>
                <c:ptCount val="3"/>
                <c:pt idx="0">
                  <c:v>2018.évi tény</c:v>
                </c:pt>
                <c:pt idx="1">
                  <c:v>2019. évi tény</c:v>
                </c:pt>
                <c:pt idx="2">
                  <c:v>2020.évi terv</c:v>
                </c:pt>
              </c:strCache>
            </c:strRef>
          </c:cat>
          <c:val>
            <c:numRef>
              <c:f>[4]Munka1!$B$8:$D$8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668-496A-B1F9-52C901C3D517}"/>
            </c:ext>
          </c:extLst>
        </c:ser>
        <c:ser>
          <c:idx val="0"/>
          <c:order val="1"/>
          <c:tx>
            <c:strRef>
              <c:f>[4]Munka1!$A$5</c:f>
              <c:strCache>
                <c:ptCount val="1"/>
                <c:pt idx="0">
                  <c:v>Köznevelési feladatok támogatása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[4]Munka1!$B$3:$D$3</c:f>
              <c:strCache>
                <c:ptCount val="3"/>
                <c:pt idx="0">
                  <c:v>2018.évi tény</c:v>
                </c:pt>
                <c:pt idx="1">
                  <c:v>2019. évi tény</c:v>
                </c:pt>
                <c:pt idx="2">
                  <c:v>2020.évi terv</c:v>
                </c:pt>
              </c:strCache>
            </c:strRef>
          </c:cat>
          <c:val>
            <c:numRef>
              <c:f>[4]Munka1!$B$5:$D$5</c:f>
              <c:numCache>
                <c:formatCode>General</c:formatCode>
                <c:ptCount val="3"/>
                <c:pt idx="0">
                  <c:v>1105584</c:v>
                </c:pt>
                <c:pt idx="1">
                  <c:v>1108325</c:v>
                </c:pt>
                <c:pt idx="2">
                  <c:v>1125011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668-496A-B1F9-52C901C3D517}"/>
            </c:ext>
          </c:extLst>
        </c:ser>
        <c:ser>
          <c:idx val="1"/>
          <c:order val="2"/>
          <c:tx>
            <c:strRef>
              <c:f>[4]Munka1!$A$7</c:f>
              <c:strCache>
                <c:ptCount val="1"/>
                <c:pt idx="0">
                  <c:v>Kulturális feladatok támogatása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[4]Munka1!$B$3:$D$3</c:f>
              <c:strCache>
                <c:ptCount val="3"/>
                <c:pt idx="0">
                  <c:v>2018.évi tény</c:v>
                </c:pt>
                <c:pt idx="1">
                  <c:v>2019. évi tény</c:v>
                </c:pt>
                <c:pt idx="2">
                  <c:v>2020.évi terv</c:v>
                </c:pt>
              </c:strCache>
            </c:strRef>
          </c:cat>
          <c:val>
            <c:numRef>
              <c:f>[4]Munka1!$B$7:$D$7</c:f>
              <c:numCache>
                <c:formatCode>General</c:formatCode>
                <c:ptCount val="3"/>
                <c:pt idx="0">
                  <c:v>760256</c:v>
                </c:pt>
                <c:pt idx="1">
                  <c:v>766792</c:v>
                </c:pt>
                <c:pt idx="2">
                  <c:v>770083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668-496A-B1F9-52C901C3D517}"/>
            </c:ext>
          </c:extLst>
        </c:ser>
        <c:ser>
          <c:idx val="2"/>
          <c:order val="3"/>
          <c:tx>
            <c:strRef>
              <c:f>[4]Munka1!$A$6</c:f>
              <c:strCache>
                <c:ptCount val="1"/>
                <c:pt idx="0">
                  <c:v>Szociális, gyermekjóléti, gyermekétkeztetési feladatok támogatása</c:v>
                </c:pt>
              </c:strCache>
            </c:strRef>
          </c:tx>
          <c:invertIfNegative val="0"/>
          <c:val>
            <c:numRef>
              <c:f>[4]Munka1!$B$6:$D$6</c:f>
              <c:numCache>
                <c:formatCode>General</c:formatCode>
                <c:ptCount val="3"/>
                <c:pt idx="0">
                  <c:v>1063921</c:v>
                </c:pt>
                <c:pt idx="1">
                  <c:v>1319428</c:v>
                </c:pt>
                <c:pt idx="2">
                  <c:v>1480333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668-496A-B1F9-52C901C3D5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64697216"/>
        <c:axId val="164698752"/>
        <c:axId val="0"/>
      </c:bar3DChart>
      <c:catAx>
        <c:axId val="164697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64698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6987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9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hu-HU"/>
                  <a:t>Ezer forint</a:t>
                </a:r>
              </a:p>
            </c:rich>
          </c:tx>
          <c:layout>
            <c:manualLayout>
              <c:xMode val="edge"/>
              <c:yMode val="edge"/>
              <c:x val="8.9969025670500011E-2"/>
              <c:y val="0.190721610385294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646972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egendEntry>
        <c:idx val="3"/>
        <c:delete val="1"/>
      </c:legendEntry>
      <c:layout>
        <c:manualLayout>
          <c:xMode val="edge"/>
          <c:yMode val="edge"/>
          <c:x val="0.77179664371217194"/>
          <c:y val="0.18663803534727813"/>
          <c:w val="0.2254394913679898"/>
          <c:h val="0.3666523389668885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hu-HU"/>
              <a:t>AZ EGYES ÁGAZATOK ÁLLAMI TÁMOGATÁSSAL VALÓ LEFEDETTSÉGE 2020 ÉVBEN
adatok ezer forintban</a:t>
            </a:r>
          </a:p>
        </c:rich>
      </c:tx>
      <c:layout>
        <c:manualLayout>
          <c:xMode val="edge"/>
          <c:yMode val="edge"/>
          <c:x val="0.18821095150905567"/>
          <c:y val="2.06185231873954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027921406411583"/>
          <c:y val="0.13745704467353953"/>
          <c:w val="0.65149948293691828"/>
          <c:h val="0.7920962199312714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[5]Munka1!$B$5</c:f>
              <c:strCache>
                <c:ptCount val="1"/>
                <c:pt idx="0">
                  <c:v>Állami támogatás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1C92-46C6-962A-6C481E8ED51C}"/>
              </c:ext>
            </c:extLst>
          </c:dPt>
          <c:dPt>
            <c:idx val="1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1C92-46C6-962A-6C481E8ED51C}"/>
              </c:ext>
            </c:extLst>
          </c:dPt>
          <c:dPt>
            <c:idx val="2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1C92-46C6-962A-6C481E8ED51C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7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[5]Munka1!$A$6:$A$10</c:f>
              <c:strCache>
                <c:ptCount val="5"/>
                <c:pt idx="0">
                  <c:v>Oktatási ágazat</c:v>
                </c:pt>
                <c:pt idx="1">
                  <c:v>Egészségügyi és Szociális kiadások</c:v>
                </c:pt>
                <c:pt idx="2">
                  <c:v>Közművelődés</c:v>
                </c:pt>
                <c:pt idx="3">
                  <c:v>Városműködtetési kiadások</c:v>
                </c:pt>
                <c:pt idx="4">
                  <c:v>Igazgatási és gazdasági feladatok, informatikai  sport és egyéb kiadások</c:v>
                </c:pt>
              </c:strCache>
            </c:strRef>
          </c:cat>
          <c:val>
            <c:numRef>
              <c:f>[5]Munka1!$B$6:$B$10</c:f>
              <c:numCache>
                <c:formatCode>General</c:formatCode>
                <c:ptCount val="5"/>
                <c:pt idx="0">
                  <c:v>1585849</c:v>
                </c:pt>
                <c:pt idx="1">
                  <c:v>1411738</c:v>
                </c:pt>
                <c:pt idx="2">
                  <c:v>1924750</c:v>
                </c:pt>
                <c:pt idx="3">
                  <c:v>55767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C92-46C6-962A-6C481E8ED51C}"/>
            </c:ext>
          </c:extLst>
        </c:ser>
        <c:ser>
          <c:idx val="1"/>
          <c:order val="1"/>
          <c:tx>
            <c:strRef>
              <c:f>[5]Munka1!$F$5</c:f>
              <c:strCache>
                <c:ptCount val="1"/>
                <c:pt idx="0">
                  <c:v>Önkormányzati forrás</c:v>
                </c:pt>
              </c:strCache>
            </c:strRef>
          </c:tx>
          <c:spPr>
            <a:solidFill>
              <a:srgbClr val="00B0F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7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[5]Munka1!$A$6:$A$10</c:f>
              <c:strCache>
                <c:ptCount val="5"/>
                <c:pt idx="0">
                  <c:v>Oktatási ágazat</c:v>
                </c:pt>
                <c:pt idx="1">
                  <c:v>Egészségügyi és Szociális kiadások</c:v>
                </c:pt>
                <c:pt idx="2">
                  <c:v>Közművelődés</c:v>
                </c:pt>
                <c:pt idx="3">
                  <c:v>Városműködtetési kiadások</c:v>
                </c:pt>
                <c:pt idx="4">
                  <c:v>Igazgatási és gazdasági feladatok, informatikai  sport és egyéb kiadások</c:v>
                </c:pt>
              </c:strCache>
            </c:strRef>
          </c:cat>
          <c:val>
            <c:numRef>
              <c:f>[5]Munka1!$F$6:$F$10</c:f>
              <c:numCache>
                <c:formatCode>General</c:formatCode>
                <c:ptCount val="5"/>
                <c:pt idx="0">
                  <c:v>1081254.7999999998</c:v>
                </c:pt>
                <c:pt idx="1">
                  <c:v>398170</c:v>
                </c:pt>
                <c:pt idx="2">
                  <c:v>770323</c:v>
                </c:pt>
                <c:pt idx="3">
                  <c:v>2464037</c:v>
                </c:pt>
                <c:pt idx="4">
                  <c:v>2968166.2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C92-46C6-962A-6C481E8ED5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5633408"/>
        <c:axId val="165639296"/>
      </c:barChart>
      <c:catAx>
        <c:axId val="1656334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6563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639296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hu-HU"/>
          </a:p>
        </c:txPr>
        <c:crossAx val="165633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591515568355791"/>
          <c:y val="0.5068727808620459"/>
          <c:w val="0.14891415943573638"/>
          <c:h val="7.388307152171003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hu-HU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hu-HU"/>
              <a:t>AZ ÖNKORMÁNYZAT MŰKÖDÉSI KIADÁSAINAK MEGOSZLÁSA 2020. ÉVBEN </a:t>
            </a:r>
          </a:p>
        </c:rich>
      </c:tx>
      <c:layout>
        <c:manualLayout>
          <c:xMode val="edge"/>
          <c:yMode val="edge"/>
          <c:x val="0.22026888607835937"/>
          <c:y val="2.0618446790536725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8128231644260598"/>
          <c:y val="0.40034364261168387"/>
          <c:w val="0.43743536711478803"/>
          <c:h val="0.28694158075601373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DB5E-4F18-9625-4218E4706F1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DB5E-4F18-9625-4218E4706F1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DB5E-4F18-9625-4218E4706F1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DB5E-4F18-9625-4218E4706F15}"/>
              </c:ext>
            </c:extLst>
          </c:dPt>
          <c:dPt>
            <c:idx val="4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DB5E-4F18-9625-4218E4706F15}"/>
              </c:ext>
            </c:extLst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DB5E-4F18-9625-4218E4706F15}"/>
              </c:ext>
            </c:extLst>
          </c:dPt>
          <c:dLbls>
            <c:dLbl>
              <c:idx val="0"/>
              <c:layout>
                <c:manualLayout>
                  <c:x val="4.0607881615625258E-2"/>
                  <c:y val="-6.808904041633968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B5E-4F18-9625-4218E4706F15}"/>
                </c:ext>
              </c:extLst>
            </c:dLbl>
            <c:dLbl>
              <c:idx val="1"/>
              <c:layout>
                <c:manualLayout>
                  <c:x val="5.594356548244292E-2"/>
                  <c:y val="-1.413372297534976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B5E-4F18-9625-4218E4706F15}"/>
                </c:ext>
              </c:extLst>
            </c:dLbl>
            <c:dLbl>
              <c:idx val="2"/>
              <c:layout>
                <c:manualLayout>
                  <c:x val="-6.4927489027677129E-2"/>
                  <c:y val="9.20121582740301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B5E-4F18-9625-4218E4706F15}"/>
                </c:ext>
              </c:extLst>
            </c:dLbl>
            <c:dLbl>
              <c:idx val="3"/>
              <c:layout>
                <c:manualLayout>
                  <c:x val="-7.9367038789230973E-2"/>
                  <c:y val="2.712684110362489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B5E-4F18-9625-4218E4706F15}"/>
                </c:ext>
              </c:extLst>
            </c:dLbl>
            <c:dLbl>
              <c:idx val="4"/>
              <c:layout>
                <c:manualLayout>
                  <c:x val="-7.916575061002587E-2"/>
                  <c:y val="-6.1589775504866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B5E-4F18-9625-4218E4706F15}"/>
                </c:ext>
              </c:extLst>
            </c:dLbl>
            <c:dLbl>
              <c:idx val="5"/>
              <c:layout>
                <c:manualLayout>
                  <c:x val="6.8866939719401693E-2"/>
                  <c:y val="-9.61580575623923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B5E-4F18-9625-4218E4706F15}"/>
                </c:ext>
              </c:extLst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hu-HU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[6]Munka1!$B$7:$B$12</c:f>
              <c:strCache>
                <c:ptCount val="6"/>
                <c:pt idx="0">
                  <c:v>Oktatási ágazat kiadásai</c:v>
                </c:pt>
                <c:pt idx="1">
                  <c:v>Szociális és egészségügyi feladatok kiadásai</c:v>
                </c:pt>
                <c:pt idx="2">
                  <c:v>Közművelődés és kulturális ágazat kiadásai</c:v>
                </c:pt>
                <c:pt idx="3">
                  <c:v>Városműködtetési kiadások</c:v>
                </c:pt>
                <c:pt idx="4">
                  <c:v>Igazgatási és gazdasági feladatok, informatikai kiadások</c:v>
                </c:pt>
                <c:pt idx="5">
                  <c:v>Sport és egyéb működési kiadások</c:v>
                </c:pt>
              </c:strCache>
            </c:strRef>
          </c:cat>
          <c:val>
            <c:numRef>
              <c:f>[6]Munka1!$C$7:$C$12</c:f>
              <c:numCache>
                <c:formatCode>General</c:formatCode>
                <c:ptCount val="6"/>
                <c:pt idx="0">
                  <c:v>2905180.5</c:v>
                </c:pt>
                <c:pt idx="1">
                  <c:v>2031603.6</c:v>
                </c:pt>
                <c:pt idx="2">
                  <c:v>3636521.2800000003</c:v>
                </c:pt>
                <c:pt idx="3">
                  <c:v>2774028</c:v>
                </c:pt>
                <c:pt idx="4">
                  <c:v>2288509.7999999998</c:v>
                </c:pt>
                <c:pt idx="5">
                  <c:v>991640.82000000007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DB5E-4F18-9625-4218E4706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hu-HU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5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6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7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8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1"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1"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91"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91"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91"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00522" cy="561033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00522" cy="561033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00522" cy="561033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00522" cy="561033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00522" cy="561033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ckert.szilvia\AppData\Local\Microsoft\Windows\INetCache\Content.Outlook\35E9Q1T3\2020.%20&#233;vi_kv_t&#225;bl&#225;zat_szabin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oltsegvetes\koltsegvetes2020\Eredeti_v&#233;gleges\Diagram\Bevetelek%20alakulasa%20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oltsegvetes\koltsegvetes2020\Eredeti_v&#233;gleges\Diagram\Kiad&#225;sok%20alakul&#225;sa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oltsegvetes\koltsegvetes2020\Eredeti_v&#233;gleges\Diagram\Kozp%20tam%20%20gafikon%20&#233;s%20adatok%2020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oltsegvetes\koltsegvetes2020\Eredeti_v&#233;gleges\Diagram\Lefedettseg%20graf%20&#233;s%20adatok%20202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oltsegvetes\koltsegvetes2020\Eredeti_v&#233;gleges\Diagram\Mukodes%20megoszlas%20grafikon%20&#233;s%20adatok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Onbe"/>
      <sheetName val="2.Norm"/>
      <sheetName val="3.Onki"/>
      <sheetName val="4.Inbe"/>
      <sheetName val="5.Inbe"/>
      <sheetName val="6.Inki"/>
      <sheetName val="7.Infelhki"/>
      <sheetName val="8.Önk.műk."/>
      <sheetName val="8.A Alapítv"/>
      <sheetName val="9.Beruh."/>
      <sheetName val="10.Felúj."/>
      <sheetName val="11.Eu.projekt"/>
      <sheetName val="12.MVP és hazai"/>
      <sheetName val="13.EKG"/>
      <sheetName val="14.Mérleg"/>
      <sheetName val="15.Létszám"/>
      <sheetName val="16. Többéves"/>
      <sheetName val="17.Hitel"/>
      <sheetName val="18.A Beruh.hitel"/>
      <sheetName val="19.Projekt"/>
      <sheetName val="20.Közv.tám."/>
      <sheetName val="Diagram1"/>
      <sheetName val="Diagram2"/>
      <sheetName val="Diagram3"/>
      <sheetName val="Diagram4"/>
      <sheetName val="Diagram5"/>
    </sheetNames>
    <sheetDataSet>
      <sheetData sheetId="0">
        <row r="30">
          <cell r="G30">
            <v>998980</v>
          </cell>
        </row>
      </sheetData>
      <sheetData sheetId="1" refreshError="1"/>
      <sheetData sheetId="2">
        <row r="7">
          <cell r="G7">
            <v>7353582</v>
          </cell>
        </row>
      </sheetData>
      <sheetData sheetId="3">
        <row r="29">
          <cell r="O29">
            <v>1845356</v>
          </cell>
        </row>
        <row r="59">
          <cell r="O59">
            <v>2182328</v>
          </cell>
        </row>
        <row r="63">
          <cell r="O63">
            <v>6363012</v>
          </cell>
        </row>
      </sheetData>
      <sheetData sheetId="4" refreshError="1"/>
      <sheetData sheetId="5">
        <row r="126">
          <cell r="P126">
            <v>67036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gram2"/>
      <sheetName val="Diagram3"/>
      <sheetName val="Munka1"/>
    </sheetNames>
    <sheetDataSet>
      <sheetData sheetId="0" refreshError="1"/>
      <sheetData sheetId="1" refreshError="1"/>
      <sheetData sheetId="2">
        <row r="4">
          <cell r="B4" t="str">
            <v xml:space="preserve">2018.ÉVI TÉNY  </v>
          </cell>
          <cell r="C4" t="str">
            <v xml:space="preserve">2019.ÉVI VÁRHATÓ   </v>
          </cell>
          <cell r="D4" t="str">
            <v xml:space="preserve">2020.ÉVI TERV </v>
          </cell>
        </row>
        <row r="6">
          <cell r="A6" t="str">
            <v>Központi koltségvetési támogatás</v>
          </cell>
          <cell r="B6">
            <v>3393904</v>
          </cell>
          <cell r="C6">
            <v>3676859</v>
          </cell>
          <cell r="D6">
            <v>3066627</v>
          </cell>
        </row>
        <row r="7">
          <cell r="A7" t="str">
            <v>Egyéb kapott támogatás</v>
          </cell>
          <cell r="B7">
            <v>12683797</v>
          </cell>
          <cell r="C7">
            <v>9475025</v>
          </cell>
          <cell r="D7">
            <v>8166069</v>
          </cell>
        </row>
        <row r="8">
          <cell r="A8" t="str">
            <v>Működési célú támogatások</v>
          </cell>
          <cell r="B8">
            <v>582004</v>
          </cell>
          <cell r="C8">
            <v>1401865</v>
          </cell>
          <cell r="D8">
            <v>1573630</v>
          </cell>
        </row>
        <row r="9">
          <cell r="A9" t="str">
            <v>Közhatalmi bevételek (helyi adók,, gépjárműadó, egyéb pótlék, bírság)</v>
          </cell>
          <cell r="B9">
            <v>8049548</v>
          </cell>
          <cell r="C9">
            <v>8108452</v>
          </cell>
          <cell r="D9">
            <v>7945120</v>
          </cell>
        </row>
        <row r="10">
          <cell r="A10" t="str">
            <v>Ingatlanok és tárgyi eszközök értékesítése</v>
          </cell>
          <cell r="B10">
            <v>136583</v>
          </cell>
          <cell r="C10">
            <v>153966</v>
          </cell>
          <cell r="D10">
            <v>190000</v>
          </cell>
        </row>
        <row r="11">
          <cell r="A11" t="str">
            <v xml:space="preserve">Működési bevételek </v>
          </cell>
          <cell r="B11">
            <v>2034526</v>
          </cell>
          <cell r="C11">
            <v>1953150</v>
          </cell>
          <cell r="D11">
            <v>2529882</v>
          </cell>
        </row>
        <row r="12">
          <cell r="A12" t="str">
            <v>Átvett pénzeszközök,felhalmozási bevételek</v>
          </cell>
          <cell r="B12">
            <v>62968</v>
          </cell>
          <cell r="C12">
            <v>641201</v>
          </cell>
          <cell r="D12">
            <v>7543</v>
          </cell>
        </row>
        <row r="13">
          <cell r="A13" t="str">
            <v>Költségvetési maradvány</v>
          </cell>
          <cell r="B13">
            <v>6873658</v>
          </cell>
          <cell r="C13">
            <v>13087077</v>
          </cell>
          <cell r="D13">
            <v>12883374</v>
          </cell>
        </row>
        <row r="14">
          <cell r="A14" t="str">
            <v>Hitelfelvétel</v>
          </cell>
          <cell r="B14">
            <v>51512</v>
          </cell>
          <cell r="C14">
            <v>676488</v>
          </cell>
          <cell r="D14">
            <v>1409800</v>
          </cell>
        </row>
        <row r="15">
          <cell r="B15">
            <v>33868500</v>
          </cell>
          <cell r="C15">
            <v>39174083</v>
          </cell>
          <cell r="D15">
            <v>37772045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gram2"/>
      <sheetName val="Munka1"/>
    </sheetNames>
    <sheetDataSet>
      <sheetData sheetId="0" refreshError="1"/>
      <sheetData sheetId="1">
        <row r="6">
          <cell r="C6" t="str">
            <v>2018. évi tény</v>
          </cell>
          <cell r="D6" t="str">
            <v>2019. évi várható</v>
          </cell>
          <cell r="E6" t="str">
            <v>2020. évi terv</v>
          </cell>
        </row>
        <row r="8">
          <cell r="B8" t="str">
            <v>Hiteltörlesztés</v>
          </cell>
          <cell r="C8">
            <v>107595</v>
          </cell>
          <cell r="D8">
            <v>113595</v>
          </cell>
          <cell r="E8">
            <v>108504</v>
          </cell>
        </row>
        <row r="9">
          <cell r="B9" t="str">
            <v>Beruházás, felújítás, egyéb felhalmozás</v>
          </cell>
          <cell r="C9">
            <v>8662579</v>
          </cell>
          <cell r="D9">
            <v>21578471</v>
          </cell>
          <cell r="E9">
            <v>22227115</v>
          </cell>
        </row>
        <row r="10">
          <cell r="B10" t="str">
            <v>Intézmények működési kiadásai</v>
          </cell>
          <cell r="C10">
            <v>7197678</v>
          </cell>
          <cell r="D10">
            <v>8871331</v>
          </cell>
          <cell r="E10">
            <v>7971537</v>
          </cell>
        </row>
        <row r="11">
          <cell r="B11" t="str">
            <v>Önkormányzati feladatok és kötelezettségek működési kiadásai</v>
          </cell>
          <cell r="C11">
            <v>4826496</v>
          </cell>
          <cell r="D11">
            <v>7877817</v>
          </cell>
          <cell r="E11">
            <v>6767214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gram2"/>
      <sheetName val="Munka1"/>
      <sheetName val="Munka2"/>
    </sheetNames>
    <sheetDataSet>
      <sheetData sheetId="0" refreshError="1"/>
      <sheetData sheetId="1">
        <row r="3">
          <cell r="B3" t="str">
            <v>2018.évi tény</v>
          </cell>
          <cell r="C3" t="str">
            <v>2019. évi tény</v>
          </cell>
          <cell r="D3" t="str">
            <v>2020.évi terv</v>
          </cell>
        </row>
        <row r="5">
          <cell r="A5" t="str">
            <v>Köznevelési feladatok támogatása</v>
          </cell>
          <cell r="B5">
            <v>1105584</v>
          </cell>
          <cell r="C5">
            <v>1108325</v>
          </cell>
          <cell r="D5">
            <v>1125011</v>
          </cell>
        </row>
        <row r="6">
          <cell r="A6" t="str">
            <v>Szociális, gyermekjóléti, gyermekétkeztetési feladatok támogatása</v>
          </cell>
          <cell r="B6">
            <v>1063921</v>
          </cell>
          <cell r="C6">
            <v>1319428</v>
          </cell>
          <cell r="D6">
            <v>1480333</v>
          </cell>
        </row>
        <row r="7">
          <cell r="A7" t="str">
            <v>Kulturális feladatok támogatása</v>
          </cell>
          <cell r="B7">
            <v>760256</v>
          </cell>
          <cell r="C7">
            <v>766792</v>
          </cell>
          <cell r="D7">
            <v>770083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</row>
      </sheetData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0 norm"/>
      <sheetName val="Diagram1"/>
      <sheetName val="Munka1"/>
      <sheetName val="INBE"/>
      <sheetName val="mukodesi tam"/>
    </sheetNames>
    <sheetDataSet>
      <sheetData sheetId="0"/>
      <sheetData sheetId="1" refreshError="1"/>
      <sheetData sheetId="2">
        <row r="5">
          <cell r="B5" t="str">
            <v>Állami támogatás</v>
          </cell>
          <cell r="F5" t="str">
            <v>Önkormányzati forrás</v>
          </cell>
        </row>
        <row r="6">
          <cell r="A6" t="str">
            <v>Oktatási ágazat</v>
          </cell>
          <cell r="B6">
            <v>1585849</v>
          </cell>
          <cell r="F6">
            <v>1081254.7999999998</v>
          </cell>
        </row>
        <row r="7">
          <cell r="A7" t="str">
            <v>Egészségügyi és Szociális kiadások</v>
          </cell>
          <cell r="B7">
            <v>1411738</v>
          </cell>
          <cell r="F7">
            <v>398170</v>
          </cell>
        </row>
        <row r="8">
          <cell r="A8" t="str">
            <v>Közművelődés</v>
          </cell>
          <cell r="B8">
            <v>1924750</v>
          </cell>
          <cell r="F8">
            <v>770323</v>
          </cell>
        </row>
        <row r="9">
          <cell r="A9" t="str">
            <v>Városműködtetési kiadások</v>
          </cell>
          <cell r="B9">
            <v>55767</v>
          </cell>
          <cell r="F9">
            <v>2464037</v>
          </cell>
        </row>
        <row r="10">
          <cell r="A10" t="str">
            <v>Igazgatási és gazdasági feladatok, informatikai  sport és egyéb kiadások</v>
          </cell>
          <cell r="B10">
            <v>0</v>
          </cell>
          <cell r="F10">
            <v>2968166.2</v>
          </cell>
        </row>
      </sheetData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gram1"/>
      <sheetName val="Munka1"/>
      <sheetName val="2018"/>
      <sheetName val="2019"/>
      <sheetName val="2020"/>
      <sheetName val="projekt"/>
    </sheetNames>
    <sheetDataSet>
      <sheetData sheetId="0" refreshError="1"/>
      <sheetData sheetId="1">
        <row r="7">
          <cell r="B7" t="str">
            <v>Oktatási ágazat kiadásai</v>
          </cell>
          <cell r="C7">
            <v>2905180.5</v>
          </cell>
        </row>
        <row r="8">
          <cell r="B8" t="str">
            <v>Szociális és egészségügyi feladatok kiadásai</v>
          </cell>
          <cell r="C8">
            <v>2031603.6</v>
          </cell>
        </row>
        <row r="9">
          <cell r="B9" t="str">
            <v>Közművelődés és kulturális ágazat kiadásai</v>
          </cell>
          <cell r="C9">
            <v>3636521.2800000003</v>
          </cell>
        </row>
        <row r="10">
          <cell r="B10" t="str">
            <v>Városműködtetési kiadások</v>
          </cell>
          <cell r="C10">
            <v>2774028</v>
          </cell>
        </row>
        <row r="11">
          <cell r="B11" t="str">
            <v>Igazgatási és gazdasági feladatok, informatikai kiadások</v>
          </cell>
          <cell r="C11">
            <v>2288509.7999999998</v>
          </cell>
        </row>
        <row r="12">
          <cell r="B12" t="str">
            <v>Sport és egyéb működési kiadások</v>
          </cell>
          <cell r="C12">
            <v>991640.82000000007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U681"/>
  <sheetViews>
    <sheetView view="pageBreakPreview" zoomScaleNormal="100" zoomScaleSheetLayoutView="100" workbookViewId="0">
      <selection activeCell="H18" sqref="H18"/>
    </sheetView>
  </sheetViews>
  <sheetFormatPr defaultRowHeight="16.5" x14ac:dyDescent="0.3"/>
  <cols>
    <col min="1" max="1" width="3.5703125" style="1624" bestFit="1" customWidth="1"/>
    <col min="2" max="2" width="3.7109375" style="147" customWidth="1"/>
    <col min="3" max="3" width="4.140625" style="126" customWidth="1"/>
    <col min="4" max="4" width="81.28515625" style="1625" bestFit="1" customWidth="1"/>
    <col min="5" max="5" width="15.28515625" style="72" customWidth="1"/>
    <col min="6" max="6" width="10.28515625" style="147" customWidth="1"/>
    <col min="7" max="7" width="9.140625" style="147" customWidth="1"/>
    <col min="8" max="8" width="11.28515625" style="147" customWidth="1"/>
    <col min="9" max="9" width="9.140625" style="147" customWidth="1"/>
    <col min="10" max="10" width="13" style="72" customWidth="1"/>
    <col min="11" max="11" width="7.140625" style="147" customWidth="1"/>
    <col min="12" max="12" width="13.140625" style="72" customWidth="1"/>
    <col min="13" max="13" width="9.7109375" style="147" bestFit="1" customWidth="1"/>
    <col min="14" max="256" width="9.140625" style="147"/>
    <col min="257" max="257" width="3.5703125" style="147" bestFit="1" customWidth="1"/>
    <col min="258" max="258" width="3.7109375" style="147" customWidth="1"/>
    <col min="259" max="259" width="4.140625" style="147" customWidth="1"/>
    <col min="260" max="260" width="81.28515625" style="147" bestFit="1" customWidth="1"/>
    <col min="261" max="261" width="15.28515625" style="147" customWidth="1"/>
    <col min="262" max="266" width="0" style="147" hidden="1" customWidth="1"/>
    <col min="267" max="267" width="7.140625" style="147" customWidth="1"/>
    <col min="268" max="268" width="10.140625" style="147" bestFit="1" customWidth="1"/>
    <col min="269" max="269" width="9.7109375" style="147" bestFit="1" customWidth="1"/>
    <col min="270" max="512" width="9.140625" style="147"/>
    <col min="513" max="513" width="3.5703125" style="147" bestFit="1" customWidth="1"/>
    <col min="514" max="514" width="3.7109375" style="147" customWidth="1"/>
    <col min="515" max="515" width="4.140625" style="147" customWidth="1"/>
    <col min="516" max="516" width="81.28515625" style="147" bestFit="1" customWidth="1"/>
    <col min="517" max="517" width="15.28515625" style="147" customWidth="1"/>
    <col min="518" max="522" width="0" style="147" hidden="1" customWidth="1"/>
    <col min="523" max="523" width="7.140625" style="147" customWidth="1"/>
    <col min="524" max="524" width="10.140625" style="147" bestFit="1" customWidth="1"/>
    <col min="525" max="525" width="9.7109375" style="147" bestFit="1" customWidth="1"/>
    <col min="526" max="768" width="9.140625" style="147"/>
    <col min="769" max="769" width="3.5703125" style="147" bestFit="1" customWidth="1"/>
    <col min="770" max="770" width="3.7109375" style="147" customWidth="1"/>
    <col min="771" max="771" width="4.140625" style="147" customWidth="1"/>
    <col min="772" max="772" width="81.28515625" style="147" bestFit="1" customWidth="1"/>
    <col min="773" max="773" width="15.28515625" style="147" customWidth="1"/>
    <col min="774" max="778" width="0" style="147" hidden="1" customWidth="1"/>
    <col min="779" max="779" width="7.140625" style="147" customWidth="1"/>
    <col min="780" max="780" width="10.140625" style="147" bestFit="1" customWidth="1"/>
    <col min="781" max="781" width="9.7109375" style="147" bestFit="1" customWidth="1"/>
    <col min="782" max="1024" width="9.140625" style="147"/>
    <col min="1025" max="1025" width="3.5703125" style="147" bestFit="1" customWidth="1"/>
    <col min="1026" max="1026" width="3.7109375" style="147" customWidth="1"/>
    <col min="1027" max="1027" width="4.140625" style="147" customWidth="1"/>
    <col min="1028" max="1028" width="81.28515625" style="147" bestFit="1" customWidth="1"/>
    <col min="1029" max="1029" width="15.28515625" style="147" customWidth="1"/>
    <col min="1030" max="1034" width="0" style="147" hidden="1" customWidth="1"/>
    <col min="1035" max="1035" width="7.140625" style="147" customWidth="1"/>
    <col min="1036" max="1036" width="10.140625" style="147" bestFit="1" customWidth="1"/>
    <col min="1037" max="1037" width="9.7109375" style="147" bestFit="1" customWidth="1"/>
    <col min="1038" max="1280" width="9.140625" style="147"/>
    <col min="1281" max="1281" width="3.5703125" style="147" bestFit="1" customWidth="1"/>
    <col min="1282" max="1282" width="3.7109375" style="147" customWidth="1"/>
    <col min="1283" max="1283" width="4.140625" style="147" customWidth="1"/>
    <col min="1284" max="1284" width="81.28515625" style="147" bestFit="1" customWidth="1"/>
    <col min="1285" max="1285" width="15.28515625" style="147" customWidth="1"/>
    <col min="1286" max="1290" width="0" style="147" hidden="1" customWidth="1"/>
    <col min="1291" max="1291" width="7.140625" style="147" customWidth="1"/>
    <col min="1292" max="1292" width="10.140625" style="147" bestFit="1" customWidth="1"/>
    <col min="1293" max="1293" width="9.7109375" style="147" bestFit="1" customWidth="1"/>
    <col min="1294" max="1536" width="9.140625" style="147"/>
    <col min="1537" max="1537" width="3.5703125" style="147" bestFit="1" customWidth="1"/>
    <col min="1538" max="1538" width="3.7109375" style="147" customWidth="1"/>
    <col min="1539" max="1539" width="4.140625" style="147" customWidth="1"/>
    <col min="1540" max="1540" width="81.28515625" style="147" bestFit="1" customWidth="1"/>
    <col min="1541" max="1541" width="15.28515625" style="147" customWidth="1"/>
    <col min="1542" max="1546" width="0" style="147" hidden="1" customWidth="1"/>
    <col min="1547" max="1547" width="7.140625" style="147" customWidth="1"/>
    <col min="1548" max="1548" width="10.140625" style="147" bestFit="1" customWidth="1"/>
    <col min="1549" max="1549" width="9.7109375" style="147" bestFit="1" customWidth="1"/>
    <col min="1550" max="1792" width="9.140625" style="147"/>
    <col min="1793" max="1793" width="3.5703125" style="147" bestFit="1" customWidth="1"/>
    <col min="1794" max="1794" width="3.7109375" style="147" customWidth="1"/>
    <col min="1795" max="1795" width="4.140625" style="147" customWidth="1"/>
    <col min="1796" max="1796" width="81.28515625" style="147" bestFit="1" customWidth="1"/>
    <col min="1797" max="1797" width="15.28515625" style="147" customWidth="1"/>
    <col min="1798" max="1802" width="0" style="147" hidden="1" customWidth="1"/>
    <col min="1803" max="1803" width="7.140625" style="147" customWidth="1"/>
    <col min="1804" max="1804" width="10.140625" style="147" bestFit="1" customWidth="1"/>
    <col min="1805" max="1805" width="9.7109375" style="147" bestFit="1" customWidth="1"/>
    <col min="1806" max="2048" width="9.140625" style="147"/>
    <col min="2049" max="2049" width="3.5703125" style="147" bestFit="1" customWidth="1"/>
    <col min="2050" max="2050" width="3.7109375" style="147" customWidth="1"/>
    <col min="2051" max="2051" width="4.140625" style="147" customWidth="1"/>
    <col min="2052" max="2052" width="81.28515625" style="147" bestFit="1" customWidth="1"/>
    <col min="2053" max="2053" width="15.28515625" style="147" customWidth="1"/>
    <col min="2054" max="2058" width="0" style="147" hidden="1" customWidth="1"/>
    <col min="2059" max="2059" width="7.140625" style="147" customWidth="1"/>
    <col min="2060" max="2060" width="10.140625" style="147" bestFit="1" customWidth="1"/>
    <col min="2061" max="2061" width="9.7109375" style="147" bestFit="1" customWidth="1"/>
    <col min="2062" max="2304" width="9.140625" style="147"/>
    <col min="2305" max="2305" width="3.5703125" style="147" bestFit="1" customWidth="1"/>
    <col min="2306" max="2306" width="3.7109375" style="147" customWidth="1"/>
    <col min="2307" max="2307" width="4.140625" style="147" customWidth="1"/>
    <col min="2308" max="2308" width="81.28515625" style="147" bestFit="1" customWidth="1"/>
    <col min="2309" max="2309" width="15.28515625" style="147" customWidth="1"/>
    <col min="2310" max="2314" width="0" style="147" hidden="1" customWidth="1"/>
    <col min="2315" max="2315" width="7.140625" style="147" customWidth="1"/>
    <col min="2316" max="2316" width="10.140625" style="147" bestFit="1" customWidth="1"/>
    <col min="2317" max="2317" width="9.7109375" style="147" bestFit="1" customWidth="1"/>
    <col min="2318" max="2560" width="9.140625" style="147"/>
    <col min="2561" max="2561" width="3.5703125" style="147" bestFit="1" customWidth="1"/>
    <col min="2562" max="2562" width="3.7109375" style="147" customWidth="1"/>
    <col min="2563" max="2563" width="4.140625" style="147" customWidth="1"/>
    <col min="2564" max="2564" width="81.28515625" style="147" bestFit="1" customWidth="1"/>
    <col min="2565" max="2565" width="15.28515625" style="147" customWidth="1"/>
    <col min="2566" max="2570" width="0" style="147" hidden="1" customWidth="1"/>
    <col min="2571" max="2571" width="7.140625" style="147" customWidth="1"/>
    <col min="2572" max="2572" width="10.140625" style="147" bestFit="1" customWidth="1"/>
    <col min="2573" max="2573" width="9.7109375" style="147" bestFit="1" customWidth="1"/>
    <col min="2574" max="2816" width="9.140625" style="147"/>
    <col min="2817" max="2817" width="3.5703125" style="147" bestFit="1" customWidth="1"/>
    <col min="2818" max="2818" width="3.7109375" style="147" customWidth="1"/>
    <col min="2819" max="2819" width="4.140625" style="147" customWidth="1"/>
    <col min="2820" max="2820" width="81.28515625" style="147" bestFit="1" customWidth="1"/>
    <col min="2821" max="2821" width="15.28515625" style="147" customWidth="1"/>
    <col min="2822" max="2826" width="0" style="147" hidden="1" customWidth="1"/>
    <col min="2827" max="2827" width="7.140625" style="147" customWidth="1"/>
    <col min="2828" max="2828" width="10.140625" style="147" bestFit="1" customWidth="1"/>
    <col min="2829" max="2829" width="9.7109375" style="147" bestFit="1" customWidth="1"/>
    <col min="2830" max="3072" width="9.140625" style="147"/>
    <col min="3073" max="3073" width="3.5703125" style="147" bestFit="1" customWidth="1"/>
    <col min="3074" max="3074" width="3.7109375" style="147" customWidth="1"/>
    <col min="3075" max="3075" width="4.140625" style="147" customWidth="1"/>
    <col min="3076" max="3076" width="81.28515625" style="147" bestFit="1" customWidth="1"/>
    <col min="3077" max="3077" width="15.28515625" style="147" customWidth="1"/>
    <col min="3078" max="3082" width="0" style="147" hidden="1" customWidth="1"/>
    <col min="3083" max="3083" width="7.140625" style="147" customWidth="1"/>
    <col min="3084" max="3084" width="10.140625" style="147" bestFit="1" customWidth="1"/>
    <col min="3085" max="3085" width="9.7109375" style="147" bestFit="1" customWidth="1"/>
    <col min="3086" max="3328" width="9.140625" style="147"/>
    <col min="3329" max="3329" width="3.5703125" style="147" bestFit="1" customWidth="1"/>
    <col min="3330" max="3330" width="3.7109375" style="147" customWidth="1"/>
    <col min="3331" max="3331" width="4.140625" style="147" customWidth="1"/>
    <col min="3332" max="3332" width="81.28515625" style="147" bestFit="1" customWidth="1"/>
    <col min="3333" max="3333" width="15.28515625" style="147" customWidth="1"/>
    <col min="3334" max="3338" width="0" style="147" hidden="1" customWidth="1"/>
    <col min="3339" max="3339" width="7.140625" style="147" customWidth="1"/>
    <col min="3340" max="3340" width="10.140625" style="147" bestFit="1" customWidth="1"/>
    <col min="3341" max="3341" width="9.7109375" style="147" bestFit="1" customWidth="1"/>
    <col min="3342" max="3584" width="9.140625" style="147"/>
    <col min="3585" max="3585" width="3.5703125" style="147" bestFit="1" customWidth="1"/>
    <col min="3586" max="3586" width="3.7109375" style="147" customWidth="1"/>
    <col min="3587" max="3587" width="4.140625" style="147" customWidth="1"/>
    <col min="3588" max="3588" width="81.28515625" style="147" bestFit="1" customWidth="1"/>
    <col min="3589" max="3589" width="15.28515625" style="147" customWidth="1"/>
    <col min="3590" max="3594" width="0" style="147" hidden="1" customWidth="1"/>
    <col min="3595" max="3595" width="7.140625" style="147" customWidth="1"/>
    <col min="3596" max="3596" width="10.140625" style="147" bestFit="1" customWidth="1"/>
    <col min="3597" max="3597" width="9.7109375" style="147" bestFit="1" customWidth="1"/>
    <col min="3598" max="3840" width="9.140625" style="147"/>
    <col min="3841" max="3841" width="3.5703125" style="147" bestFit="1" customWidth="1"/>
    <col min="3842" max="3842" width="3.7109375" style="147" customWidth="1"/>
    <col min="3843" max="3843" width="4.140625" style="147" customWidth="1"/>
    <col min="3844" max="3844" width="81.28515625" style="147" bestFit="1" customWidth="1"/>
    <col min="3845" max="3845" width="15.28515625" style="147" customWidth="1"/>
    <col min="3846" max="3850" width="0" style="147" hidden="1" customWidth="1"/>
    <col min="3851" max="3851" width="7.140625" style="147" customWidth="1"/>
    <col min="3852" max="3852" width="10.140625" style="147" bestFit="1" customWidth="1"/>
    <col min="3853" max="3853" width="9.7109375" style="147" bestFit="1" customWidth="1"/>
    <col min="3854" max="4096" width="9.140625" style="147"/>
    <col min="4097" max="4097" width="3.5703125" style="147" bestFit="1" customWidth="1"/>
    <col min="4098" max="4098" width="3.7109375" style="147" customWidth="1"/>
    <col min="4099" max="4099" width="4.140625" style="147" customWidth="1"/>
    <col min="4100" max="4100" width="81.28515625" style="147" bestFit="1" customWidth="1"/>
    <col min="4101" max="4101" width="15.28515625" style="147" customWidth="1"/>
    <col min="4102" max="4106" width="0" style="147" hidden="1" customWidth="1"/>
    <col min="4107" max="4107" width="7.140625" style="147" customWidth="1"/>
    <col min="4108" max="4108" width="10.140625" style="147" bestFit="1" customWidth="1"/>
    <col min="4109" max="4109" width="9.7109375" style="147" bestFit="1" customWidth="1"/>
    <col min="4110" max="4352" width="9.140625" style="147"/>
    <col min="4353" max="4353" width="3.5703125" style="147" bestFit="1" customWidth="1"/>
    <col min="4354" max="4354" width="3.7109375" style="147" customWidth="1"/>
    <col min="4355" max="4355" width="4.140625" style="147" customWidth="1"/>
    <col min="4356" max="4356" width="81.28515625" style="147" bestFit="1" customWidth="1"/>
    <col min="4357" max="4357" width="15.28515625" style="147" customWidth="1"/>
    <col min="4358" max="4362" width="0" style="147" hidden="1" customWidth="1"/>
    <col min="4363" max="4363" width="7.140625" style="147" customWidth="1"/>
    <col min="4364" max="4364" width="10.140625" style="147" bestFit="1" customWidth="1"/>
    <col min="4365" max="4365" width="9.7109375" style="147" bestFit="1" customWidth="1"/>
    <col min="4366" max="4608" width="9.140625" style="147"/>
    <col min="4609" max="4609" width="3.5703125" style="147" bestFit="1" customWidth="1"/>
    <col min="4610" max="4610" width="3.7109375" style="147" customWidth="1"/>
    <col min="4611" max="4611" width="4.140625" style="147" customWidth="1"/>
    <col min="4612" max="4612" width="81.28515625" style="147" bestFit="1" customWidth="1"/>
    <col min="4613" max="4613" width="15.28515625" style="147" customWidth="1"/>
    <col min="4614" max="4618" width="0" style="147" hidden="1" customWidth="1"/>
    <col min="4619" max="4619" width="7.140625" style="147" customWidth="1"/>
    <col min="4620" max="4620" width="10.140625" style="147" bestFit="1" customWidth="1"/>
    <col min="4621" max="4621" width="9.7109375" style="147" bestFit="1" customWidth="1"/>
    <col min="4622" max="4864" width="9.140625" style="147"/>
    <col min="4865" max="4865" width="3.5703125" style="147" bestFit="1" customWidth="1"/>
    <col min="4866" max="4866" width="3.7109375" style="147" customWidth="1"/>
    <col min="4867" max="4867" width="4.140625" style="147" customWidth="1"/>
    <col min="4868" max="4868" width="81.28515625" style="147" bestFit="1" customWidth="1"/>
    <col min="4869" max="4869" width="15.28515625" style="147" customWidth="1"/>
    <col min="4870" max="4874" width="0" style="147" hidden="1" customWidth="1"/>
    <col min="4875" max="4875" width="7.140625" style="147" customWidth="1"/>
    <col min="4876" max="4876" width="10.140625" style="147" bestFit="1" customWidth="1"/>
    <col min="4877" max="4877" width="9.7109375" style="147" bestFit="1" customWidth="1"/>
    <col min="4878" max="5120" width="9.140625" style="147"/>
    <col min="5121" max="5121" width="3.5703125" style="147" bestFit="1" customWidth="1"/>
    <col min="5122" max="5122" width="3.7109375" style="147" customWidth="1"/>
    <col min="5123" max="5123" width="4.140625" style="147" customWidth="1"/>
    <col min="5124" max="5124" width="81.28515625" style="147" bestFit="1" customWidth="1"/>
    <col min="5125" max="5125" width="15.28515625" style="147" customWidth="1"/>
    <col min="5126" max="5130" width="0" style="147" hidden="1" customWidth="1"/>
    <col min="5131" max="5131" width="7.140625" style="147" customWidth="1"/>
    <col min="5132" max="5132" width="10.140625" style="147" bestFit="1" customWidth="1"/>
    <col min="5133" max="5133" width="9.7109375" style="147" bestFit="1" customWidth="1"/>
    <col min="5134" max="5376" width="9.140625" style="147"/>
    <col min="5377" max="5377" width="3.5703125" style="147" bestFit="1" customWidth="1"/>
    <col min="5378" max="5378" width="3.7109375" style="147" customWidth="1"/>
    <col min="5379" max="5379" width="4.140625" style="147" customWidth="1"/>
    <col min="5380" max="5380" width="81.28515625" style="147" bestFit="1" customWidth="1"/>
    <col min="5381" max="5381" width="15.28515625" style="147" customWidth="1"/>
    <col min="5382" max="5386" width="0" style="147" hidden="1" customWidth="1"/>
    <col min="5387" max="5387" width="7.140625" style="147" customWidth="1"/>
    <col min="5388" max="5388" width="10.140625" style="147" bestFit="1" customWidth="1"/>
    <col min="5389" max="5389" width="9.7109375" style="147" bestFit="1" customWidth="1"/>
    <col min="5390" max="5632" width="9.140625" style="147"/>
    <col min="5633" max="5633" width="3.5703125" style="147" bestFit="1" customWidth="1"/>
    <col min="5634" max="5634" width="3.7109375" style="147" customWidth="1"/>
    <col min="5635" max="5635" width="4.140625" style="147" customWidth="1"/>
    <col min="5636" max="5636" width="81.28515625" style="147" bestFit="1" customWidth="1"/>
    <col min="5637" max="5637" width="15.28515625" style="147" customWidth="1"/>
    <col min="5638" max="5642" width="0" style="147" hidden="1" customWidth="1"/>
    <col min="5643" max="5643" width="7.140625" style="147" customWidth="1"/>
    <col min="5644" max="5644" width="10.140625" style="147" bestFit="1" customWidth="1"/>
    <col min="5645" max="5645" width="9.7109375" style="147" bestFit="1" customWidth="1"/>
    <col min="5646" max="5888" width="9.140625" style="147"/>
    <col min="5889" max="5889" width="3.5703125" style="147" bestFit="1" customWidth="1"/>
    <col min="5890" max="5890" width="3.7109375" style="147" customWidth="1"/>
    <col min="5891" max="5891" width="4.140625" style="147" customWidth="1"/>
    <col min="5892" max="5892" width="81.28515625" style="147" bestFit="1" customWidth="1"/>
    <col min="5893" max="5893" width="15.28515625" style="147" customWidth="1"/>
    <col min="5894" max="5898" width="0" style="147" hidden="1" customWidth="1"/>
    <col min="5899" max="5899" width="7.140625" style="147" customWidth="1"/>
    <col min="5900" max="5900" width="10.140625" style="147" bestFit="1" customWidth="1"/>
    <col min="5901" max="5901" width="9.7109375" style="147" bestFit="1" customWidth="1"/>
    <col min="5902" max="6144" width="9.140625" style="147"/>
    <col min="6145" max="6145" width="3.5703125" style="147" bestFit="1" customWidth="1"/>
    <col min="6146" max="6146" width="3.7109375" style="147" customWidth="1"/>
    <col min="6147" max="6147" width="4.140625" style="147" customWidth="1"/>
    <col min="6148" max="6148" width="81.28515625" style="147" bestFit="1" customWidth="1"/>
    <col min="6149" max="6149" width="15.28515625" style="147" customWidth="1"/>
    <col min="6150" max="6154" width="0" style="147" hidden="1" customWidth="1"/>
    <col min="6155" max="6155" width="7.140625" style="147" customWidth="1"/>
    <col min="6156" max="6156" width="10.140625" style="147" bestFit="1" customWidth="1"/>
    <col min="6157" max="6157" width="9.7109375" style="147" bestFit="1" customWidth="1"/>
    <col min="6158" max="6400" width="9.140625" style="147"/>
    <col min="6401" max="6401" width="3.5703125" style="147" bestFit="1" customWidth="1"/>
    <col min="6402" max="6402" width="3.7109375" style="147" customWidth="1"/>
    <col min="6403" max="6403" width="4.140625" style="147" customWidth="1"/>
    <col min="6404" max="6404" width="81.28515625" style="147" bestFit="1" customWidth="1"/>
    <col min="6405" max="6405" width="15.28515625" style="147" customWidth="1"/>
    <col min="6406" max="6410" width="0" style="147" hidden="1" customWidth="1"/>
    <col min="6411" max="6411" width="7.140625" style="147" customWidth="1"/>
    <col min="6412" max="6412" width="10.140625" style="147" bestFit="1" customWidth="1"/>
    <col min="6413" max="6413" width="9.7109375" style="147" bestFit="1" customWidth="1"/>
    <col min="6414" max="6656" width="9.140625" style="147"/>
    <col min="6657" max="6657" width="3.5703125" style="147" bestFit="1" customWidth="1"/>
    <col min="6658" max="6658" width="3.7109375" style="147" customWidth="1"/>
    <col min="6659" max="6659" width="4.140625" style="147" customWidth="1"/>
    <col min="6660" max="6660" width="81.28515625" style="147" bestFit="1" customWidth="1"/>
    <col min="6661" max="6661" width="15.28515625" style="147" customWidth="1"/>
    <col min="6662" max="6666" width="0" style="147" hidden="1" customWidth="1"/>
    <col min="6667" max="6667" width="7.140625" style="147" customWidth="1"/>
    <col min="6668" max="6668" width="10.140625" style="147" bestFit="1" customWidth="1"/>
    <col min="6669" max="6669" width="9.7109375" style="147" bestFit="1" customWidth="1"/>
    <col min="6670" max="6912" width="9.140625" style="147"/>
    <col min="6913" max="6913" width="3.5703125" style="147" bestFit="1" customWidth="1"/>
    <col min="6914" max="6914" width="3.7109375" style="147" customWidth="1"/>
    <col min="6915" max="6915" width="4.140625" style="147" customWidth="1"/>
    <col min="6916" max="6916" width="81.28515625" style="147" bestFit="1" customWidth="1"/>
    <col min="6917" max="6917" width="15.28515625" style="147" customWidth="1"/>
    <col min="6918" max="6922" width="0" style="147" hidden="1" customWidth="1"/>
    <col min="6923" max="6923" width="7.140625" style="147" customWidth="1"/>
    <col min="6924" max="6924" width="10.140625" style="147" bestFit="1" customWidth="1"/>
    <col min="6925" max="6925" width="9.7109375" style="147" bestFit="1" customWidth="1"/>
    <col min="6926" max="7168" width="9.140625" style="147"/>
    <col min="7169" max="7169" width="3.5703125" style="147" bestFit="1" customWidth="1"/>
    <col min="7170" max="7170" width="3.7109375" style="147" customWidth="1"/>
    <col min="7171" max="7171" width="4.140625" style="147" customWidth="1"/>
    <col min="7172" max="7172" width="81.28515625" style="147" bestFit="1" customWidth="1"/>
    <col min="7173" max="7173" width="15.28515625" style="147" customWidth="1"/>
    <col min="7174" max="7178" width="0" style="147" hidden="1" customWidth="1"/>
    <col min="7179" max="7179" width="7.140625" style="147" customWidth="1"/>
    <col min="7180" max="7180" width="10.140625" style="147" bestFit="1" customWidth="1"/>
    <col min="7181" max="7181" width="9.7109375" style="147" bestFit="1" customWidth="1"/>
    <col min="7182" max="7424" width="9.140625" style="147"/>
    <col min="7425" max="7425" width="3.5703125" style="147" bestFit="1" customWidth="1"/>
    <col min="7426" max="7426" width="3.7109375" style="147" customWidth="1"/>
    <col min="7427" max="7427" width="4.140625" style="147" customWidth="1"/>
    <col min="7428" max="7428" width="81.28515625" style="147" bestFit="1" customWidth="1"/>
    <col min="7429" max="7429" width="15.28515625" style="147" customWidth="1"/>
    <col min="7430" max="7434" width="0" style="147" hidden="1" customWidth="1"/>
    <col min="7435" max="7435" width="7.140625" style="147" customWidth="1"/>
    <col min="7436" max="7436" width="10.140625" style="147" bestFit="1" customWidth="1"/>
    <col min="7437" max="7437" width="9.7109375" style="147" bestFit="1" customWidth="1"/>
    <col min="7438" max="7680" width="9.140625" style="147"/>
    <col min="7681" max="7681" width="3.5703125" style="147" bestFit="1" customWidth="1"/>
    <col min="7682" max="7682" width="3.7109375" style="147" customWidth="1"/>
    <col min="7683" max="7683" width="4.140625" style="147" customWidth="1"/>
    <col min="7684" max="7684" width="81.28515625" style="147" bestFit="1" customWidth="1"/>
    <col min="7685" max="7685" width="15.28515625" style="147" customWidth="1"/>
    <col min="7686" max="7690" width="0" style="147" hidden="1" customWidth="1"/>
    <col min="7691" max="7691" width="7.140625" style="147" customWidth="1"/>
    <col min="7692" max="7692" width="10.140625" style="147" bestFit="1" customWidth="1"/>
    <col min="7693" max="7693" width="9.7109375" style="147" bestFit="1" customWidth="1"/>
    <col min="7694" max="7936" width="9.140625" style="147"/>
    <col min="7937" max="7937" width="3.5703125" style="147" bestFit="1" customWidth="1"/>
    <col min="7938" max="7938" width="3.7109375" style="147" customWidth="1"/>
    <col min="7939" max="7939" width="4.140625" style="147" customWidth="1"/>
    <col min="7940" max="7940" width="81.28515625" style="147" bestFit="1" customWidth="1"/>
    <col min="7941" max="7941" width="15.28515625" style="147" customWidth="1"/>
    <col min="7942" max="7946" width="0" style="147" hidden="1" customWidth="1"/>
    <col min="7947" max="7947" width="7.140625" style="147" customWidth="1"/>
    <col min="7948" max="7948" width="10.140625" style="147" bestFit="1" customWidth="1"/>
    <col min="7949" max="7949" width="9.7109375" style="147" bestFit="1" customWidth="1"/>
    <col min="7950" max="8192" width="9.140625" style="147"/>
    <col min="8193" max="8193" width="3.5703125" style="147" bestFit="1" customWidth="1"/>
    <col min="8194" max="8194" width="3.7109375" style="147" customWidth="1"/>
    <col min="8195" max="8195" width="4.140625" style="147" customWidth="1"/>
    <col min="8196" max="8196" width="81.28515625" style="147" bestFit="1" customWidth="1"/>
    <col min="8197" max="8197" width="15.28515625" style="147" customWidth="1"/>
    <col min="8198" max="8202" width="0" style="147" hidden="1" customWidth="1"/>
    <col min="8203" max="8203" width="7.140625" style="147" customWidth="1"/>
    <col min="8204" max="8204" width="10.140625" style="147" bestFit="1" customWidth="1"/>
    <col min="8205" max="8205" width="9.7109375" style="147" bestFit="1" customWidth="1"/>
    <col min="8206" max="8448" width="9.140625" style="147"/>
    <col min="8449" max="8449" width="3.5703125" style="147" bestFit="1" customWidth="1"/>
    <col min="8450" max="8450" width="3.7109375" style="147" customWidth="1"/>
    <col min="8451" max="8451" width="4.140625" style="147" customWidth="1"/>
    <col min="8452" max="8452" width="81.28515625" style="147" bestFit="1" customWidth="1"/>
    <col min="8453" max="8453" width="15.28515625" style="147" customWidth="1"/>
    <col min="8454" max="8458" width="0" style="147" hidden="1" customWidth="1"/>
    <col min="8459" max="8459" width="7.140625" style="147" customWidth="1"/>
    <col min="8460" max="8460" width="10.140625" style="147" bestFit="1" customWidth="1"/>
    <col min="8461" max="8461" width="9.7109375" style="147" bestFit="1" customWidth="1"/>
    <col min="8462" max="8704" width="9.140625" style="147"/>
    <col min="8705" max="8705" width="3.5703125" style="147" bestFit="1" customWidth="1"/>
    <col min="8706" max="8706" width="3.7109375" style="147" customWidth="1"/>
    <col min="8707" max="8707" width="4.140625" style="147" customWidth="1"/>
    <col min="8708" max="8708" width="81.28515625" style="147" bestFit="1" customWidth="1"/>
    <col min="8709" max="8709" width="15.28515625" style="147" customWidth="1"/>
    <col min="8710" max="8714" width="0" style="147" hidden="1" customWidth="1"/>
    <col min="8715" max="8715" width="7.140625" style="147" customWidth="1"/>
    <col min="8716" max="8716" width="10.140625" style="147" bestFit="1" customWidth="1"/>
    <col min="8717" max="8717" width="9.7109375" style="147" bestFit="1" customWidth="1"/>
    <col min="8718" max="8960" width="9.140625" style="147"/>
    <col min="8961" max="8961" width="3.5703125" style="147" bestFit="1" customWidth="1"/>
    <col min="8962" max="8962" width="3.7109375" style="147" customWidth="1"/>
    <col min="8963" max="8963" width="4.140625" style="147" customWidth="1"/>
    <col min="8964" max="8964" width="81.28515625" style="147" bestFit="1" customWidth="1"/>
    <col min="8965" max="8965" width="15.28515625" style="147" customWidth="1"/>
    <col min="8966" max="8970" width="0" style="147" hidden="1" customWidth="1"/>
    <col min="8971" max="8971" width="7.140625" style="147" customWidth="1"/>
    <col min="8972" max="8972" width="10.140625" style="147" bestFit="1" customWidth="1"/>
    <col min="8973" max="8973" width="9.7109375" style="147" bestFit="1" customWidth="1"/>
    <col min="8974" max="9216" width="9.140625" style="147"/>
    <col min="9217" max="9217" width="3.5703125" style="147" bestFit="1" customWidth="1"/>
    <col min="9218" max="9218" width="3.7109375" style="147" customWidth="1"/>
    <col min="9219" max="9219" width="4.140625" style="147" customWidth="1"/>
    <col min="9220" max="9220" width="81.28515625" style="147" bestFit="1" customWidth="1"/>
    <col min="9221" max="9221" width="15.28515625" style="147" customWidth="1"/>
    <col min="9222" max="9226" width="0" style="147" hidden="1" customWidth="1"/>
    <col min="9227" max="9227" width="7.140625" style="147" customWidth="1"/>
    <col min="9228" max="9228" width="10.140625" style="147" bestFit="1" customWidth="1"/>
    <col min="9229" max="9229" width="9.7109375" style="147" bestFit="1" customWidth="1"/>
    <col min="9230" max="9472" width="9.140625" style="147"/>
    <col min="9473" max="9473" width="3.5703125" style="147" bestFit="1" customWidth="1"/>
    <col min="9474" max="9474" width="3.7109375" style="147" customWidth="1"/>
    <col min="9475" max="9475" width="4.140625" style="147" customWidth="1"/>
    <col min="9476" max="9476" width="81.28515625" style="147" bestFit="1" customWidth="1"/>
    <col min="9477" max="9477" width="15.28515625" style="147" customWidth="1"/>
    <col min="9478" max="9482" width="0" style="147" hidden="1" customWidth="1"/>
    <col min="9483" max="9483" width="7.140625" style="147" customWidth="1"/>
    <col min="9484" max="9484" width="10.140625" style="147" bestFit="1" customWidth="1"/>
    <col min="9485" max="9485" width="9.7109375" style="147" bestFit="1" customWidth="1"/>
    <col min="9486" max="9728" width="9.140625" style="147"/>
    <col min="9729" max="9729" width="3.5703125" style="147" bestFit="1" customWidth="1"/>
    <col min="9730" max="9730" width="3.7109375" style="147" customWidth="1"/>
    <col min="9731" max="9731" width="4.140625" style="147" customWidth="1"/>
    <col min="9732" max="9732" width="81.28515625" style="147" bestFit="1" customWidth="1"/>
    <col min="9733" max="9733" width="15.28515625" style="147" customWidth="1"/>
    <col min="9734" max="9738" width="0" style="147" hidden="1" customWidth="1"/>
    <col min="9739" max="9739" width="7.140625" style="147" customWidth="1"/>
    <col min="9740" max="9740" width="10.140625" style="147" bestFit="1" customWidth="1"/>
    <col min="9741" max="9741" width="9.7109375" style="147" bestFit="1" customWidth="1"/>
    <col min="9742" max="9984" width="9.140625" style="147"/>
    <col min="9985" max="9985" width="3.5703125" style="147" bestFit="1" customWidth="1"/>
    <col min="9986" max="9986" width="3.7109375" style="147" customWidth="1"/>
    <col min="9987" max="9987" width="4.140625" style="147" customWidth="1"/>
    <col min="9988" max="9988" width="81.28515625" style="147" bestFit="1" customWidth="1"/>
    <col min="9989" max="9989" width="15.28515625" style="147" customWidth="1"/>
    <col min="9990" max="9994" width="0" style="147" hidden="1" customWidth="1"/>
    <col min="9995" max="9995" width="7.140625" style="147" customWidth="1"/>
    <col min="9996" max="9996" width="10.140625" style="147" bestFit="1" customWidth="1"/>
    <col min="9997" max="9997" width="9.7109375" style="147" bestFit="1" customWidth="1"/>
    <col min="9998" max="10240" width="9.140625" style="147"/>
    <col min="10241" max="10241" width="3.5703125" style="147" bestFit="1" customWidth="1"/>
    <col min="10242" max="10242" width="3.7109375" style="147" customWidth="1"/>
    <col min="10243" max="10243" width="4.140625" style="147" customWidth="1"/>
    <col min="10244" max="10244" width="81.28515625" style="147" bestFit="1" customWidth="1"/>
    <col min="10245" max="10245" width="15.28515625" style="147" customWidth="1"/>
    <col min="10246" max="10250" width="0" style="147" hidden="1" customWidth="1"/>
    <col min="10251" max="10251" width="7.140625" style="147" customWidth="1"/>
    <col min="10252" max="10252" width="10.140625" style="147" bestFit="1" customWidth="1"/>
    <col min="10253" max="10253" width="9.7109375" style="147" bestFit="1" customWidth="1"/>
    <col min="10254" max="10496" width="9.140625" style="147"/>
    <col min="10497" max="10497" width="3.5703125" style="147" bestFit="1" customWidth="1"/>
    <col min="10498" max="10498" width="3.7109375" style="147" customWidth="1"/>
    <col min="10499" max="10499" width="4.140625" style="147" customWidth="1"/>
    <col min="10500" max="10500" width="81.28515625" style="147" bestFit="1" customWidth="1"/>
    <col min="10501" max="10501" width="15.28515625" style="147" customWidth="1"/>
    <col min="10502" max="10506" width="0" style="147" hidden="1" customWidth="1"/>
    <col min="10507" max="10507" width="7.140625" style="147" customWidth="1"/>
    <col min="10508" max="10508" width="10.140625" style="147" bestFit="1" customWidth="1"/>
    <col min="10509" max="10509" width="9.7109375" style="147" bestFit="1" customWidth="1"/>
    <col min="10510" max="10752" width="9.140625" style="147"/>
    <col min="10753" max="10753" width="3.5703125" style="147" bestFit="1" customWidth="1"/>
    <col min="10754" max="10754" width="3.7109375" style="147" customWidth="1"/>
    <col min="10755" max="10755" width="4.140625" style="147" customWidth="1"/>
    <col min="10756" max="10756" width="81.28515625" style="147" bestFit="1" customWidth="1"/>
    <col min="10757" max="10757" width="15.28515625" style="147" customWidth="1"/>
    <col min="10758" max="10762" width="0" style="147" hidden="1" customWidth="1"/>
    <col min="10763" max="10763" width="7.140625" style="147" customWidth="1"/>
    <col min="10764" max="10764" width="10.140625" style="147" bestFit="1" customWidth="1"/>
    <col min="10765" max="10765" width="9.7109375" style="147" bestFit="1" customWidth="1"/>
    <col min="10766" max="11008" width="9.140625" style="147"/>
    <col min="11009" max="11009" width="3.5703125" style="147" bestFit="1" customWidth="1"/>
    <col min="11010" max="11010" width="3.7109375" style="147" customWidth="1"/>
    <col min="11011" max="11011" width="4.140625" style="147" customWidth="1"/>
    <col min="11012" max="11012" width="81.28515625" style="147" bestFit="1" customWidth="1"/>
    <col min="11013" max="11013" width="15.28515625" style="147" customWidth="1"/>
    <col min="11014" max="11018" width="0" style="147" hidden="1" customWidth="1"/>
    <col min="11019" max="11019" width="7.140625" style="147" customWidth="1"/>
    <col min="11020" max="11020" width="10.140625" style="147" bestFit="1" customWidth="1"/>
    <col min="11021" max="11021" width="9.7109375" style="147" bestFit="1" customWidth="1"/>
    <col min="11022" max="11264" width="9.140625" style="147"/>
    <col min="11265" max="11265" width="3.5703125" style="147" bestFit="1" customWidth="1"/>
    <col min="11266" max="11266" width="3.7109375" style="147" customWidth="1"/>
    <col min="11267" max="11267" width="4.140625" style="147" customWidth="1"/>
    <col min="11268" max="11268" width="81.28515625" style="147" bestFit="1" customWidth="1"/>
    <col min="11269" max="11269" width="15.28515625" style="147" customWidth="1"/>
    <col min="11270" max="11274" width="0" style="147" hidden="1" customWidth="1"/>
    <col min="11275" max="11275" width="7.140625" style="147" customWidth="1"/>
    <col min="11276" max="11276" width="10.140625" style="147" bestFit="1" customWidth="1"/>
    <col min="11277" max="11277" width="9.7109375" style="147" bestFit="1" customWidth="1"/>
    <col min="11278" max="11520" width="9.140625" style="147"/>
    <col min="11521" max="11521" width="3.5703125" style="147" bestFit="1" customWidth="1"/>
    <col min="11522" max="11522" width="3.7109375" style="147" customWidth="1"/>
    <col min="11523" max="11523" width="4.140625" style="147" customWidth="1"/>
    <col min="11524" max="11524" width="81.28515625" style="147" bestFit="1" customWidth="1"/>
    <col min="11525" max="11525" width="15.28515625" style="147" customWidth="1"/>
    <col min="11526" max="11530" width="0" style="147" hidden="1" customWidth="1"/>
    <col min="11531" max="11531" width="7.140625" style="147" customWidth="1"/>
    <col min="11532" max="11532" width="10.140625" style="147" bestFit="1" customWidth="1"/>
    <col min="11533" max="11533" width="9.7109375" style="147" bestFit="1" customWidth="1"/>
    <col min="11534" max="11776" width="9.140625" style="147"/>
    <col min="11777" max="11777" width="3.5703125" style="147" bestFit="1" customWidth="1"/>
    <col min="11778" max="11778" width="3.7109375" style="147" customWidth="1"/>
    <col min="11779" max="11779" width="4.140625" style="147" customWidth="1"/>
    <col min="11780" max="11780" width="81.28515625" style="147" bestFit="1" customWidth="1"/>
    <col min="11781" max="11781" width="15.28515625" style="147" customWidth="1"/>
    <col min="11782" max="11786" width="0" style="147" hidden="1" customWidth="1"/>
    <col min="11787" max="11787" width="7.140625" style="147" customWidth="1"/>
    <col min="11788" max="11788" width="10.140625" style="147" bestFit="1" customWidth="1"/>
    <col min="11789" max="11789" width="9.7109375" style="147" bestFit="1" customWidth="1"/>
    <col min="11790" max="12032" width="9.140625" style="147"/>
    <col min="12033" max="12033" width="3.5703125" style="147" bestFit="1" customWidth="1"/>
    <col min="12034" max="12034" width="3.7109375" style="147" customWidth="1"/>
    <col min="12035" max="12035" width="4.140625" style="147" customWidth="1"/>
    <col min="12036" max="12036" width="81.28515625" style="147" bestFit="1" customWidth="1"/>
    <col min="12037" max="12037" width="15.28515625" style="147" customWidth="1"/>
    <col min="12038" max="12042" width="0" style="147" hidden="1" customWidth="1"/>
    <col min="12043" max="12043" width="7.140625" style="147" customWidth="1"/>
    <col min="12044" max="12044" width="10.140625" style="147" bestFit="1" customWidth="1"/>
    <col min="12045" max="12045" width="9.7109375" style="147" bestFit="1" customWidth="1"/>
    <col min="12046" max="12288" width="9.140625" style="147"/>
    <col min="12289" max="12289" width="3.5703125" style="147" bestFit="1" customWidth="1"/>
    <col min="12290" max="12290" width="3.7109375" style="147" customWidth="1"/>
    <col min="12291" max="12291" width="4.140625" style="147" customWidth="1"/>
    <col min="12292" max="12292" width="81.28515625" style="147" bestFit="1" customWidth="1"/>
    <col min="12293" max="12293" width="15.28515625" style="147" customWidth="1"/>
    <col min="12294" max="12298" width="0" style="147" hidden="1" customWidth="1"/>
    <col min="12299" max="12299" width="7.140625" style="147" customWidth="1"/>
    <col min="12300" max="12300" width="10.140625" style="147" bestFit="1" customWidth="1"/>
    <col min="12301" max="12301" width="9.7109375" style="147" bestFit="1" customWidth="1"/>
    <col min="12302" max="12544" width="9.140625" style="147"/>
    <col min="12545" max="12545" width="3.5703125" style="147" bestFit="1" customWidth="1"/>
    <col min="12546" max="12546" width="3.7109375" style="147" customWidth="1"/>
    <col min="12547" max="12547" width="4.140625" style="147" customWidth="1"/>
    <col min="12548" max="12548" width="81.28515625" style="147" bestFit="1" customWidth="1"/>
    <col min="12549" max="12549" width="15.28515625" style="147" customWidth="1"/>
    <col min="12550" max="12554" width="0" style="147" hidden="1" customWidth="1"/>
    <col min="12555" max="12555" width="7.140625" style="147" customWidth="1"/>
    <col min="12556" max="12556" width="10.140625" style="147" bestFit="1" customWidth="1"/>
    <col min="12557" max="12557" width="9.7109375" style="147" bestFit="1" customWidth="1"/>
    <col min="12558" max="12800" width="9.140625" style="147"/>
    <col min="12801" max="12801" width="3.5703125" style="147" bestFit="1" customWidth="1"/>
    <col min="12802" max="12802" width="3.7109375" style="147" customWidth="1"/>
    <col min="12803" max="12803" width="4.140625" style="147" customWidth="1"/>
    <col min="12804" max="12804" width="81.28515625" style="147" bestFit="1" customWidth="1"/>
    <col min="12805" max="12805" width="15.28515625" style="147" customWidth="1"/>
    <col min="12806" max="12810" width="0" style="147" hidden="1" customWidth="1"/>
    <col min="12811" max="12811" width="7.140625" style="147" customWidth="1"/>
    <col min="12812" max="12812" width="10.140625" style="147" bestFit="1" customWidth="1"/>
    <col min="12813" max="12813" width="9.7109375" style="147" bestFit="1" customWidth="1"/>
    <col min="12814" max="13056" width="9.140625" style="147"/>
    <col min="13057" max="13057" width="3.5703125" style="147" bestFit="1" customWidth="1"/>
    <col min="13058" max="13058" width="3.7109375" style="147" customWidth="1"/>
    <col min="13059" max="13059" width="4.140625" style="147" customWidth="1"/>
    <col min="13060" max="13060" width="81.28515625" style="147" bestFit="1" customWidth="1"/>
    <col min="13061" max="13061" width="15.28515625" style="147" customWidth="1"/>
    <col min="13062" max="13066" width="0" style="147" hidden="1" customWidth="1"/>
    <col min="13067" max="13067" width="7.140625" style="147" customWidth="1"/>
    <col min="13068" max="13068" width="10.140625" style="147" bestFit="1" customWidth="1"/>
    <col min="13069" max="13069" width="9.7109375" style="147" bestFit="1" customWidth="1"/>
    <col min="13070" max="13312" width="9.140625" style="147"/>
    <col min="13313" max="13313" width="3.5703125" style="147" bestFit="1" customWidth="1"/>
    <col min="13314" max="13314" width="3.7109375" style="147" customWidth="1"/>
    <col min="13315" max="13315" width="4.140625" style="147" customWidth="1"/>
    <col min="13316" max="13316" width="81.28515625" style="147" bestFit="1" customWidth="1"/>
    <col min="13317" max="13317" width="15.28515625" style="147" customWidth="1"/>
    <col min="13318" max="13322" width="0" style="147" hidden="1" customWidth="1"/>
    <col min="13323" max="13323" width="7.140625" style="147" customWidth="1"/>
    <col min="13324" max="13324" width="10.140625" style="147" bestFit="1" customWidth="1"/>
    <col min="13325" max="13325" width="9.7109375" style="147" bestFit="1" customWidth="1"/>
    <col min="13326" max="13568" width="9.140625" style="147"/>
    <col min="13569" max="13569" width="3.5703125" style="147" bestFit="1" customWidth="1"/>
    <col min="13570" max="13570" width="3.7109375" style="147" customWidth="1"/>
    <col min="13571" max="13571" width="4.140625" style="147" customWidth="1"/>
    <col min="13572" max="13572" width="81.28515625" style="147" bestFit="1" customWidth="1"/>
    <col min="13573" max="13573" width="15.28515625" style="147" customWidth="1"/>
    <col min="13574" max="13578" width="0" style="147" hidden="1" customWidth="1"/>
    <col min="13579" max="13579" width="7.140625" style="147" customWidth="1"/>
    <col min="13580" max="13580" width="10.140625" style="147" bestFit="1" customWidth="1"/>
    <col min="13581" max="13581" width="9.7109375" style="147" bestFit="1" customWidth="1"/>
    <col min="13582" max="13824" width="9.140625" style="147"/>
    <col min="13825" max="13825" width="3.5703125" style="147" bestFit="1" customWidth="1"/>
    <col min="13826" max="13826" width="3.7109375" style="147" customWidth="1"/>
    <col min="13827" max="13827" width="4.140625" style="147" customWidth="1"/>
    <col min="13828" max="13828" width="81.28515625" style="147" bestFit="1" customWidth="1"/>
    <col min="13829" max="13829" width="15.28515625" style="147" customWidth="1"/>
    <col min="13830" max="13834" width="0" style="147" hidden="1" customWidth="1"/>
    <col min="13835" max="13835" width="7.140625" style="147" customWidth="1"/>
    <col min="13836" max="13836" width="10.140625" style="147" bestFit="1" customWidth="1"/>
    <col min="13837" max="13837" width="9.7109375" style="147" bestFit="1" customWidth="1"/>
    <col min="13838" max="14080" width="9.140625" style="147"/>
    <col min="14081" max="14081" width="3.5703125" style="147" bestFit="1" customWidth="1"/>
    <col min="14082" max="14082" width="3.7109375" style="147" customWidth="1"/>
    <col min="14083" max="14083" width="4.140625" style="147" customWidth="1"/>
    <col min="14084" max="14084" width="81.28515625" style="147" bestFit="1" customWidth="1"/>
    <col min="14085" max="14085" width="15.28515625" style="147" customWidth="1"/>
    <col min="14086" max="14090" width="0" style="147" hidden="1" customWidth="1"/>
    <col min="14091" max="14091" width="7.140625" style="147" customWidth="1"/>
    <col min="14092" max="14092" width="10.140625" style="147" bestFit="1" customWidth="1"/>
    <col min="14093" max="14093" width="9.7109375" style="147" bestFit="1" customWidth="1"/>
    <col min="14094" max="14336" width="9.140625" style="147"/>
    <col min="14337" max="14337" width="3.5703125" style="147" bestFit="1" customWidth="1"/>
    <col min="14338" max="14338" width="3.7109375" style="147" customWidth="1"/>
    <col min="14339" max="14339" width="4.140625" style="147" customWidth="1"/>
    <col min="14340" max="14340" width="81.28515625" style="147" bestFit="1" customWidth="1"/>
    <col min="14341" max="14341" width="15.28515625" style="147" customWidth="1"/>
    <col min="14342" max="14346" width="0" style="147" hidden="1" customWidth="1"/>
    <col min="14347" max="14347" width="7.140625" style="147" customWidth="1"/>
    <col min="14348" max="14348" width="10.140625" style="147" bestFit="1" customWidth="1"/>
    <col min="14349" max="14349" width="9.7109375" style="147" bestFit="1" customWidth="1"/>
    <col min="14350" max="14592" width="9.140625" style="147"/>
    <col min="14593" max="14593" width="3.5703125" style="147" bestFit="1" customWidth="1"/>
    <col min="14594" max="14594" width="3.7109375" style="147" customWidth="1"/>
    <col min="14595" max="14595" width="4.140625" style="147" customWidth="1"/>
    <col min="14596" max="14596" width="81.28515625" style="147" bestFit="1" customWidth="1"/>
    <col min="14597" max="14597" width="15.28515625" style="147" customWidth="1"/>
    <col min="14598" max="14602" width="0" style="147" hidden="1" customWidth="1"/>
    <col min="14603" max="14603" width="7.140625" style="147" customWidth="1"/>
    <col min="14604" max="14604" width="10.140625" style="147" bestFit="1" customWidth="1"/>
    <col min="14605" max="14605" width="9.7109375" style="147" bestFit="1" customWidth="1"/>
    <col min="14606" max="14848" width="9.140625" style="147"/>
    <col min="14849" max="14849" width="3.5703125" style="147" bestFit="1" customWidth="1"/>
    <col min="14850" max="14850" width="3.7109375" style="147" customWidth="1"/>
    <col min="14851" max="14851" width="4.140625" style="147" customWidth="1"/>
    <col min="14852" max="14852" width="81.28515625" style="147" bestFit="1" customWidth="1"/>
    <col min="14853" max="14853" width="15.28515625" style="147" customWidth="1"/>
    <col min="14854" max="14858" width="0" style="147" hidden="1" customWidth="1"/>
    <col min="14859" max="14859" width="7.140625" style="147" customWidth="1"/>
    <col min="14860" max="14860" width="10.140625" style="147" bestFit="1" customWidth="1"/>
    <col min="14861" max="14861" width="9.7109375" style="147" bestFit="1" customWidth="1"/>
    <col min="14862" max="15104" width="9.140625" style="147"/>
    <col min="15105" max="15105" width="3.5703125" style="147" bestFit="1" customWidth="1"/>
    <col min="15106" max="15106" width="3.7109375" style="147" customWidth="1"/>
    <col min="15107" max="15107" width="4.140625" style="147" customWidth="1"/>
    <col min="15108" max="15108" width="81.28515625" style="147" bestFit="1" customWidth="1"/>
    <col min="15109" max="15109" width="15.28515625" style="147" customWidth="1"/>
    <col min="15110" max="15114" width="0" style="147" hidden="1" customWidth="1"/>
    <col min="15115" max="15115" width="7.140625" style="147" customWidth="1"/>
    <col min="15116" max="15116" width="10.140625" style="147" bestFit="1" customWidth="1"/>
    <col min="15117" max="15117" width="9.7109375" style="147" bestFit="1" customWidth="1"/>
    <col min="15118" max="15360" width="9.140625" style="147"/>
    <col min="15361" max="15361" width="3.5703125" style="147" bestFit="1" customWidth="1"/>
    <col min="15362" max="15362" width="3.7109375" style="147" customWidth="1"/>
    <col min="15363" max="15363" width="4.140625" style="147" customWidth="1"/>
    <col min="15364" max="15364" width="81.28515625" style="147" bestFit="1" customWidth="1"/>
    <col min="15365" max="15365" width="15.28515625" style="147" customWidth="1"/>
    <col min="15366" max="15370" width="0" style="147" hidden="1" customWidth="1"/>
    <col min="15371" max="15371" width="7.140625" style="147" customWidth="1"/>
    <col min="15372" max="15372" width="10.140625" style="147" bestFit="1" customWidth="1"/>
    <col min="15373" max="15373" width="9.7109375" style="147" bestFit="1" customWidth="1"/>
    <col min="15374" max="15616" width="9.140625" style="147"/>
    <col min="15617" max="15617" width="3.5703125" style="147" bestFit="1" customWidth="1"/>
    <col min="15618" max="15618" width="3.7109375" style="147" customWidth="1"/>
    <col min="15619" max="15619" width="4.140625" style="147" customWidth="1"/>
    <col min="15620" max="15620" width="81.28515625" style="147" bestFit="1" customWidth="1"/>
    <col min="15621" max="15621" width="15.28515625" style="147" customWidth="1"/>
    <col min="15622" max="15626" width="0" style="147" hidden="1" customWidth="1"/>
    <col min="15627" max="15627" width="7.140625" style="147" customWidth="1"/>
    <col min="15628" max="15628" width="10.140625" style="147" bestFit="1" customWidth="1"/>
    <col min="15629" max="15629" width="9.7109375" style="147" bestFit="1" customWidth="1"/>
    <col min="15630" max="15872" width="9.140625" style="147"/>
    <col min="15873" max="15873" width="3.5703125" style="147" bestFit="1" customWidth="1"/>
    <col min="15874" max="15874" width="3.7109375" style="147" customWidth="1"/>
    <col min="15875" max="15875" width="4.140625" style="147" customWidth="1"/>
    <col min="15876" max="15876" width="81.28515625" style="147" bestFit="1" customWidth="1"/>
    <col min="15877" max="15877" width="15.28515625" style="147" customWidth="1"/>
    <col min="15878" max="15882" width="0" style="147" hidden="1" customWidth="1"/>
    <col min="15883" max="15883" width="7.140625" style="147" customWidth="1"/>
    <col min="15884" max="15884" width="10.140625" style="147" bestFit="1" customWidth="1"/>
    <col min="15885" max="15885" width="9.7109375" style="147" bestFit="1" customWidth="1"/>
    <col min="15886" max="16128" width="9.140625" style="147"/>
    <col min="16129" max="16129" width="3.5703125" style="147" bestFit="1" customWidth="1"/>
    <col min="16130" max="16130" width="3.7109375" style="147" customWidth="1"/>
    <col min="16131" max="16131" width="4.140625" style="147" customWidth="1"/>
    <col min="16132" max="16132" width="81.28515625" style="147" bestFit="1" customWidth="1"/>
    <col min="16133" max="16133" width="15.28515625" style="147" customWidth="1"/>
    <col min="16134" max="16138" width="0" style="147" hidden="1" customWidth="1"/>
    <col min="16139" max="16139" width="7.140625" style="147" customWidth="1"/>
    <col min="16140" max="16140" width="10.140625" style="147" bestFit="1" customWidth="1"/>
    <col min="16141" max="16141" width="9.7109375" style="147" bestFit="1" customWidth="1"/>
    <col min="16142" max="16384" width="9.140625" style="147"/>
  </cols>
  <sheetData>
    <row r="1" spans="1:256" ht="30" customHeight="1" x14ac:dyDescent="0.35">
      <c r="B1" s="2071" t="s">
        <v>964</v>
      </c>
      <c r="C1" s="2071"/>
      <c r="D1" s="2071"/>
      <c r="E1" s="2071"/>
      <c r="F1" s="124"/>
      <c r="G1" s="124"/>
      <c r="H1" s="124"/>
      <c r="I1" s="124"/>
      <c r="J1" s="1639"/>
      <c r="K1" s="124"/>
      <c r="L1" s="1639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4"/>
      <c r="BB1" s="124"/>
      <c r="BC1" s="124"/>
      <c r="BD1" s="124"/>
      <c r="BE1" s="124"/>
      <c r="BF1" s="124"/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R1" s="124"/>
      <c r="BS1" s="124"/>
      <c r="BT1" s="124"/>
      <c r="BU1" s="124"/>
      <c r="BV1" s="124"/>
      <c r="BW1" s="124"/>
      <c r="BX1" s="124"/>
      <c r="BY1" s="124"/>
      <c r="BZ1" s="124"/>
      <c r="CA1" s="124"/>
      <c r="CB1" s="124"/>
      <c r="CC1" s="124"/>
      <c r="CD1" s="124"/>
      <c r="CE1" s="124"/>
      <c r="CF1" s="124"/>
      <c r="CG1" s="124"/>
      <c r="CH1" s="124"/>
      <c r="CI1" s="124"/>
      <c r="CJ1" s="124"/>
      <c r="CK1" s="124"/>
      <c r="CL1" s="124"/>
      <c r="CM1" s="124"/>
      <c r="CN1" s="124"/>
      <c r="CO1" s="124"/>
      <c r="CP1" s="124"/>
      <c r="CQ1" s="124"/>
      <c r="CR1" s="124"/>
      <c r="CS1" s="124"/>
      <c r="CT1" s="124"/>
      <c r="CU1" s="124"/>
      <c r="CV1" s="124"/>
      <c r="CW1" s="124"/>
      <c r="CX1" s="124"/>
      <c r="CY1" s="124"/>
      <c r="CZ1" s="124"/>
      <c r="DA1" s="124"/>
      <c r="DB1" s="124"/>
      <c r="DC1" s="124"/>
      <c r="DD1" s="124"/>
      <c r="DE1" s="124"/>
      <c r="DF1" s="124"/>
      <c r="DG1" s="124"/>
      <c r="DH1" s="124"/>
      <c r="DI1" s="124"/>
      <c r="DJ1" s="124"/>
      <c r="DK1" s="124"/>
      <c r="DL1" s="124"/>
      <c r="DM1" s="124"/>
      <c r="DN1" s="124"/>
      <c r="DO1" s="124"/>
      <c r="DP1" s="124"/>
      <c r="DQ1" s="124"/>
      <c r="DR1" s="124"/>
      <c r="DS1" s="124"/>
      <c r="DT1" s="124"/>
      <c r="DU1" s="124"/>
      <c r="DV1" s="124"/>
      <c r="DW1" s="124"/>
      <c r="DX1" s="124"/>
      <c r="DY1" s="124"/>
      <c r="DZ1" s="124"/>
      <c r="EA1" s="124"/>
      <c r="EB1" s="124"/>
      <c r="EC1" s="124"/>
      <c r="ED1" s="124"/>
      <c r="EE1" s="124"/>
      <c r="EF1" s="124"/>
      <c r="EG1" s="124"/>
      <c r="EH1" s="124"/>
      <c r="EI1" s="124"/>
      <c r="EJ1" s="124"/>
      <c r="EK1" s="124"/>
      <c r="EL1" s="124"/>
      <c r="EM1" s="124"/>
      <c r="EN1" s="124"/>
      <c r="EO1" s="124"/>
      <c r="EP1" s="124"/>
      <c r="EQ1" s="124"/>
      <c r="ER1" s="124"/>
      <c r="ES1" s="124"/>
      <c r="ET1" s="124"/>
      <c r="EU1" s="124"/>
      <c r="EV1" s="124"/>
      <c r="EW1" s="124"/>
      <c r="EX1" s="124"/>
      <c r="EY1" s="124"/>
      <c r="EZ1" s="124"/>
      <c r="FA1" s="124"/>
      <c r="FB1" s="124"/>
      <c r="FC1" s="124"/>
      <c r="FD1" s="124"/>
      <c r="FE1" s="124"/>
      <c r="FF1" s="124"/>
      <c r="FG1" s="124"/>
      <c r="FH1" s="124"/>
      <c r="FI1" s="124"/>
      <c r="FJ1" s="124"/>
      <c r="FK1" s="124"/>
      <c r="FL1" s="124"/>
      <c r="FM1" s="124"/>
      <c r="FN1" s="124"/>
      <c r="FO1" s="124"/>
      <c r="FP1" s="124"/>
      <c r="FQ1" s="124"/>
      <c r="FR1" s="124"/>
      <c r="FS1" s="124"/>
      <c r="FT1" s="124"/>
      <c r="FU1" s="124"/>
      <c r="FV1" s="124"/>
      <c r="FW1" s="124"/>
      <c r="FX1" s="124"/>
      <c r="FY1" s="124"/>
      <c r="FZ1" s="124"/>
      <c r="GA1" s="124"/>
      <c r="GB1" s="124"/>
      <c r="GC1" s="124"/>
      <c r="GD1" s="124"/>
      <c r="GE1" s="124"/>
      <c r="GF1" s="124"/>
      <c r="GG1" s="124"/>
      <c r="GH1" s="124"/>
      <c r="GI1" s="124"/>
      <c r="GJ1" s="124"/>
      <c r="GK1" s="124"/>
      <c r="GL1" s="124"/>
      <c r="GM1" s="124"/>
      <c r="GN1" s="124"/>
      <c r="GO1" s="124"/>
      <c r="GP1" s="124"/>
      <c r="GQ1" s="124"/>
      <c r="GR1" s="124"/>
      <c r="GS1" s="124"/>
      <c r="GT1" s="124"/>
      <c r="GU1" s="124"/>
      <c r="GV1" s="124"/>
      <c r="GW1" s="124"/>
      <c r="GX1" s="124"/>
      <c r="GY1" s="124"/>
      <c r="GZ1" s="124"/>
      <c r="HA1" s="124"/>
      <c r="HB1" s="124"/>
      <c r="HC1" s="124"/>
      <c r="HD1" s="124"/>
      <c r="HE1" s="124"/>
      <c r="HF1" s="124"/>
      <c r="HG1" s="124"/>
      <c r="HH1" s="124"/>
      <c r="HI1" s="124"/>
      <c r="HJ1" s="124"/>
      <c r="HK1" s="124"/>
      <c r="HL1" s="124"/>
      <c r="HM1" s="124"/>
      <c r="HN1" s="124"/>
      <c r="HO1" s="124"/>
      <c r="HP1" s="124"/>
      <c r="HQ1" s="124"/>
      <c r="HR1" s="124"/>
      <c r="HS1" s="124"/>
      <c r="HT1" s="124"/>
      <c r="HU1" s="124"/>
      <c r="HV1" s="124"/>
      <c r="HW1" s="124"/>
      <c r="HX1" s="124"/>
      <c r="HY1" s="124"/>
      <c r="HZ1" s="124"/>
      <c r="IA1" s="124"/>
      <c r="IB1" s="124"/>
      <c r="IC1" s="124"/>
      <c r="ID1" s="124"/>
      <c r="IE1" s="124"/>
      <c r="IF1" s="124"/>
      <c r="IG1" s="124"/>
      <c r="IH1" s="124"/>
      <c r="II1" s="124"/>
      <c r="IJ1" s="124"/>
      <c r="IK1" s="124"/>
      <c r="IL1" s="124"/>
      <c r="IM1" s="124"/>
      <c r="IN1" s="124"/>
      <c r="IO1" s="124"/>
      <c r="IP1" s="124"/>
      <c r="IQ1" s="124"/>
      <c r="IR1" s="124"/>
      <c r="IS1" s="124"/>
      <c r="IT1" s="124"/>
      <c r="IU1" s="124"/>
      <c r="IV1" s="124"/>
    </row>
    <row r="2" spans="1:256" x14ac:dyDescent="0.3">
      <c r="B2" s="2072" t="s">
        <v>965</v>
      </c>
      <c r="C2" s="2072"/>
      <c r="D2" s="2072"/>
      <c r="E2" s="2072"/>
      <c r="F2" s="23"/>
      <c r="G2" s="23"/>
      <c r="H2" s="23"/>
      <c r="I2" s="23"/>
      <c r="J2" s="713"/>
      <c r="K2" s="23"/>
      <c r="L2" s="71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</row>
    <row r="3" spans="1:256" x14ac:dyDescent="0.3">
      <c r="B3" s="2072" t="s">
        <v>1146</v>
      </c>
      <c r="C3" s="2072"/>
      <c r="D3" s="2072"/>
      <c r="E3" s="2072"/>
      <c r="F3" s="23"/>
      <c r="G3" s="23"/>
      <c r="H3" s="23"/>
      <c r="I3" s="23"/>
      <c r="J3" s="713"/>
      <c r="K3" s="23"/>
      <c r="L3" s="71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  <c r="IH3" s="23"/>
      <c r="II3" s="23"/>
      <c r="IJ3" s="23"/>
      <c r="IK3" s="23"/>
      <c r="IL3" s="23"/>
      <c r="IM3" s="23"/>
      <c r="IN3" s="23"/>
      <c r="IO3" s="23"/>
      <c r="IP3" s="23"/>
      <c r="IQ3" s="23"/>
      <c r="IR3" s="23"/>
      <c r="IS3" s="23"/>
      <c r="IT3" s="23"/>
      <c r="IU3" s="23"/>
      <c r="IV3" s="23"/>
    </row>
    <row r="4" spans="1:256" s="796" customFormat="1" ht="15" x14ac:dyDescent="0.3">
      <c r="A4" s="2068"/>
      <c r="C4" s="2069" t="s">
        <v>966</v>
      </c>
      <c r="D4" s="2070"/>
      <c r="E4" s="2067" t="s">
        <v>0</v>
      </c>
      <c r="J4" s="292"/>
      <c r="L4" s="292"/>
    </row>
    <row r="5" spans="1:256" s="134" customFormat="1" ht="18" customHeight="1" thickBot="1" x14ac:dyDescent="0.25">
      <c r="A5" s="131"/>
      <c r="B5" s="131"/>
      <c r="C5" s="131"/>
      <c r="D5" s="133" t="s">
        <v>1</v>
      </c>
      <c r="E5" s="61" t="s">
        <v>3</v>
      </c>
      <c r="F5" s="131"/>
      <c r="G5" s="131"/>
      <c r="H5" s="131"/>
      <c r="I5" s="131"/>
      <c r="J5" s="61"/>
      <c r="K5" s="131"/>
      <c r="L5" s="6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1"/>
      <c r="AF5" s="131"/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131"/>
      <c r="AX5" s="131"/>
      <c r="AY5" s="131"/>
      <c r="AZ5" s="131"/>
      <c r="BA5" s="131"/>
      <c r="BB5" s="131"/>
      <c r="BC5" s="131"/>
      <c r="BD5" s="131"/>
      <c r="BE5" s="131"/>
      <c r="BF5" s="131"/>
      <c r="BG5" s="131"/>
      <c r="BH5" s="131"/>
      <c r="BI5" s="131"/>
      <c r="BJ5" s="131"/>
      <c r="BK5" s="131"/>
      <c r="BL5" s="131"/>
      <c r="BM5" s="131"/>
      <c r="BN5" s="131"/>
      <c r="BO5" s="131"/>
      <c r="BP5" s="131"/>
      <c r="BQ5" s="131"/>
      <c r="BR5" s="131"/>
      <c r="BS5" s="131"/>
      <c r="BT5" s="131"/>
      <c r="BU5" s="131"/>
      <c r="BV5" s="131"/>
      <c r="BW5" s="131"/>
      <c r="BX5" s="131"/>
      <c r="BY5" s="131"/>
      <c r="BZ5" s="131"/>
      <c r="CA5" s="131"/>
      <c r="CB5" s="131"/>
      <c r="CC5" s="131"/>
      <c r="CD5" s="131"/>
      <c r="CE5" s="131"/>
      <c r="CF5" s="131"/>
      <c r="CG5" s="131"/>
      <c r="CH5" s="131"/>
      <c r="CI5" s="131"/>
      <c r="CJ5" s="131"/>
      <c r="CK5" s="131"/>
      <c r="CL5" s="131"/>
      <c r="CM5" s="131"/>
      <c r="CN5" s="131"/>
      <c r="CO5" s="131"/>
      <c r="CP5" s="131"/>
      <c r="CQ5" s="131"/>
      <c r="CR5" s="131"/>
      <c r="CS5" s="131"/>
      <c r="CT5" s="131"/>
      <c r="CU5" s="131"/>
      <c r="CV5" s="131"/>
      <c r="CW5" s="131"/>
      <c r="CX5" s="131"/>
      <c r="CY5" s="131"/>
      <c r="CZ5" s="131"/>
      <c r="DA5" s="131"/>
      <c r="DB5" s="131"/>
      <c r="DC5" s="131"/>
      <c r="DD5" s="131"/>
      <c r="DE5" s="131"/>
      <c r="DF5" s="131"/>
      <c r="DG5" s="131"/>
      <c r="DH5" s="131"/>
      <c r="DI5" s="131"/>
      <c r="DJ5" s="131"/>
      <c r="DK5" s="131"/>
      <c r="DL5" s="131"/>
      <c r="DM5" s="131"/>
      <c r="DN5" s="131"/>
      <c r="DO5" s="131"/>
      <c r="DP5" s="131"/>
      <c r="DQ5" s="131"/>
      <c r="DR5" s="131"/>
      <c r="DS5" s="131"/>
      <c r="DT5" s="131"/>
      <c r="DU5" s="131"/>
      <c r="DV5" s="131"/>
      <c r="DW5" s="131"/>
      <c r="DX5" s="131"/>
      <c r="DY5" s="131"/>
      <c r="DZ5" s="131"/>
      <c r="EA5" s="131"/>
      <c r="EB5" s="131"/>
      <c r="EC5" s="131"/>
      <c r="ED5" s="131"/>
      <c r="EE5" s="131"/>
      <c r="EF5" s="131"/>
      <c r="EG5" s="131"/>
      <c r="EH5" s="131"/>
      <c r="EI5" s="131"/>
      <c r="EJ5" s="131"/>
      <c r="EK5" s="131"/>
      <c r="EL5" s="131"/>
      <c r="EM5" s="131"/>
      <c r="EN5" s="131"/>
      <c r="EO5" s="131"/>
      <c r="EP5" s="131"/>
      <c r="EQ5" s="131"/>
      <c r="ER5" s="131"/>
      <c r="ES5" s="131"/>
      <c r="ET5" s="131"/>
      <c r="EU5" s="131"/>
      <c r="EV5" s="131"/>
      <c r="EW5" s="131"/>
      <c r="EX5" s="131"/>
      <c r="EY5" s="131"/>
      <c r="EZ5" s="131"/>
      <c r="FA5" s="131"/>
      <c r="FB5" s="131"/>
      <c r="FC5" s="131"/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131"/>
      <c r="GB5" s="131"/>
      <c r="GC5" s="131"/>
      <c r="GD5" s="131"/>
      <c r="GE5" s="131"/>
      <c r="GF5" s="131"/>
      <c r="GG5" s="131"/>
      <c r="GH5" s="131"/>
      <c r="GI5" s="131"/>
      <c r="GJ5" s="131"/>
      <c r="GK5" s="131"/>
      <c r="GL5" s="131"/>
      <c r="GM5" s="131"/>
      <c r="GN5" s="131"/>
      <c r="GO5" s="131"/>
      <c r="GP5" s="131"/>
      <c r="GQ5" s="131"/>
      <c r="GR5" s="131"/>
      <c r="GS5" s="131"/>
      <c r="GT5" s="131"/>
      <c r="GU5" s="131"/>
      <c r="GV5" s="131"/>
      <c r="GW5" s="131"/>
      <c r="GX5" s="131"/>
      <c r="GY5" s="131"/>
      <c r="GZ5" s="131"/>
      <c r="HA5" s="131"/>
      <c r="HB5" s="131"/>
      <c r="HC5" s="131"/>
      <c r="HD5" s="131"/>
      <c r="HE5" s="131"/>
      <c r="HF5" s="131"/>
      <c r="HG5" s="131"/>
      <c r="HH5" s="131"/>
      <c r="HI5" s="131"/>
      <c r="HJ5" s="131"/>
      <c r="HK5" s="131"/>
      <c r="HL5" s="131"/>
      <c r="HM5" s="131"/>
      <c r="HN5" s="131"/>
      <c r="HO5" s="131"/>
      <c r="HP5" s="131"/>
      <c r="HQ5" s="131"/>
      <c r="HR5" s="131"/>
      <c r="HS5" s="131"/>
      <c r="HT5" s="131"/>
      <c r="HU5" s="131"/>
      <c r="HV5" s="131"/>
      <c r="HW5" s="131"/>
      <c r="HX5" s="131"/>
      <c r="HY5" s="131"/>
      <c r="HZ5" s="131"/>
      <c r="IA5" s="131"/>
      <c r="IB5" s="131"/>
      <c r="IC5" s="131"/>
      <c r="ID5" s="131"/>
      <c r="IE5" s="131"/>
      <c r="IF5" s="131"/>
      <c r="IG5" s="131"/>
      <c r="IH5" s="131"/>
      <c r="II5" s="131"/>
      <c r="IJ5" s="131"/>
      <c r="IK5" s="131"/>
      <c r="IL5" s="131"/>
      <c r="IM5" s="131"/>
      <c r="IN5" s="131"/>
      <c r="IO5" s="131"/>
      <c r="IP5" s="131"/>
      <c r="IQ5" s="131"/>
      <c r="IR5" s="131"/>
      <c r="IS5" s="131"/>
      <c r="IT5" s="131"/>
      <c r="IU5" s="131"/>
      <c r="IV5" s="131"/>
    </row>
    <row r="6" spans="1:256" ht="18" thickBot="1" x14ac:dyDescent="0.35">
      <c r="B6" s="1626"/>
      <c r="C6" s="1627"/>
      <c r="D6" s="1628" t="s">
        <v>6</v>
      </c>
      <c r="E6" s="1979" t="s">
        <v>129</v>
      </c>
      <c r="F6" s="1980"/>
      <c r="G6" s="1981"/>
      <c r="H6" s="1982"/>
      <c r="I6" s="1983"/>
      <c r="J6" s="1982"/>
      <c r="K6" s="1982"/>
      <c r="L6" s="1984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</row>
    <row r="7" spans="1:256" ht="24.95" customHeight="1" x14ac:dyDescent="0.35">
      <c r="A7" s="1624">
        <v>1</v>
      </c>
      <c r="B7" s="259" t="s">
        <v>256</v>
      </c>
      <c r="C7" s="1629"/>
      <c r="D7" s="1630" t="s">
        <v>967</v>
      </c>
    </row>
    <row r="8" spans="1:256" ht="24.95" customHeight="1" x14ac:dyDescent="0.35">
      <c r="A8" s="1624">
        <v>2</v>
      </c>
      <c r="B8" s="124"/>
      <c r="C8" s="1631" t="s">
        <v>130</v>
      </c>
      <c r="D8" s="1632" t="s">
        <v>968</v>
      </c>
      <c r="E8" s="1633"/>
      <c r="F8" s="124"/>
      <c r="G8" s="124"/>
      <c r="H8" s="124"/>
      <c r="I8" s="124"/>
      <c r="J8" s="1639"/>
      <c r="K8" s="124"/>
      <c r="L8" s="1639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  <c r="AN8" s="124"/>
      <c r="AO8" s="124"/>
      <c r="AP8" s="124"/>
      <c r="AQ8" s="124"/>
      <c r="AR8" s="124"/>
      <c r="AS8" s="124"/>
      <c r="AT8" s="124"/>
      <c r="AU8" s="124"/>
      <c r="AV8" s="124"/>
      <c r="AW8" s="124"/>
      <c r="AX8" s="124"/>
      <c r="AY8" s="124"/>
      <c r="AZ8" s="124"/>
      <c r="BA8" s="124"/>
      <c r="BB8" s="124"/>
      <c r="BC8" s="124"/>
      <c r="BD8" s="124"/>
      <c r="BE8" s="124"/>
      <c r="BF8" s="124"/>
      <c r="BG8" s="124"/>
      <c r="BH8" s="124"/>
      <c r="BI8" s="124"/>
      <c r="BJ8" s="124"/>
      <c r="BK8" s="124"/>
      <c r="BL8" s="124"/>
      <c r="BM8" s="124"/>
      <c r="BN8" s="124"/>
      <c r="BO8" s="124"/>
      <c r="BP8" s="124"/>
      <c r="BQ8" s="124"/>
      <c r="BR8" s="124"/>
      <c r="BS8" s="124"/>
      <c r="BT8" s="124"/>
      <c r="BU8" s="124"/>
      <c r="BV8" s="124"/>
      <c r="BW8" s="124"/>
      <c r="BX8" s="124"/>
      <c r="BY8" s="124"/>
      <c r="BZ8" s="124"/>
      <c r="CA8" s="124"/>
      <c r="CB8" s="124"/>
      <c r="CC8" s="124"/>
      <c r="CD8" s="124"/>
      <c r="CE8" s="124"/>
      <c r="CF8" s="124"/>
      <c r="CG8" s="124"/>
      <c r="CH8" s="124"/>
      <c r="CI8" s="124"/>
      <c r="CJ8" s="124"/>
      <c r="CK8" s="124"/>
      <c r="CL8" s="124"/>
      <c r="CM8" s="124"/>
      <c r="CN8" s="124"/>
      <c r="CO8" s="124"/>
      <c r="CP8" s="124"/>
      <c r="CQ8" s="124"/>
      <c r="CR8" s="124"/>
      <c r="CS8" s="124"/>
      <c r="CT8" s="124"/>
      <c r="CU8" s="124"/>
      <c r="CV8" s="124"/>
      <c r="CW8" s="124"/>
      <c r="CX8" s="124"/>
      <c r="CY8" s="124"/>
      <c r="CZ8" s="124"/>
      <c r="DA8" s="124"/>
      <c r="DB8" s="124"/>
      <c r="DC8" s="124"/>
      <c r="DD8" s="124"/>
      <c r="DE8" s="124"/>
      <c r="DF8" s="124"/>
      <c r="DG8" s="124"/>
      <c r="DH8" s="124"/>
      <c r="DI8" s="124"/>
      <c r="DJ8" s="124"/>
      <c r="DK8" s="124"/>
      <c r="DL8" s="124"/>
      <c r="DM8" s="124"/>
      <c r="DN8" s="124"/>
      <c r="DO8" s="124"/>
      <c r="DP8" s="124"/>
      <c r="DQ8" s="124"/>
      <c r="DR8" s="124"/>
      <c r="DS8" s="124"/>
      <c r="DT8" s="124"/>
      <c r="DU8" s="124"/>
      <c r="DV8" s="124"/>
      <c r="DW8" s="124"/>
      <c r="DX8" s="124"/>
      <c r="DY8" s="124"/>
      <c r="DZ8" s="124"/>
      <c r="EA8" s="124"/>
      <c r="EB8" s="124"/>
      <c r="EC8" s="124"/>
      <c r="ED8" s="124"/>
      <c r="EE8" s="124"/>
      <c r="EF8" s="124"/>
      <c r="EG8" s="124"/>
      <c r="EH8" s="124"/>
      <c r="EI8" s="124"/>
      <c r="EJ8" s="124"/>
      <c r="EK8" s="124"/>
      <c r="EL8" s="124"/>
      <c r="EM8" s="124"/>
      <c r="EN8" s="124"/>
      <c r="EO8" s="124"/>
      <c r="EP8" s="124"/>
      <c r="EQ8" s="124"/>
      <c r="ER8" s="124"/>
      <c r="ES8" s="124"/>
      <c r="ET8" s="124"/>
      <c r="EU8" s="124"/>
      <c r="EV8" s="124"/>
      <c r="EW8" s="124"/>
      <c r="EX8" s="124"/>
      <c r="EY8" s="124"/>
      <c r="EZ8" s="124"/>
      <c r="FA8" s="124"/>
      <c r="FB8" s="124"/>
      <c r="FC8" s="124"/>
      <c r="FD8" s="124"/>
      <c r="FE8" s="124"/>
      <c r="FF8" s="124"/>
      <c r="FG8" s="124"/>
      <c r="FH8" s="124"/>
      <c r="FI8" s="124"/>
      <c r="FJ8" s="124"/>
      <c r="FK8" s="124"/>
      <c r="FL8" s="124"/>
      <c r="FM8" s="124"/>
      <c r="FN8" s="124"/>
      <c r="FO8" s="124"/>
      <c r="FP8" s="124"/>
      <c r="FQ8" s="124"/>
      <c r="FR8" s="124"/>
      <c r="FS8" s="124"/>
      <c r="FT8" s="124"/>
      <c r="FU8" s="124"/>
      <c r="FV8" s="124"/>
      <c r="FW8" s="124"/>
      <c r="FX8" s="124"/>
      <c r="FY8" s="124"/>
      <c r="FZ8" s="124"/>
      <c r="GA8" s="124"/>
      <c r="GB8" s="124"/>
      <c r="GC8" s="124"/>
      <c r="GD8" s="124"/>
      <c r="GE8" s="124"/>
      <c r="GF8" s="124"/>
      <c r="GG8" s="124"/>
      <c r="GH8" s="124"/>
      <c r="GI8" s="124"/>
      <c r="GJ8" s="124"/>
      <c r="GK8" s="124"/>
      <c r="GL8" s="124"/>
      <c r="GM8" s="124"/>
      <c r="GN8" s="124"/>
      <c r="GO8" s="124"/>
      <c r="GP8" s="124"/>
      <c r="GQ8" s="124"/>
      <c r="GR8" s="124"/>
      <c r="GS8" s="124"/>
      <c r="GT8" s="124"/>
      <c r="GU8" s="124"/>
      <c r="GV8" s="124"/>
      <c r="GW8" s="124"/>
      <c r="GX8" s="124"/>
      <c r="GY8" s="124"/>
      <c r="GZ8" s="124"/>
      <c r="HA8" s="124"/>
      <c r="HB8" s="124"/>
      <c r="HC8" s="124"/>
      <c r="HD8" s="124"/>
      <c r="HE8" s="124"/>
      <c r="HF8" s="124"/>
      <c r="HG8" s="124"/>
      <c r="HH8" s="124"/>
      <c r="HI8" s="124"/>
      <c r="HJ8" s="124"/>
      <c r="HK8" s="124"/>
      <c r="HL8" s="124"/>
      <c r="HM8" s="124"/>
      <c r="HN8" s="124"/>
      <c r="HO8" s="124"/>
      <c r="HP8" s="124"/>
      <c r="HQ8" s="124"/>
      <c r="HR8" s="124"/>
      <c r="HS8" s="124"/>
      <c r="HT8" s="124"/>
      <c r="HU8" s="124"/>
      <c r="HV8" s="124"/>
      <c r="HW8" s="124"/>
      <c r="HX8" s="124"/>
      <c r="HY8" s="124"/>
      <c r="HZ8" s="124"/>
      <c r="IA8" s="124"/>
      <c r="IB8" s="124"/>
      <c r="IC8" s="124"/>
      <c r="ID8" s="124"/>
      <c r="IE8" s="124"/>
      <c r="IF8" s="124"/>
      <c r="IG8" s="124"/>
      <c r="IH8" s="124"/>
      <c r="II8" s="124"/>
      <c r="IJ8" s="124"/>
      <c r="IK8" s="124"/>
      <c r="IL8" s="124"/>
      <c r="IM8" s="124"/>
      <c r="IN8" s="124"/>
      <c r="IO8" s="124"/>
      <c r="IP8" s="124"/>
      <c r="IQ8" s="124"/>
      <c r="IR8" s="124"/>
      <c r="IS8" s="124"/>
      <c r="IT8" s="124"/>
      <c r="IU8" s="124"/>
      <c r="IV8" s="124"/>
    </row>
    <row r="9" spans="1:256" ht="18" customHeight="1" x14ac:dyDescent="0.3">
      <c r="A9" s="1624">
        <v>3</v>
      </c>
      <c r="D9" s="1634" t="s">
        <v>1210</v>
      </c>
      <c r="E9" s="72">
        <v>5342</v>
      </c>
      <c r="G9" s="1974"/>
    </row>
    <row r="10" spans="1:256" ht="18" customHeight="1" x14ac:dyDescent="0.3">
      <c r="A10" s="1624">
        <v>4</v>
      </c>
      <c r="D10" s="1634" t="s">
        <v>1211</v>
      </c>
      <c r="E10" s="72">
        <v>14671</v>
      </c>
      <c r="G10" s="1974"/>
    </row>
    <row r="11" spans="1:256" x14ac:dyDescent="0.3">
      <c r="A11" s="1624">
        <v>5</v>
      </c>
      <c r="D11" s="1641" t="s">
        <v>1212</v>
      </c>
      <c r="E11" s="1635">
        <v>317</v>
      </c>
      <c r="F11" s="126"/>
      <c r="G11" s="1975"/>
      <c r="H11" s="126"/>
      <c r="I11" s="126"/>
      <c r="J11" s="1640"/>
    </row>
    <row r="12" spans="1:256" ht="20.100000000000001" customHeight="1" x14ac:dyDescent="0.3">
      <c r="A12" s="1624">
        <v>6</v>
      </c>
      <c r="D12" s="1634" t="s">
        <v>1213</v>
      </c>
      <c r="E12" s="1635">
        <v>505</v>
      </c>
      <c r="F12" s="23"/>
      <c r="G12" s="1976"/>
      <c r="H12" s="23"/>
      <c r="I12" s="23"/>
    </row>
    <row r="13" spans="1:256" ht="20.100000000000001" customHeight="1" x14ac:dyDescent="0.3">
      <c r="A13" s="1624">
        <v>7</v>
      </c>
      <c r="D13" s="1634" t="s">
        <v>339</v>
      </c>
      <c r="E13" s="1636">
        <v>-73304</v>
      </c>
      <c r="F13" s="23"/>
      <c r="G13" s="1976"/>
    </row>
    <row r="14" spans="1:256" x14ac:dyDescent="0.3">
      <c r="A14" s="1624">
        <v>8</v>
      </c>
      <c r="D14" s="1647" t="s">
        <v>129</v>
      </c>
      <c r="E14" s="1637">
        <f>SUM(E9:E13)</f>
        <v>-52469</v>
      </c>
    </row>
    <row r="15" spans="1:256" ht="24.95" customHeight="1" x14ac:dyDescent="0.35">
      <c r="A15" s="1624">
        <v>9</v>
      </c>
      <c r="B15" s="124"/>
      <c r="C15" s="1631" t="s">
        <v>137</v>
      </c>
      <c r="D15" s="1638" t="s">
        <v>969</v>
      </c>
      <c r="E15" s="1633"/>
      <c r="F15" s="124"/>
      <c r="G15" s="124"/>
      <c r="H15" s="1641"/>
      <c r="I15" s="124"/>
      <c r="J15" s="1639"/>
      <c r="K15" s="124"/>
      <c r="L15" s="1639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  <c r="AL15" s="124"/>
      <c r="AM15" s="124"/>
      <c r="AN15" s="124"/>
      <c r="AO15" s="124"/>
      <c r="AP15" s="124"/>
      <c r="AQ15" s="124"/>
      <c r="AR15" s="124"/>
      <c r="AS15" s="124"/>
      <c r="AT15" s="124"/>
      <c r="AU15" s="124"/>
      <c r="AV15" s="124"/>
      <c r="AW15" s="124"/>
      <c r="AX15" s="124"/>
      <c r="AY15" s="124"/>
      <c r="AZ15" s="124"/>
      <c r="BA15" s="124"/>
      <c r="BB15" s="124"/>
      <c r="BC15" s="124"/>
      <c r="BD15" s="124"/>
      <c r="BE15" s="124"/>
      <c r="BF15" s="124"/>
      <c r="BG15" s="124"/>
      <c r="BH15" s="124"/>
      <c r="BI15" s="124"/>
      <c r="BJ15" s="124"/>
      <c r="BK15" s="124"/>
      <c r="BL15" s="124"/>
      <c r="BM15" s="124"/>
      <c r="BN15" s="124"/>
      <c r="BO15" s="124"/>
      <c r="BP15" s="124"/>
      <c r="BQ15" s="124"/>
      <c r="BR15" s="124"/>
      <c r="BS15" s="124"/>
      <c r="BT15" s="124"/>
      <c r="BU15" s="124"/>
      <c r="BV15" s="124"/>
      <c r="BW15" s="124"/>
      <c r="BX15" s="124"/>
      <c r="BY15" s="124"/>
      <c r="BZ15" s="124"/>
      <c r="CA15" s="124"/>
      <c r="CB15" s="124"/>
      <c r="CC15" s="124"/>
      <c r="CD15" s="124"/>
      <c r="CE15" s="124"/>
      <c r="CF15" s="124"/>
      <c r="CG15" s="124"/>
      <c r="CH15" s="124"/>
      <c r="CI15" s="124"/>
      <c r="CJ15" s="124"/>
      <c r="CK15" s="124"/>
      <c r="CL15" s="124"/>
      <c r="CM15" s="124"/>
      <c r="CN15" s="124"/>
      <c r="CO15" s="124"/>
      <c r="CP15" s="124"/>
      <c r="CQ15" s="124"/>
      <c r="CR15" s="124"/>
      <c r="CS15" s="124"/>
      <c r="CT15" s="124"/>
      <c r="CU15" s="124"/>
      <c r="CV15" s="124"/>
      <c r="CW15" s="124"/>
      <c r="CX15" s="124"/>
      <c r="CY15" s="124"/>
      <c r="CZ15" s="124"/>
      <c r="DA15" s="124"/>
      <c r="DB15" s="124"/>
      <c r="DC15" s="124"/>
      <c r="DD15" s="124"/>
      <c r="DE15" s="124"/>
      <c r="DF15" s="124"/>
      <c r="DG15" s="124"/>
      <c r="DH15" s="124"/>
      <c r="DI15" s="124"/>
      <c r="DJ15" s="124"/>
      <c r="DK15" s="124"/>
      <c r="DL15" s="124"/>
      <c r="DM15" s="124"/>
      <c r="DN15" s="124"/>
      <c r="DO15" s="124"/>
      <c r="DP15" s="124"/>
      <c r="DQ15" s="124"/>
      <c r="DR15" s="124"/>
      <c r="DS15" s="124"/>
      <c r="DT15" s="124"/>
      <c r="DU15" s="124"/>
      <c r="DV15" s="124"/>
      <c r="DW15" s="124"/>
      <c r="DX15" s="124"/>
      <c r="DY15" s="124"/>
      <c r="DZ15" s="124"/>
      <c r="EA15" s="124"/>
      <c r="EB15" s="124"/>
      <c r="EC15" s="124"/>
      <c r="ED15" s="124"/>
      <c r="EE15" s="124"/>
      <c r="EF15" s="124"/>
      <c r="EG15" s="124"/>
      <c r="EH15" s="124"/>
      <c r="EI15" s="124"/>
      <c r="EJ15" s="124"/>
      <c r="EK15" s="124"/>
      <c r="EL15" s="124"/>
      <c r="EM15" s="124"/>
      <c r="EN15" s="124"/>
      <c r="EO15" s="124"/>
      <c r="EP15" s="124"/>
      <c r="EQ15" s="124"/>
      <c r="ER15" s="124"/>
      <c r="ES15" s="124"/>
      <c r="ET15" s="124"/>
      <c r="EU15" s="124"/>
      <c r="EV15" s="124"/>
      <c r="EW15" s="124"/>
      <c r="EX15" s="124"/>
      <c r="EY15" s="124"/>
      <c r="EZ15" s="124"/>
      <c r="FA15" s="124"/>
      <c r="FB15" s="124"/>
      <c r="FC15" s="124"/>
      <c r="FD15" s="124"/>
      <c r="FE15" s="124"/>
      <c r="FF15" s="124"/>
      <c r="FG15" s="124"/>
      <c r="FH15" s="124"/>
      <c r="FI15" s="124"/>
      <c r="FJ15" s="124"/>
      <c r="FK15" s="124"/>
      <c r="FL15" s="124"/>
      <c r="FM15" s="124"/>
      <c r="FN15" s="124"/>
      <c r="FO15" s="124"/>
      <c r="FP15" s="124"/>
      <c r="FQ15" s="124"/>
      <c r="FR15" s="124"/>
      <c r="FS15" s="124"/>
      <c r="FT15" s="124"/>
      <c r="FU15" s="124"/>
      <c r="FV15" s="124"/>
      <c r="FW15" s="124"/>
      <c r="FX15" s="124"/>
      <c r="FY15" s="124"/>
      <c r="FZ15" s="124"/>
      <c r="GA15" s="124"/>
      <c r="GB15" s="124"/>
      <c r="GC15" s="124"/>
      <c r="GD15" s="124"/>
      <c r="GE15" s="124"/>
      <c r="GF15" s="124"/>
      <c r="GG15" s="124"/>
      <c r="GH15" s="124"/>
      <c r="GI15" s="124"/>
      <c r="GJ15" s="124"/>
      <c r="GK15" s="124"/>
      <c r="GL15" s="124"/>
      <c r="GM15" s="124"/>
      <c r="GN15" s="124"/>
      <c r="GO15" s="124"/>
      <c r="GP15" s="124"/>
      <c r="GQ15" s="124"/>
      <c r="GR15" s="124"/>
      <c r="GS15" s="124"/>
      <c r="GT15" s="124"/>
      <c r="GU15" s="124"/>
      <c r="GV15" s="124"/>
      <c r="GW15" s="124"/>
      <c r="GX15" s="124"/>
      <c r="GY15" s="124"/>
      <c r="GZ15" s="124"/>
      <c r="HA15" s="124"/>
      <c r="HB15" s="124"/>
      <c r="HC15" s="124"/>
      <c r="HD15" s="124"/>
      <c r="HE15" s="124"/>
      <c r="HF15" s="124"/>
      <c r="HG15" s="124"/>
      <c r="HH15" s="124"/>
      <c r="HI15" s="124"/>
      <c r="HJ15" s="124"/>
      <c r="HK15" s="124"/>
      <c r="HL15" s="124"/>
      <c r="HM15" s="124"/>
      <c r="HN15" s="124"/>
      <c r="HO15" s="124"/>
      <c r="HP15" s="124"/>
      <c r="HQ15" s="124"/>
      <c r="HR15" s="124"/>
      <c r="HS15" s="124"/>
      <c r="HT15" s="124"/>
      <c r="HU15" s="124"/>
      <c r="HV15" s="124"/>
      <c r="HW15" s="124"/>
      <c r="HX15" s="124"/>
      <c r="HY15" s="124"/>
      <c r="HZ15" s="124"/>
      <c r="IA15" s="124"/>
      <c r="IB15" s="124"/>
      <c r="IC15" s="124"/>
      <c r="ID15" s="124"/>
      <c r="IE15" s="124"/>
      <c r="IF15" s="124"/>
      <c r="IG15" s="124"/>
      <c r="IH15" s="124"/>
      <c r="II15" s="124"/>
      <c r="IJ15" s="124"/>
      <c r="IK15" s="124"/>
      <c r="IL15" s="124"/>
      <c r="IM15" s="124"/>
      <c r="IN15" s="124"/>
      <c r="IO15" s="124"/>
      <c r="IP15" s="124"/>
      <c r="IQ15" s="124"/>
      <c r="IR15" s="124"/>
      <c r="IS15" s="124"/>
      <c r="IT15" s="124"/>
      <c r="IU15" s="124"/>
      <c r="IV15" s="124"/>
    </row>
    <row r="16" spans="1:256" ht="33" x14ac:dyDescent="0.3">
      <c r="A16" s="1624">
        <v>10</v>
      </c>
      <c r="B16" s="124"/>
      <c r="C16" s="1631"/>
      <c r="D16" s="1697" t="s">
        <v>616</v>
      </c>
      <c r="E16" s="1636">
        <v>3632</v>
      </c>
      <c r="F16" s="124"/>
      <c r="G16" s="124"/>
      <c r="H16" s="124"/>
      <c r="I16" s="124"/>
      <c r="J16" s="1639"/>
      <c r="K16" s="124"/>
      <c r="L16" s="1639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  <c r="BE16" s="124"/>
      <c r="BF16" s="124"/>
      <c r="BG16" s="124"/>
      <c r="BH16" s="124"/>
      <c r="BI16" s="124"/>
      <c r="BJ16" s="124"/>
      <c r="BK16" s="124"/>
      <c r="BL16" s="124"/>
      <c r="BM16" s="124"/>
      <c r="BN16" s="124"/>
      <c r="BO16" s="124"/>
      <c r="BP16" s="124"/>
      <c r="BQ16" s="124"/>
      <c r="BR16" s="124"/>
      <c r="BS16" s="124"/>
      <c r="BT16" s="124"/>
      <c r="BU16" s="124"/>
      <c r="BV16" s="124"/>
      <c r="BW16" s="124"/>
      <c r="BX16" s="124"/>
      <c r="BY16" s="124"/>
      <c r="BZ16" s="124"/>
      <c r="CA16" s="124"/>
      <c r="CB16" s="124"/>
      <c r="CC16" s="124"/>
      <c r="CD16" s="124"/>
      <c r="CE16" s="124"/>
      <c r="CF16" s="124"/>
      <c r="CG16" s="124"/>
      <c r="CH16" s="124"/>
      <c r="CI16" s="124"/>
      <c r="CJ16" s="124"/>
      <c r="CK16" s="124"/>
      <c r="CL16" s="124"/>
      <c r="CM16" s="124"/>
      <c r="CN16" s="124"/>
      <c r="CO16" s="124"/>
      <c r="CP16" s="124"/>
      <c r="CQ16" s="124"/>
      <c r="CR16" s="124"/>
      <c r="CS16" s="124"/>
      <c r="CT16" s="124"/>
      <c r="CU16" s="124"/>
      <c r="CV16" s="124"/>
      <c r="CW16" s="124"/>
      <c r="CX16" s="124"/>
      <c r="CY16" s="124"/>
      <c r="CZ16" s="124"/>
      <c r="DA16" s="124"/>
      <c r="DB16" s="124"/>
      <c r="DC16" s="124"/>
      <c r="DD16" s="124"/>
      <c r="DE16" s="124"/>
      <c r="DF16" s="124"/>
      <c r="DG16" s="124"/>
      <c r="DH16" s="124"/>
      <c r="DI16" s="124"/>
      <c r="DJ16" s="124"/>
      <c r="DK16" s="124"/>
      <c r="DL16" s="124"/>
      <c r="DM16" s="124"/>
      <c r="DN16" s="124"/>
      <c r="DO16" s="124"/>
      <c r="DP16" s="124"/>
      <c r="DQ16" s="124"/>
      <c r="DR16" s="124"/>
      <c r="DS16" s="124"/>
      <c r="DT16" s="124"/>
      <c r="DU16" s="124"/>
      <c r="DV16" s="124"/>
      <c r="DW16" s="124"/>
      <c r="DX16" s="124"/>
      <c r="DY16" s="124"/>
      <c r="DZ16" s="124"/>
      <c r="EA16" s="124"/>
      <c r="EB16" s="124"/>
      <c r="EC16" s="124"/>
      <c r="ED16" s="124"/>
      <c r="EE16" s="124"/>
      <c r="EF16" s="124"/>
      <c r="EG16" s="124"/>
      <c r="EH16" s="124"/>
      <c r="EI16" s="124"/>
      <c r="EJ16" s="124"/>
      <c r="EK16" s="124"/>
      <c r="EL16" s="124"/>
      <c r="EM16" s="124"/>
      <c r="EN16" s="124"/>
      <c r="EO16" s="124"/>
      <c r="EP16" s="124"/>
      <c r="EQ16" s="124"/>
      <c r="ER16" s="124"/>
      <c r="ES16" s="124"/>
      <c r="ET16" s="124"/>
      <c r="EU16" s="124"/>
      <c r="EV16" s="124"/>
      <c r="EW16" s="124"/>
      <c r="EX16" s="124"/>
      <c r="EY16" s="124"/>
      <c r="EZ16" s="124"/>
      <c r="FA16" s="124"/>
      <c r="FB16" s="124"/>
      <c r="FC16" s="124"/>
      <c r="FD16" s="124"/>
      <c r="FE16" s="124"/>
      <c r="FF16" s="124"/>
      <c r="FG16" s="124"/>
      <c r="FH16" s="124"/>
      <c r="FI16" s="124"/>
      <c r="FJ16" s="124"/>
      <c r="FK16" s="124"/>
      <c r="FL16" s="124"/>
      <c r="FM16" s="124"/>
      <c r="FN16" s="124"/>
      <c r="FO16" s="124"/>
      <c r="FP16" s="124"/>
      <c r="FQ16" s="124"/>
      <c r="FR16" s="124"/>
      <c r="FS16" s="124"/>
      <c r="FT16" s="124"/>
      <c r="FU16" s="124"/>
      <c r="FV16" s="124"/>
      <c r="FW16" s="124"/>
      <c r="FX16" s="124"/>
      <c r="FY16" s="124"/>
      <c r="FZ16" s="124"/>
      <c r="GA16" s="124"/>
      <c r="GB16" s="124"/>
      <c r="GC16" s="124"/>
      <c r="GD16" s="124"/>
      <c r="GE16" s="124"/>
      <c r="GF16" s="124"/>
      <c r="GG16" s="124"/>
      <c r="GH16" s="124"/>
      <c r="GI16" s="124"/>
      <c r="GJ16" s="124"/>
      <c r="GK16" s="124"/>
      <c r="GL16" s="124"/>
      <c r="GM16" s="124"/>
      <c r="GN16" s="124"/>
      <c r="GO16" s="124"/>
      <c r="GP16" s="124"/>
      <c r="GQ16" s="124"/>
      <c r="GR16" s="124"/>
      <c r="GS16" s="124"/>
      <c r="GT16" s="124"/>
      <c r="GU16" s="124"/>
      <c r="GV16" s="124"/>
      <c r="GW16" s="124"/>
      <c r="GX16" s="124"/>
      <c r="GY16" s="124"/>
      <c r="GZ16" s="124"/>
      <c r="HA16" s="124"/>
      <c r="HB16" s="124"/>
      <c r="HC16" s="124"/>
      <c r="HD16" s="124"/>
      <c r="HE16" s="124"/>
      <c r="HF16" s="124"/>
      <c r="HG16" s="124"/>
      <c r="HH16" s="124"/>
      <c r="HI16" s="124"/>
      <c r="HJ16" s="124"/>
      <c r="HK16" s="124"/>
      <c r="HL16" s="124"/>
      <c r="HM16" s="124"/>
      <c r="HN16" s="124"/>
      <c r="HO16" s="124"/>
      <c r="HP16" s="124"/>
      <c r="HQ16" s="124"/>
      <c r="HR16" s="124"/>
      <c r="HS16" s="124"/>
      <c r="HT16" s="124"/>
      <c r="HU16" s="124"/>
      <c r="HV16" s="124"/>
      <c r="HW16" s="124"/>
      <c r="HX16" s="124"/>
      <c r="HY16" s="124"/>
      <c r="HZ16" s="124"/>
      <c r="IA16" s="124"/>
      <c r="IB16" s="124"/>
      <c r="IC16" s="124"/>
      <c r="ID16" s="124"/>
      <c r="IE16" s="124"/>
      <c r="IF16" s="124"/>
      <c r="IG16" s="124"/>
      <c r="IH16" s="124"/>
      <c r="II16" s="124"/>
      <c r="IJ16" s="124"/>
      <c r="IK16" s="124"/>
      <c r="IL16" s="124"/>
      <c r="IM16" s="124"/>
      <c r="IN16" s="124"/>
      <c r="IO16" s="124"/>
      <c r="IP16" s="124"/>
      <c r="IQ16" s="124"/>
      <c r="IR16" s="124"/>
      <c r="IS16" s="124"/>
      <c r="IT16" s="124"/>
      <c r="IU16" s="124"/>
      <c r="IV16" s="124"/>
    </row>
    <row r="17" spans="1:256" ht="17.25" x14ac:dyDescent="0.3">
      <c r="A17" s="1624">
        <v>11</v>
      </c>
      <c r="B17" s="126"/>
      <c r="D17" s="1647" t="s">
        <v>129</v>
      </c>
      <c r="E17" s="1642">
        <f>SUM(E16:E16)</f>
        <v>3632</v>
      </c>
      <c r="F17" s="1643"/>
      <c r="G17" s="1643"/>
      <c r="H17" s="1643"/>
      <c r="I17" s="126"/>
      <c r="J17" s="1640"/>
      <c r="K17" s="126"/>
      <c r="L17" s="1640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126"/>
      <c r="BO17" s="126"/>
      <c r="BP17" s="126"/>
      <c r="BQ17" s="126"/>
      <c r="BR17" s="126"/>
      <c r="BS17" s="126"/>
      <c r="BT17" s="126"/>
      <c r="BU17" s="126"/>
      <c r="BV17" s="126"/>
      <c r="BW17" s="126"/>
      <c r="BX17" s="126"/>
      <c r="BY17" s="126"/>
      <c r="BZ17" s="126"/>
      <c r="CA17" s="126"/>
      <c r="CB17" s="126"/>
      <c r="CC17" s="126"/>
      <c r="CD17" s="126"/>
      <c r="CE17" s="126"/>
      <c r="CF17" s="126"/>
      <c r="CG17" s="126"/>
      <c r="CH17" s="126"/>
      <c r="CI17" s="126"/>
      <c r="CJ17" s="126"/>
      <c r="CK17" s="126"/>
      <c r="CL17" s="126"/>
      <c r="CM17" s="126"/>
      <c r="CN17" s="126"/>
      <c r="CO17" s="126"/>
      <c r="CP17" s="126"/>
      <c r="CQ17" s="126"/>
      <c r="CR17" s="126"/>
      <c r="CS17" s="126"/>
      <c r="CT17" s="126"/>
      <c r="CU17" s="126"/>
      <c r="CV17" s="126"/>
      <c r="CW17" s="126"/>
      <c r="CX17" s="126"/>
      <c r="CY17" s="126"/>
      <c r="CZ17" s="126"/>
      <c r="DA17" s="126"/>
      <c r="DB17" s="126"/>
      <c r="DC17" s="126"/>
      <c r="DD17" s="126"/>
      <c r="DE17" s="126"/>
      <c r="DF17" s="126"/>
      <c r="DG17" s="126"/>
      <c r="DH17" s="126"/>
      <c r="DI17" s="126"/>
      <c r="DJ17" s="126"/>
      <c r="DK17" s="126"/>
      <c r="DL17" s="126"/>
      <c r="DM17" s="126"/>
      <c r="DN17" s="126"/>
      <c r="DO17" s="126"/>
      <c r="DP17" s="126"/>
      <c r="DQ17" s="126"/>
      <c r="DR17" s="126"/>
      <c r="DS17" s="126"/>
      <c r="DT17" s="126"/>
      <c r="DU17" s="126"/>
      <c r="DV17" s="126"/>
      <c r="DW17" s="126"/>
      <c r="DX17" s="126"/>
      <c r="DY17" s="126"/>
      <c r="DZ17" s="126"/>
      <c r="EA17" s="126"/>
      <c r="EB17" s="126"/>
      <c r="EC17" s="126"/>
      <c r="ED17" s="126"/>
      <c r="EE17" s="126"/>
      <c r="EF17" s="126"/>
      <c r="EG17" s="126"/>
      <c r="EH17" s="126"/>
      <c r="EI17" s="126"/>
      <c r="EJ17" s="126"/>
      <c r="EK17" s="126"/>
      <c r="EL17" s="126"/>
      <c r="EM17" s="126"/>
      <c r="EN17" s="126"/>
      <c r="EO17" s="126"/>
      <c r="EP17" s="126"/>
      <c r="EQ17" s="126"/>
      <c r="ER17" s="126"/>
      <c r="ES17" s="126"/>
      <c r="ET17" s="126"/>
      <c r="EU17" s="126"/>
      <c r="EV17" s="126"/>
      <c r="EW17" s="126"/>
      <c r="EX17" s="126"/>
      <c r="EY17" s="126"/>
      <c r="EZ17" s="126"/>
      <c r="FA17" s="126"/>
      <c r="FB17" s="126"/>
      <c r="FC17" s="126"/>
      <c r="FD17" s="126"/>
      <c r="FE17" s="126"/>
      <c r="FF17" s="126"/>
      <c r="FG17" s="126"/>
      <c r="FH17" s="126"/>
      <c r="FI17" s="126"/>
      <c r="FJ17" s="126"/>
      <c r="FK17" s="126"/>
      <c r="FL17" s="126"/>
      <c r="FM17" s="126"/>
      <c r="FN17" s="126"/>
      <c r="FO17" s="126"/>
      <c r="FP17" s="126"/>
      <c r="FQ17" s="126"/>
      <c r="FR17" s="126"/>
      <c r="FS17" s="126"/>
      <c r="FT17" s="126"/>
      <c r="FU17" s="126"/>
      <c r="FV17" s="126"/>
      <c r="FW17" s="126"/>
      <c r="FX17" s="126"/>
      <c r="FY17" s="126"/>
      <c r="FZ17" s="126"/>
      <c r="GA17" s="126"/>
      <c r="GB17" s="126"/>
      <c r="GC17" s="126"/>
      <c r="GD17" s="126"/>
      <c r="GE17" s="126"/>
      <c r="GF17" s="126"/>
      <c r="GG17" s="126"/>
      <c r="GH17" s="126"/>
      <c r="GI17" s="126"/>
      <c r="GJ17" s="126"/>
      <c r="GK17" s="126"/>
      <c r="GL17" s="126"/>
      <c r="GM17" s="126"/>
      <c r="GN17" s="126"/>
      <c r="GO17" s="126"/>
      <c r="GP17" s="126"/>
      <c r="GQ17" s="126"/>
      <c r="GR17" s="126"/>
      <c r="GS17" s="126"/>
      <c r="GT17" s="126"/>
      <c r="GU17" s="126"/>
      <c r="GV17" s="126"/>
      <c r="GW17" s="126"/>
      <c r="GX17" s="126"/>
      <c r="GY17" s="126"/>
      <c r="GZ17" s="126"/>
      <c r="HA17" s="126"/>
      <c r="HB17" s="126"/>
      <c r="HC17" s="126"/>
      <c r="HD17" s="126"/>
      <c r="HE17" s="126"/>
      <c r="HF17" s="126"/>
      <c r="HG17" s="126"/>
      <c r="HH17" s="126"/>
      <c r="HI17" s="126"/>
      <c r="HJ17" s="126"/>
      <c r="HK17" s="126"/>
      <c r="HL17" s="126"/>
      <c r="HM17" s="126"/>
      <c r="HN17" s="126"/>
      <c r="HO17" s="126"/>
      <c r="HP17" s="126"/>
      <c r="HQ17" s="126"/>
      <c r="HR17" s="126"/>
      <c r="HS17" s="126"/>
      <c r="HT17" s="126"/>
      <c r="HU17" s="126"/>
      <c r="HV17" s="126"/>
      <c r="HW17" s="126"/>
      <c r="HX17" s="126"/>
      <c r="HY17" s="126"/>
      <c r="HZ17" s="126"/>
      <c r="IA17" s="126"/>
      <c r="IB17" s="126"/>
      <c r="IC17" s="126"/>
      <c r="ID17" s="126"/>
      <c r="IE17" s="126"/>
      <c r="IF17" s="126"/>
      <c r="IG17" s="126"/>
      <c r="IH17" s="126"/>
      <c r="II17" s="126"/>
      <c r="IJ17" s="126"/>
      <c r="IK17" s="126"/>
      <c r="IL17" s="126"/>
      <c r="IM17" s="126"/>
      <c r="IN17" s="126"/>
      <c r="IO17" s="126"/>
      <c r="IP17" s="126"/>
      <c r="IQ17" s="126"/>
      <c r="IR17" s="126"/>
      <c r="IS17" s="126"/>
      <c r="IT17" s="126"/>
      <c r="IU17" s="126"/>
      <c r="IV17" s="126"/>
    </row>
    <row r="18" spans="1:256" ht="24.95" customHeight="1" x14ac:dyDescent="0.35">
      <c r="A18" s="1624">
        <v>12</v>
      </c>
      <c r="B18" s="124"/>
      <c r="C18" s="1631" t="s">
        <v>138</v>
      </c>
      <c r="D18" s="1638" t="s">
        <v>970</v>
      </c>
      <c r="E18" s="1633"/>
      <c r="F18" s="124"/>
      <c r="G18" s="124"/>
      <c r="H18" s="124"/>
      <c r="I18" s="124"/>
      <c r="J18" s="1639"/>
      <c r="K18" s="124"/>
      <c r="L18" s="1639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124"/>
      <c r="BN18" s="124"/>
      <c r="BO18" s="124"/>
      <c r="BP18" s="124"/>
      <c r="BQ18" s="124"/>
      <c r="BR18" s="124"/>
      <c r="BS18" s="124"/>
      <c r="BT18" s="124"/>
      <c r="BU18" s="124"/>
      <c r="BV18" s="124"/>
      <c r="BW18" s="124"/>
      <c r="BX18" s="124"/>
      <c r="BY18" s="124"/>
      <c r="BZ18" s="124"/>
      <c r="CA18" s="124"/>
      <c r="CB18" s="124"/>
      <c r="CC18" s="124"/>
      <c r="CD18" s="124"/>
      <c r="CE18" s="124"/>
      <c r="CF18" s="124"/>
      <c r="CG18" s="124"/>
      <c r="CH18" s="124"/>
      <c r="CI18" s="124"/>
      <c r="CJ18" s="124"/>
      <c r="CK18" s="124"/>
      <c r="CL18" s="124"/>
      <c r="CM18" s="124"/>
      <c r="CN18" s="124"/>
      <c r="CO18" s="124"/>
      <c r="CP18" s="124"/>
      <c r="CQ18" s="124"/>
      <c r="CR18" s="124"/>
      <c r="CS18" s="124"/>
      <c r="CT18" s="124"/>
      <c r="CU18" s="124"/>
      <c r="CV18" s="124"/>
      <c r="CW18" s="124"/>
      <c r="CX18" s="124"/>
      <c r="CY18" s="124"/>
      <c r="CZ18" s="124"/>
      <c r="DA18" s="124"/>
      <c r="DB18" s="124"/>
      <c r="DC18" s="124"/>
      <c r="DD18" s="124"/>
      <c r="DE18" s="124"/>
      <c r="DF18" s="124"/>
      <c r="DG18" s="124"/>
      <c r="DH18" s="124"/>
      <c r="DI18" s="124"/>
      <c r="DJ18" s="124"/>
      <c r="DK18" s="124"/>
      <c r="DL18" s="124"/>
      <c r="DM18" s="124"/>
      <c r="DN18" s="124"/>
      <c r="DO18" s="124"/>
      <c r="DP18" s="124"/>
      <c r="DQ18" s="124"/>
      <c r="DR18" s="124"/>
      <c r="DS18" s="124"/>
      <c r="DT18" s="124"/>
      <c r="DU18" s="124"/>
      <c r="DV18" s="124"/>
      <c r="DW18" s="124"/>
      <c r="DX18" s="124"/>
      <c r="DY18" s="124"/>
      <c r="DZ18" s="124"/>
      <c r="EA18" s="124"/>
      <c r="EB18" s="124"/>
      <c r="EC18" s="124"/>
      <c r="ED18" s="124"/>
      <c r="EE18" s="124"/>
      <c r="EF18" s="124"/>
      <c r="EG18" s="124"/>
      <c r="EH18" s="124"/>
      <c r="EI18" s="124"/>
      <c r="EJ18" s="124"/>
      <c r="EK18" s="124"/>
      <c r="EL18" s="124"/>
      <c r="EM18" s="124"/>
      <c r="EN18" s="124"/>
      <c r="EO18" s="124"/>
      <c r="EP18" s="124"/>
      <c r="EQ18" s="124"/>
      <c r="ER18" s="124"/>
      <c r="ES18" s="124"/>
      <c r="ET18" s="124"/>
      <c r="EU18" s="124"/>
      <c r="EV18" s="124"/>
      <c r="EW18" s="124"/>
      <c r="EX18" s="124"/>
      <c r="EY18" s="124"/>
      <c r="EZ18" s="124"/>
      <c r="FA18" s="124"/>
      <c r="FB18" s="124"/>
      <c r="FC18" s="124"/>
      <c r="FD18" s="124"/>
      <c r="FE18" s="124"/>
      <c r="FF18" s="124"/>
      <c r="FG18" s="124"/>
      <c r="FH18" s="124"/>
      <c r="FI18" s="124"/>
      <c r="FJ18" s="124"/>
      <c r="FK18" s="124"/>
      <c r="FL18" s="124"/>
      <c r="FM18" s="124"/>
      <c r="FN18" s="124"/>
      <c r="FO18" s="124"/>
      <c r="FP18" s="124"/>
      <c r="FQ18" s="124"/>
      <c r="FR18" s="124"/>
      <c r="FS18" s="124"/>
      <c r="FT18" s="124"/>
      <c r="FU18" s="124"/>
      <c r="FV18" s="124"/>
      <c r="FW18" s="124"/>
      <c r="FX18" s="124"/>
      <c r="FY18" s="124"/>
      <c r="FZ18" s="124"/>
      <c r="GA18" s="124"/>
      <c r="GB18" s="124"/>
      <c r="GC18" s="124"/>
      <c r="GD18" s="124"/>
      <c r="GE18" s="124"/>
      <c r="GF18" s="124"/>
      <c r="GG18" s="124"/>
      <c r="GH18" s="124"/>
      <c r="GI18" s="124"/>
      <c r="GJ18" s="124"/>
      <c r="GK18" s="124"/>
      <c r="GL18" s="124"/>
      <c r="GM18" s="124"/>
      <c r="GN18" s="124"/>
      <c r="GO18" s="124"/>
      <c r="GP18" s="124"/>
      <c r="GQ18" s="124"/>
      <c r="GR18" s="124"/>
      <c r="GS18" s="124"/>
      <c r="GT18" s="124"/>
      <c r="GU18" s="124"/>
      <c r="GV18" s="124"/>
      <c r="GW18" s="124"/>
      <c r="GX18" s="124"/>
      <c r="GY18" s="124"/>
      <c r="GZ18" s="124"/>
      <c r="HA18" s="124"/>
      <c r="HB18" s="124"/>
      <c r="HC18" s="124"/>
      <c r="HD18" s="124"/>
      <c r="HE18" s="124"/>
      <c r="HF18" s="124"/>
      <c r="HG18" s="124"/>
      <c r="HH18" s="124"/>
      <c r="HI18" s="124"/>
      <c r="HJ18" s="124"/>
      <c r="HK18" s="124"/>
      <c r="HL18" s="124"/>
      <c r="HM18" s="124"/>
      <c r="HN18" s="124"/>
      <c r="HO18" s="124"/>
      <c r="HP18" s="124"/>
      <c r="HQ18" s="124"/>
      <c r="HR18" s="124"/>
      <c r="HS18" s="124"/>
      <c r="HT18" s="124"/>
      <c r="HU18" s="124"/>
      <c r="HV18" s="124"/>
      <c r="HW18" s="124"/>
      <c r="HX18" s="124"/>
      <c r="HY18" s="124"/>
      <c r="HZ18" s="124"/>
      <c r="IA18" s="124"/>
      <c r="IB18" s="124"/>
      <c r="IC18" s="124"/>
      <c r="ID18" s="124"/>
      <c r="IE18" s="124"/>
      <c r="IF18" s="124"/>
      <c r="IG18" s="124"/>
      <c r="IH18" s="124"/>
      <c r="II18" s="124"/>
      <c r="IJ18" s="124"/>
      <c r="IK18" s="124"/>
      <c r="IL18" s="124"/>
      <c r="IM18" s="124"/>
      <c r="IN18" s="124"/>
      <c r="IO18" s="124"/>
      <c r="IP18" s="124"/>
      <c r="IQ18" s="124"/>
      <c r="IR18" s="124"/>
      <c r="IS18" s="124"/>
      <c r="IT18" s="124"/>
      <c r="IU18" s="124"/>
      <c r="IV18" s="124"/>
    </row>
    <row r="19" spans="1:256" ht="18" customHeight="1" x14ac:dyDescent="0.3">
      <c r="A19" s="1624">
        <v>13</v>
      </c>
      <c r="B19" s="124"/>
      <c r="C19" s="1631"/>
      <c r="D19" s="2018" t="s">
        <v>528</v>
      </c>
      <c r="E19" s="1640"/>
      <c r="F19" s="124"/>
      <c r="G19" s="124"/>
      <c r="H19" s="124"/>
      <c r="I19" s="124"/>
      <c r="J19" s="1639"/>
      <c r="K19" s="124"/>
      <c r="L19" s="1639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124"/>
      <c r="AX19" s="124"/>
      <c r="AY19" s="124"/>
      <c r="AZ19" s="124"/>
      <c r="BA19" s="124"/>
      <c r="BB19" s="124"/>
      <c r="BC19" s="124"/>
      <c r="BD19" s="124"/>
      <c r="BE19" s="124"/>
      <c r="BF19" s="124"/>
      <c r="BG19" s="124"/>
      <c r="BH19" s="124"/>
      <c r="BI19" s="124"/>
      <c r="BJ19" s="124"/>
      <c r="BK19" s="124"/>
      <c r="BL19" s="124"/>
      <c r="BM19" s="124"/>
      <c r="BN19" s="124"/>
      <c r="BO19" s="124"/>
      <c r="BP19" s="124"/>
      <c r="BQ19" s="124"/>
      <c r="BR19" s="124"/>
      <c r="BS19" s="124"/>
      <c r="BT19" s="124"/>
      <c r="BU19" s="124"/>
      <c r="BV19" s="124"/>
      <c r="BW19" s="124"/>
      <c r="BX19" s="124"/>
      <c r="BY19" s="124"/>
      <c r="BZ19" s="124"/>
      <c r="CA19" s="124"/>
      <c r="CB19" s="124"/>
      <c r="CC19" s="124"/>
      <c r="CD19" s="124"/>
      <c r="CE19" s="124"/>
      <c r="CF19" s="124"/>
      <c r="CG19" s="124"/>
      <c r="CH19" s="124"/>
      <c r="CI19" s="124"/>
      <c r="CJ19" s="124"/>
      <c r="CK19" s="124"/>
      <c r="CL19" s="124"/>
      <c r="CM19" s="124"/>
      <c r="CN19" s="124"/>
      <c r="CO19" s="124"/>
      <c r="CP19" s="124"/>
      <c r="CQ19" s="124"/>
      <c r="CR19" s="124"/>
      <c r="CS19" s="124"/>
      <c r="CT19" s="124"/>
      <c r="CU19" s="124"/>
      <c r="CV19" s="124"/>
      <c r="CW19" s="124"/>
      <c r="CX19" s="124"/>
      <c r="CY19" s="124"/>
      <c r="CZ19" s="124"/>
      <c r="DA19" s="124"/>
      <c r="DB19" s="124"/>
      <c r="DC19" s="124"/>
      <c r="DD19" s="124"/>
      <c r="DE19" s="124"/>
      <c r="DF19" s="124"/>
      <c r="DG19" s="124"/>
      <c r="DH19" s="124"/>
      <c r="DI19" s="124"/>
      <c r="DJ19" s="124"/>
      <c r="DK19" s="124"/>
      <c r="DL19" s="124"/>
      <c r="DM19" s="124"/>
      <c r="DN19" s="124"/>
      <c r="DO19" s="124"/>
      <c r="DP19" s="124"/>
      <c r="DQ19" s="124"/>
      <c r="DR19" s="124"/>
      <c r="DS19" s="124"/>
      <c r="DT19" s="124"/>
      <c r="DU19" s="124"/>
      <c r="DV19" s="124"/>
      <c r="DW19" s="124"/>
      <c r="DX19" s="124"/>
      <c r="DY19" s="124"/>
      <c r="DZ19" s="124"/>
      <c r="EA19" s="124"/>
      <c r="EB19" s="124"/>
      <c r="EC19" s="124"/>
      <c r="ED19" s="124"/>
      <c r="EE19" s="124"/>
      <c r="EF19" s="124"/>
      <c r="EG19" s="124"/>
      <c r="EH19" s="124"/>
      <c r="EI19" s="124"/>
      <c r="EJ19" s="124"/>
      <c r="EK19" s="124"/>
      <c r="EL19" s="124"/>
      <c r="EM19" s="124"/>
      <c r="EN19" s="124"/>
      <c r="EO19" s="124"/>
      <c r="EP19" s="124"/>
      <c r="EQ19" s="124"/>
      <c r="ER19" s="124"/>
      <c r="ES19" s="124"/>
      <c r="ET19" s="124"/>
      <c r="EU19" s="124"/>
      <c r="EV19" s="124"/>
      <c r="EW19" s="124"/>
      <c r="EX19" s="124"/>
      <c r="EY19" s="124"/>
      <c r="EZ19" s="124"/>
      <c r="FA19" s="124"/>
      <c r="FB19" s="124"/>
      <c r="FC19" s="124"/>
      <c r="FD19" s="124"/>
      <c r="FE19" s="124"/>
      <c r="FF19" s="124"/>
      <c r="FG19" s="124"/>
      <c r="FH19" s="124"/>
      <c r="FI19" s="124"/>
      <c r="FJ19" s="124"/>
      <c r="FK19" s="124"/>
      <c r="FL19" s="124"/>
      <c r="FM19" s="124"/>
      <c r="FN19" s="124"/>
      <c r="FO19" s="124"/>
      <c r="FP19" s="124"/>
      <c r="FQ19" s="124"/>
      <c r="FR19" s="124"/>
      <c r="FS19" s="124"/>
      <c r="FT19" s="124"/>
      <c r="FU19" s="124"/>
      <c r="FV19" s="124"/>
      <c r="FW19" s="124"/>
      <c r="FX19" s="124"/>
      <c r="FY19" s="124"/>
      <c r="FZ19" s="124"/>
      <c r="GA19" s="124"/>
      <c r="GB19" s="124"/>
      <c r="GC19" s="124"/>
      <c r="GD19" s="124"/>
      <c r="GE19" s="124"/>
      <c r="GF19" s="124"/>
      <c r="GG19" s="124"/>
      <c r="GH19" s="124"/>
      <c r="GI19" s="124"/>
      <c r="GJ19" s="124"/>
      <c r="GK19" s="124"/>
      <c r="GL19" s="124"/>
      <c r="GM19" s="124"/>
      <c r="GN19" s="124"/>
      <c r="GO19" s="124"/>
      <c r="GP19" s="124"/>
      <c r="GQ19" s="124"/>
      <c r="GR19" s="124"/>
      <c r="GS19" s="124"/>
      <c r="GT19" s="124"/>
      <c r="GU19" s="124"/>
      <c r="GV19" s="124"/>
      <c r="GW19" s="124"/>
      <c r="GX19" s="124"/>
      <c r="GY19" s="124"/>
      <c r="GZ19" s="124"/>
      <c r="HA19" s="124"/>
      <c r="HB19" s="124"/>
      <c r="HC19" s="124"/>
      <c r="HD19" s="124"/>
      <c r="HE19" s="124"/>
      <c r="HF19" s="124"/>
      <c r="HG19" s="124"/>
      <c r="HH19" s="124"/>
      <c r="HI19" s="124"/>
      <c r="HJ19" s="124"/>
      <c r="HK19" s="124"/>
      <c r="HL19" s="124"/>
      <c r="HM19" s="124"/>
      <c r="HN19" s="124"/>
      <c r="HO19" s="124"/>
      <c r="HP19" s="124"/>
      <c r="HQ19" s="124"/>
      <c r="HR19" s="124"/>
      <c r="HS19" s="124"/>
      <c r="HT19" s="124"/>
      <c r="HU19" s="124"/>
      <c r="HV19" s="124"/>
      <c r="HW19" s="124"/>
      <c r="HX19" s="124"/>
      <c r="HY19" s="124"/>
      <c r="HZ19" s="124"/>
      <c r="IA19" s="124"/>
      <c r="IB19" s="124"/>
      <c r="IC19" s="124"/>
      <c r="ID19" s="124"/>
      <c r="IE19" s="124"/>
      <c r="IF19" s="124"/>
      <c r="IG19" s="124"/>
      <c r="IH19" s="124"/>
      <c r="II19" s="124"/>
      <c r="IJ19" s="124"/>
      <c r="IK19" s="124"/>
      <c r="IL19" s="124"/>
      <c r="IM19" s="124"/>
      <c r="IN19" s="124"/>
      <c r="IO19" s="124"/>
      <c r="IP19" s="124"/>
      <c r="IQ19" s="124"/>
      <c r="IR19" s="124"/>
      <c r="IS19" s="124"/>
      <c r="IT19" s="124"/>
      <c r="IU19" s="124"/>
      <c r="IV19" s="124"/>
    </row>
    <row r="20" spans="1:256" ht="18" customHeight="1" x14ac:dyDescent="0.3">
      <c r="A20" s="1624">
        <v>14</v>
      </c>
      <c r="B20" s="124"/>
      <c r="C20" s="1631"/>
      <c r="D20" s="1641" t="s">
        <v>1269</v>
      </c>
      <c r="E20" s="1640">
        <v>4642</v>
      </c>
      <c r="F20" s="124"/>
      <c r="G20" s="124"/>
      <c r="H20" s="124"/>
      <c r="I20" s="124"/>
      <c r="J20" s="1639"/>
      <c r="K20" s="124"/>
      <c r="L20" s="1639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124"/>
      <c r="AV20" s="124"/>
      <c r="AW20" s="124"/>
      <c r="AX20" s="124"/>
      <c r="AY20" s="124"/>
      <c r="AZ20" s="124"/>
      <c r="BA20" s="124"/>
      <c r="BB20" s="124"/>
      <c r="BC20" s="124"/>
      <c r="BD20" s="124"/>
      <c r="BE20" s="124"/>
      <c r="BF20" s="124"/>
      <c r="BG20" s="124"/>
      <c r="BH20" s="124"/>
      <c r="BI20" s="124"/>
      <c r="BJ20" s="124"/>
      <c r="BK20" s="124"/>
      <c r="BL20" s="124"/>
      <c r="BM20" s="124"/>
      <c r="BN20" s="124"/>
      <c r="BO20" s="124"/>
      <c r="BP20" s="124"/>
      <c r="BQ20" s="124"/>
      <c r="BR20" s="124"/>
      <c r="BS20" s="124"/>
      <c r="BT20" s="124"/>
      <c r="BU20" s="124"/>
      <c r="BV20" s="124"/>
      <c r="BW20" s="124"/>
      <c r="BX20" s="124"/>
      <c r="BY20" s="124"/>
      <c r="BZ20" s="124"/>
      <c r="CA20" s="124"/>
      <c r="CB20" s="124"/>
      <c r="CC20" s="124"/>
      <c r="CD20" s="124"/>
      <c r="CE20" s="124"/>
      <c r="CF20" s="124"/>
      <c r="CG20" s="124"/>
      <c r="CH20" s="124"/>
      <c r="CI20" s="124"/>
      <c r="CJ20" s="124"/>
      <c r="CK20" s="124"/>
      <c r="CL20" s="124"/>
      <c r="CM20" s="124"/>
      <c r="CN20" s="124"/>
      <c r="CO20" s="124"/>
      <c r="CP20" s="124"/>
      <c r="CQ20" s="124"/>
      <c r="CR20" s="124"/>
      <c r="CS20" s="124"/>
      <c r="CT20" s="124"/>
      <c r="CU20" s="124"/>
      <c r="CV20" s="124"/>
      <c r="CW20" s="124"/>
      <c r="CX20" s="124"/>
      <c r="CY20" s="124"/>
      <c r="CZ20" s="124"/>
      <c r="DA20" s="124"/>
      <c r="DB20" s="124"/>
      <c r="DC20" s="124"/>
      <c r="DD20" s="124"/>
      <c r="DE20" s="124"/>
      <c r="DF20" s="124"/>
      <c r="DG20" s="124"/>
      <c r="DH20" s="124"/>
      <c r="DI20" s="124"/>
      <c r="DJ20" s="124"/>
      <c r="DK20" s="124"/>
      <c r="DL20" s="124"/>
      <c r="DM20" s="124"/>
      <c r="DN20" s="124"/>
      <c r="DO20" s="124"/>
      <c r="DP20" s="124"/>
      <c r="DQ20" s="124"/>
      <c r="DR20" s="124"/>
      <c r="DS20" s="124"/>
      <c r="DT20" s="124"/>
      <c r="DU20" s="124"/>
      <c r="DV20" s="124"/>
      <c r="DW20" s="124"/>
      <c r="DX20" s="124"/>
      <c r="DY20" s="124"/>
      <c r="DZ20" s="124"/>
      <c r="EA20" s="124"/>
      <c r="EB20" s="124"/>
      <c r="EC20" s="124"/>
      <c r="ED20" s="124"/>
      <c r="EE20" s="124"/>
      <c r="EF20" s="124"/>
      <c r="EG20" s="124"/>
      <c r="EH20" s="124"/>
      <c r="EI20" s="124"/>
      <c r="EJ20" s="124"/>
      <c r="EK20" s="124"/>
      <c r="EL20" s="124"/>
      <c r="EM20" s="124"/>
      <c r="EN20" s="124"/>
      <c r="EO20" s="124"/>
      <c r="EP20" s="124"/>
      <c r="EQ20" s="124"/>
      <c r="ER20" s="124"/>
      <c r="ES20" s="124"/>
      <c r="ET20" s="124"/>
      <c r="EU20" s="124"/>
      <c r="EV20" s="124"/>
      <c r="EW20" s="124"/>
      <c r="EX20" s="124"/>
      <c r="EY20" s="124"/>
      <c r="EZ20" s="124"/>
      <c r="FA20" s="124"/>
      <c r="FB20" s="124"/>
      <c r="FC20" s="124"/>
      <c r="FD20" s="124"/>
      <c r="FE20" s="124"/>
      <c r="FF20" s="124"/>
      <c r="FG20" s="124"/>
      <c r="FH20" s="124"/>
      <c r="FI20" s="124"/>
      <c r="FJ20" s="124"/>
      <c r="FK20" s="124"/>
      <c r="FL20" s="124"/>
      <c r="FM20" s="124"/>
      <c r="FN20" s="124"/>
      <c r="FO20" s="124"/>
      <c r="FP20" s="124"/>
      <c r="FQ20" s="124"/>
      <c r="FR20" s="124"/>
      <c r="FS20" s="124"/>
      <c r="FT20" s="124"/>
      <c r="FU20" s="124"/>
      <c r="FV20" s="124"/>
      <c r="FW20" s="124"/>
      <c r="FX20" s="124"/>
      <c r="FY20" s="124"/>
      <c r="FZ20" s="124"/>
      <c r="GA20" s="124"/>
      <c r="GB20" s="124"/>
      <c r="GC20" s="124"/>
      <c r="GD20" s="124"/>
      <c r="GE20" s="124"/>
      <c r="GF20" s="124"/>
      <c r="GG20" s="124"/>
      <c r="GH20" s="124"/>
      <c r="GI20" s="124"/>
      <c r="GJ20" s="124"/>
      <c r="GK20" s="124"/>
      <c r="GL20" s="124"/>
      <c r="GM20" s="124"/>
      <c r="GN20" s="124"/>
      <c r="GO20" s="124"/>
      <c r="GP20" s="124"/>
      <c r="GQ20" s="124"/>
      <c r="GR20" s="124"/>
      <c r="GS20" s="124"/>
      <c r="GT20" s="124"/>
      <c r="GU20" s="124"/>
      <c r="GV20" s="124"/>
      <c r="GW20" s="124"/>
      <c r="GX20" s="124"/>
      <c r="GY20" s="124"/>
      <c r="GZ20" s="124"/>
      <c r="HA20" s="124"/>
      <c r="HB20" s="124"/>
      <c r="HC20" s="124"/>
      <c r="HD20" s="124"/>
      <c r="HE20" s="124"/>
      <c r="HF20" s="124"/>
      <c r="HG20" s="124"/>
      <c r="HH20" s="124"/>
      <c r="HI20" s="124"/>
      <c r="HJ20" s="124"/>
      <c r="HK20" s="124"/>
      <c r="HL20" s="124"/>
      <c r="HM20" s="124"/>
      <c r="HN20" s="124"/>
      <c r="HO20" s="124"/>
      <c r="HP20" s="124"/>
      <c r="HQ20" s="124"/>
      <c r="HR20" s="124"/>
      <c r="HS20" s="124"/>
      <c r="HT20" s="124"/>
      <c r="HU20" s="124"/>
      <c r="HV20" s="124"/>
      <c r="HW20" s="124"/>
      <c r="HX20" s="124"/>
      <c r="HY20" s="124"/>
      <c r="HZ20" s="124"/>
      <c r="IA20" s="124"/>
      <c r="IB20" s="124"/>
      <c r="IC20" s="124"/>
      <c r="ID20" s="124"/>
      <c r="IE20" s="124"/>
      <c r="IF20" s="124"/>
      <c r="IG20" s="124"/>
      <c r="IH20" s="124"/>
      <c r="II20" s="124"/>
      <c r="IJ20" s="124"/>
      <c r="IK20" s="124"/>
      <c r="IL20" s="124"/>
      <c r="IM20" s="124"/>
      <c r="IN20" s="124"/>
      <c r="IO20" s="124"/>
      <c r="IP20" s="124"/>
      <c r="IQ20" s="124"/>
      <c r="IR20" s="124"/>
      <c r="IS20" s="124"/>
      <c r="IT20" s="124"/>
      <c r="IU20" s="124"/>
      <c r="IV20" s="124"/>
    </row>
    <row r="21" spans="1:256" ht="20.100000000000001" customHeight="1" x14ac:dyDescent="0.3">
      <c r="A21" s="1624">
        <v>15</v>
      </c>
      <c r="B21" s="124"/>
      <c r="C21" s="1631"/>
      <c r="D21" s="1697" t="s">
        <v>1205</v>
      </c>
      <c r="E21" s="1636">
        <v>250</v>
      </c>
      <c r="F21" s="124"/>
      <c r="G21" s="124"/>
      <c r="H21" s="124"/>
      <c r="I21" s="124"/>
      <c r="J21" s="1639"/>
      <c r="K21" s="124"/>
      <c r="L21" s="1639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4"/>
      <c r="AO21" s="124"/>
      <c r="AP21" s="124"/>
      <c r="AQ21" s="124"/>
      <c r="AR21" s="124"/>
      <c r="AS21" s="124"/>
      <c r="AT21" s="124"/>
      <c r="AU21" s="124"/>
      <c r="AV21" s="124"/>
      <c r="AW21" s="124"/>
      <c r="AX21" s="124"/>
      <c r="AY21" s="124"/>
      <c r="AZ21" s="124"/>
      <c r="BA21" s="124"/>
      <c r="BB21" s="124"/>
      <c r="BC21" s="124"/>
      <c r="BD21" s="124"/>
      <c r="BE21" s="124"/>
      <c r="BF21" s="124"/>
      <c r="BG21" s="124"/>
      <c r="BH21" s="124"/>
      <c r="BI21" s="124"/>
      <c r="BJ21" s="124"/>
      <c r="BK21" s="124"/>
      <c r="BL21" s="124"/>
      <c r="BM21" s="124"/>
      <c r="BN21" s="124"/>
      <c r="BO21" s="124"/>
      <c r="BP21" s="124"/>
      <c r="BQ21" s="124"/>
      <c r="BR21" s="124"/>
      <c r="BS21" s="124"/>
      <c r="BT21" s="124"/>
      <c r="BU21" s="124"/>
      <c r="BV21" s="124"/>
      <c r="BW21" s="124"/>
      <c r="BX21" s="124"/>
      <c r="BY21" s="124"/>
      <c r="BZ21" s="124"/>
      <c r="CA21" s="124"/>
      <c r="CB21" s="124"/>
      <c r="CC21" s="124"/>
      <c r="CD21" s="124"/>
      <c r="CE21" s="124"/>
      <c r="CF21" s="124"/>
      <c r="CG21" s="124"/>
      <c r="CH21" s="124"/>
      <c r="CI21" s="124"/>
      <c r="CJ21" s="124"/>
      <c r="CK21" s="124"/>
      <c r="CL21" s="124"/>
      <c r="CM21" s="124"/>
      <c r="CN21" s="124"/>
      <c r="CO21" s="124"/>
      <c r="CP21" s="124"/>
      <c r="CQ21" s="124"/>
      <c r="CR21" s="124"/>
      <c r="CS21" s="124"/>
      <c r="CT21" s="124"/>
      <c r="CU21" s="124"/>
      <c r="CV21" s="124"/>
      <c r="CW21" s="124"/>
      <c r="CX21" s="124"/>
      <c r="CY21" s="124"/>
      <c r="CZ21" s="124"/>
      <c r="DA21" s="124"/>
      <c r="DB21" s="124"/>
      <c r="DC21" s="124"/>
      <c r="DD21" s="124"/>
      <c r="DE21" s="124"/>
      <c r="DF21" s="124"/>
      <c r="DG21" s="124"/>
      <c r="DH21" s="124"/>
      <c r="DI21" s="124"/>
      <c r="DJ21" s="124"/>
      <c r="DK21" s="124"/>
      <c r="DL21" s="124"/>
      <c r="DM21" s="124"/>
      <c r="DN21" s="124"/>
      <c r="DO21" s="124"/>
      <c r="DP21" s="124"/>
      <c r="DQ21" s="124"/>
      <c r="DR21" s="124"/>
      <c r="DS21" s="124"/>
      <c r="DT21" s="124"/>
      <c r="DU21" s="124"/>
      <c r="DV21" s="124"/>
      <c r="DW21" s="124"/>
      <c r="DX21" s="124"/>
      <c r="DY21" s="124"/>
      <c r="DZ21" s="124"/>
      <c r="EA21" s="124"/>
      <c r="EB21" s="124"/>
      <c r="EC21" s="124"/>
      <c r="ED21" s="124"/>
      <c r="EE21" s="124"/>
      <c r="EF21" s="124"/>
      <c r="EG21" s="124"/>
      <c r="EH21" s="124"/>
      <c r="EI21" s="124"/>
      <c r="EJ21" s="124"/>
      <c r="EK21" s="124"/>
      <c r="EL21" s="124"/>
      <c r="EM21" s="124"/>
      <c r="EN21" s="124"/>
      <c r="EO21" s="124"/>
      <c r="EP21" s="124"/>
      <c r="EQ21" s="124"/>
      <c r="ER21" s="124"/>
      <c r="ES21" s="124"/>
      <c r="ET21" s="124"/>
      <c r="EU21" s="124"/>
      <c r="EV21" s="124"/>
      <c r="EW21" s="124"/>
      <c r="EX21" s="124"/>
      <c r="EY21" s="124"/>
      <c r="EZ21" s="124"/>
      <c r="FA21" s="124"/>
      <c r="FB21" s="124"/>
      <c r="FC21" s="124"/>
      <c r="FD21" s="124"/>
      <c r="FE21" s="124"/>
      <c r="FF21" s="124"/>
      <c r="FG21" s="124"/>
      <c r="FH21" s="124"/>
      <c r="FI21" s="124"/>
      <c r="FJ21" s="124"/>
      <c r="FK21" s="124"/>
      <c r="FL21" s="124"/>
      <c r="FM21" s="124"/>
      <c r="FN21" s="124"/>
      <c r="FO21" s="124"/>
      <c r="FP21" s="124"/>
      <c r="FQ21" s="124"/>
      <c r="FR21" s="124"/>
      <c r="FS21" s="124"/>
      <c r="FT21" s="124"/>
      <c r="FU21" s="124"/>
      <c r="FV21" s="124"/>
      <c r="FW21" s="124"/>
      <c r="FX21" s="124"/>
      <c r="FY21" s="124"/>
      <c r="FZ21" s="124"/>
      <c r="GA21" s="124"/>
      <c r="GB21" s="124"/>
      <c r="GC21" s="124"/>
      <c r="GD21" s="124"/>
      <c r="GE21" s="124"/>
      <c r="GF21" s="124"/>
      <c r="GG21" s="124"/>
      <c r="GH21" s="124"/>
      <c r="GI21" s="124"/>
      <c r="GJ21" s="124"/>
      <c r="GK21" s="124"/>
      <c r="GL21" s="124"/>
      <c r="GM21" s="124"/>
      <c r="GN21" s="124"/>
      <c r="GO21" s="124"/>
      <c r="GP21" s="124"/>
      <c r="GQ21" s="124"/>
      <c r="GR21" s="124"/>
      <c r="GS21" s="124"/>
      <c r="GT21" s="124"/>
      <c r="GU21" s="124"/>
      <c r="GV21" s="124"/>
      <c r="GW21" s="124"/>
      <c r="GX21" s="124"/>
      <c r="GY21" s="124"/>
      <c r="GZ21" s="124"/>
      <c r="HA21" s="124"/>
      <c r="HB21" s="124"/>
      <c r="HC21" s="124"/>
      <c r="HD21" s="124"/>
      <c r="HE21" s="124"/>
      <c r="HF21" s="124"/>
      <c r="HG21" s="124"/>
      <c r="HH21" s="124"/>
      <c r="HI21" s="124"/>
      <c r="HJ21" s="124"/>
      <c r="HK21" s="124"/>
      <c r="HL21" s="124"/>
      <c r="HM21" s="124"/>
      <c r="HN21" s="124"/>
      <c r="HO21" s="124"/>
      <c r="HP21" s="124"/>
      <c r="HQ21" s="124"/>
      <c r="HR21" s="124"/>
      <c r="HS21" s="124"/>
      <c r="HT21" s="124"/>
      <c r="HU21" s="124"/>
      <c r="HV21" s="124"/>
      <c r="HW21" s="124"/>
      <c r="HX21" s="124"/>
      <c r="HY21" s="124"/>
      <c r="HZ21" s="124"/>
      <c r="IA21" s="124"/>
      <c r="IB21" s="124"/>
      <c r="IC21" s="124"/>
      <c r="ID21" s="124"/>
      <c r="IE21" s="124"/>
      <c r="IF21" s="124"/>
      <c r="IG21" s="124"/>
      <c r="IH21" s="124"/>
      <c r="II21" s="124"/>
      <c r="IJ21" s="124"/>
      <c r="IK21" s="124"/>
      <c r="IL21" s="124"/>
      <c r="IM21" s="124"/>
      <c r="IN21" s="124"/>
      <c r="IO21" s="124"/>
      <c r="IP21" s="124"/>
      <c r="IQ21" s="124"/>
      <c r="IR21" s="124"/>
      <c r="IS21" s="124"/>
      <c r="IT21" s="124"/>
      <c r="IU21" s="124"/>
      <c r="IV21" s="124"/>
    </row>
    <row r="22" spans="1:256" ht="18" customHeight="1" x14ac:dyDescent="0.35">
      <c r="A22" s="1624">
        <v>16</v>
      </c>
      <c r="B22" s="126"/>
      <c r="D22" s="1647" t="s">
        <v>129</v>
      </c>
      <c r="E22" s="1645">
        <f>SUM(E19:E21)</f>
        <v>4892</v>
      </c>
      <c r="F22" s="1646"/>
      <c r="G22" s="1646"/>
      <c r="H22" s="1646"/>
      <c r="I22" s="126"/>
      <c r="J22" s="1640"/>
      <c r="K22" s="126"/>
      <c r="L22" s="1640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26"/>
      <c r="AU22" s="126"/>
      <c r="AV22" s="126"/>
      <c r="AW22" s="126"/>
      <c r="AX22" s="126"/>
      <c r="AY22" s="126"/>
      <c r="AZ22" s="126"/>
      <c r="BA22" s="126"/>
      <c r="BB22" s="126"/>
      <c r="BC22" s="126"/>
      <c r="BD22" s="126"/>
      <c r="BE22" s="126"/>
      <c r="BF22" s="126"/>
      <c r="BG22" s="126"/>
      <c r="BH22" s="126"/>
      <c r="BI22" s="126"/>
      <c r="BJ22" s="126"/>
      <c r="BK22" s="126"/>
      <c r="BL22" s="126"/>
      <c r="BM22" s="126"/>
      <c r="BN22" s="126"/>
      <c r="BO22" s="126"/>
      <c r="BP22" s="126"/>
      <c r="BQ22" s="126"/>
      <c r="BR22" s="126"/>
      <c r="BS22" s="126"/>
      <c r="BT22" s="126"/>
      <c r="BU22" s="126"/>
      <c r="BV22" s="126"/>
      <c r="BW22" s="126"/>
      <c r="BX22" s="126"/>
      <c r="BY22" s="126"/>
      <c r="BZ22" s="126"/>
      <c r="CA22" s="126"/>
      <c r="CB22" s="126"/>
      <c r="CC22" s="126"/>
      <c r="CD22" s="126"/>
      <c r="CE22" s="126"/>
      <c r="CF22" s="126"/>
      <c r="CG22" s="126"/>
      <c r="CH22" s="126"/>
      <c r="CI22" s="126"/>
      <c r="CJ22" s="126"/>
      <c r="CK22" s="126"/>
      <c r="CL22" s="126"/>
      <c r="CM22" s="126"/>
      <c r="CN22" s="126"/>
      <c r="CO22" s="126"/>
      <c r="CP22" s="126"/>
      <c r="CQ22" s="126"/>
      <c r="CR22" s="126"/>
      <c r="CS22" s="126"/>
      <c r="CT22" s="126"/>
      <c r="CU22" s="126"/>
      <c r="CV22" s="126"/>
      <c r="CW22" s="126"/>
      <c r="CX22" s="126"/>
      <c r="CY22" s="126"/>
      <c r="CZ22" s="126"/>
      <c r="DA22" s="126"/>
      <c r="DB22" s="126"/>
      <c r="DC22" s="126"/>
      <c r="DD22" s="126"/>
      <c r="DE22" s="126"/>
      <c r="DF22" s="126"/>
      <c r="DG22" s="126"/>
      <c r="DH22" s="126"/>
      <c r="DI22" s="126"/>
      <c r="DJ22" s="126"/>
      <c r="DK22" s="126"/>
      <c r="DL22" s="126"/>
      <c r="DM22" s="126"/>
      <c r="DN22" s="126"/>
      <c r="DO22" s="126"/>
      <c r="DP22" s="126"/>
      <c r="DQ22" s="126"/>
      <c r="DR22" s="126"/>
      <c r="DS22" s="126"/>
      <c r="DT22" s="126"/>
      <c r="DU22" s="126"/>
      <c r="DV22" s="126"/>
      <c r="DW22" s="126"/>
      <c r="DX22" s="126"/>
      <c r="DY22" s="126"/>
      <c r="DZ22" s="126"/>
      <c r="EA22" s="126"/>
      <c r="EB22" s="126"/>
      <c r="EC22" s="126"/>
      <c r="ED22" s="126"/>
      <c r="EE22" s="126"/>
      <c r="EF22" s="126"/>
      <c r="EG22" s="126"/>
      <c r="EH22" s="126"/>
      <c r="EI22" s="126"/>
      <c r="EJ22" s="126"/>
      <c r="EK22" s="126"/>
      <c r="EL22" s="126"/>
      <c r="EM22" s="126"/>
      <c r="EN22" s="126"/>
      <c r="EO22" s="126"/>
      <c r="EP22" s="126"/>
      <c r="EQ22" s="126"/>
      <c r="ER22" s="126"/>
      <c r="ES22" s="126"/>
      <c r="ET22" s="126"/>
      <c r="EU22" s="126"/>
      <c r="EV22" s="126"/>
      <c r="EW22" s="126"/>
      <c r="EX22" s="126"/>
      <c r="EY22" s="126"/>
      <c r="EZ22" s="126"/>
      <c r="FA22" s="126"/>
      <c r="FB22" s="126"/>
      <c r="FC22" s="126"/>
      <c r="FD22" s="126"/>
      <c r="FE22" s="126"/>
      <c r="FF22" s="126"/>
      <c r="FG22" s="126"/>
      <c r="FH22" s="126"/>
      <c r="FI22" s="126"/>
      <c r="FJ22" s="126"/>
      <c r="FK22" s="126"/>
      <c r="FL22" s="126"/>
      <c r="FM22" s="126"/>
      <c r="FN22" s="126"/>
      <c r="FO22" s="126"/>
      <c r="FP22" s="126"/>
      <c r="FQ22" s="126"/>
      <c r="FR22" s="126"/>
      <c r="FS22" s="126"/>
      <c r="FT22" s="126"/>
      <c r="FU22" s="126"/>
      <c r="FV22" s="126"/>
      <c r="FW22" s="126"/>
      <c r="FX22" s="126"/>
      <c r="FY22" s="126"/>
      <c r="FZ22" s="126"/>
      <c r="GA22" s="126"/>
      <c r="GB22" s="126"/>
      <c r="GC22" s="126"/>
      <c r="GD22" s="126"/>
      <c r="GE22" s="126"/>
      <c r="GF22" s="126"/>
      <c r="GG22" s="126"/>
      <c r="GH22" s="126"/>
      <c r="GI22" s="126"/>
      <c r="GJ22" s="126"/>
      <c r="GK22" s="126"/>
      <c r="GL22" s="126"/>
      <c r="GM22" s="126"/>
      <c r="GN22" s="126"/>
      <c r="GO22" s="126"/>
      <c r="GP22" s="126"/>
      <c r="GQ22" s="126"/>
      <c r="GR22" s="126"/>
      <c r="GS22" s="126"/>
      <c r="GT22" s="126"/>
      <c r="GU22" s="126"/>
      <c r="GV22" s="126"/>
      <c r="GW22" s="126"/>
      <c r="GX22" s="126"/>
      <c r="GY22" s="126"/>
      <c r="GZ22" s="126"/>
      <c r="HA22" s="126"/>
      <c r="HB22" s="126"/>
      <c r="HC22" s="126"/>
      <c r="HD22" s="126"/>
      <c r="HE22" s="126"/>
      <c r="HF22" s="126"/>
      <c r="HG22" s="126"/>
      <c r="HH22" s="126"/>
      <c r="HI22" s="126"/>
      <c r="HJ22" s="126"/>
      <c r="HK22" s="126"/>
      <c r="HL22" s="126"/>
      <c r="HM22" s="126"/>
      <c r="HN22" s="126"/>
      <c r="HO22" s="126"/>
      <c r="HP22" s="126"/>
      <c r="HQ22" s="126"/>
      <c r="HR22" s="126"/>
      <c r="HS22" s="126"/>
      <c r="HT22" s="126"/>
      <c r="HU22" s="126"/>
      <c r="HV22" s="126"/>
      <c r="HW22" s="126"/>
      <c r="HX22" s="126"/>
      <c r="HY22" s="126"/>
      <c r="HZ22" s="126"/>
      <c r="IA22" s="126"/>
      <c r="IB22" s="126"/>
      <c r="IC22" s="126"/>
      <c r="ID22" s="126"/>
      <c r="IE22" s="126"/>
      <c r="IF22" s="126"/>
      <c r="IG22" s="126"/>
      <c r="IH22" s="126"/>
      <c r="II22" s="126"/>
      <c r="IJ22" s="126"/>
      <c r="IK22" s="126"/>
      <c r="IL22" s="126"/>
      <c r="IM22" s="126"/>
      <c r="IN22" s="126"/>
      <c r="IO22" s="126"/>
      <c r="IP22" s="126"/>
      <c r="IQ22" s="126"/>
      <c r="IR22" s="126"/>
      <c r="IS22" s="126"/>
      <c r="IT22" s="126"/>
      <c r="IU22" s="126"/>
      <c r="IV22" s="126"/>
    </row>
    <row r="23" spans="1:256" ht="18" customHeight="1" x14ac:dyDescent="0.35">
      <c r="A23" s="1624">
        <v>17</v>
      </c>
      <c r="B23" s="126"/>
      <c r="C23" s="1631" t="s">
        <v>139</v>
      </c>
      <c r="D23" s="1638" t="s">
        <v>179</v>
      </c>
      <c r="E23" s="1645"/>
      <c r="F23" s="1646"/>
      <c r="G23" s="1646"/>
      <c r="H23" s="1646"/>
      <c r="I23" s="126"/>
      <c r="J23" s="1640"/>
      <c r="K23" s="126"/>
      <c r="L23" s="1640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26"/>
      <c r="AU23" s="126"/>
      <c r="AV23" s="126"/>
      <c r="AW23" s="126"/>
      <c r="AX23" s="126"/>
      <c r="AY23" s="126"/>
      <c r="AZ23" s="126"/>
      <c r="BA23" s="126"/>
      <c r="BB23" s="126"/>
      <c r="BC23" s="126"/>
      <c r="BD23" s="126"/>
      <c r="BE23" s="126"/>
      <c r="BF23" s="126"/>
      <c r="BG23" s="126"/>
      <c r="BH23" s="126"/>
      <c r="BI23" s="126"/>
      <c r="BJ23" s="126"/>
      <c r="BK23" s="126"/>
      <c r="BL23" s="126"/>
      <c r="BM23" s="126"/>
      <c r="BN23" s="126"/>
      <c r="BO23" s="126"/>
      <c r="BP23" s="126"/>
      <c r="BQ23" s="126"/>
      <c r="BR23" s="126"/>
      <c r="BS23" s="126"/>
      <c r="BT23" s="126"/>
      <c r="BU23" s="126"/>
      <c r="BV23" s="126"/>
      <c r="BW23" s="126"/>
      <c r="BX23" s="126"/>
      <c r="BY23" s="126"/>
      <c r="BZ23" s="126"/>
      <c r="CA23" s="126"/>
      <c r="CB23" s="126"/>
      <c r="CC23" s="126"/>
      <c r="CD23" s="126"/>
      <c r="CE23" s="126"/>
      <c r="CF23" s="126"/>
      <c r="CG23" s="126"/>
      <c r="CH23" s="126"/>
      <c r="CI23" s="126"/>
      <c r="CJ23" s="126"/>
      <c r="CK23" s="126"/>
      <c r="CL23" s="126"/>
      <c r="CM23" s="126"/>
      <c r="CN23" s="126"/>
      <c r="CO23" s="126"/>
      <c r="CP23" s="126"/>
      <c r="CQ23" s="126"/>
      <c r="CR23" s="126"/>
      <c r="CS23" s="126"/>
      <c r="CT23" s="126"/>
      <c r="CU23" s="126"/>
      <c r="CV23" s="126"/>
      <c r="CW23" s="126"/>
      <c r="CX23" s="126"/>
      <c r="CY23" s="126"/>
      <c r="CZ23" s="126"/>
      <c r="DA23" s="126"/>
      <c r="DB23" s="126"/>
      <c r="DC23" s="126"/>
      <c r="DD23" s="126"/>
      <c r="DE23" s="126"/>
      <c r="DF23" s="126"/>
      <c r="DG23" s="126"/>
      <c r="DH23" s="126"/>
      <c r="DI23" s="126"/>
      <c r="DJ23" s="126"/>
      <c r="DK23" s="126"/>
      <c r="DL23" s="126"/>
      <c r="DM23" s="126"/>
      <c r="DN23" s="126"/>
      <c r="DO23" s="126"/>
      <c r="DP23" s="126"/>
      <c r="DQ23" s="126"/>
      <c r="DR23" s="126"/>
      <c r="DS23" s="126"/>
      <c r="DT23" s="126"/>
      <c r="DU23" s="126"/>
      <c r="DV23" s="126"/>
      <c r="DW23" s="126"/>
      <c r="DX23" s="126"/>
      <c r="DY23" s="126"/>
      <c r="DZ23" s="126"/>
      <c r="EA23" s="126"/>
      <c r="EB23" s="126"/>
      <c r="EC23" s="126"/>
      <c r="ED23" s="126"/>
      <c r="EE23" s="126"/>
      <c r="EF23" s="126"/>
      <c r="EG23" s="126"/>
      <c r="EH23" s="126"/>
      <c r="EI23" s="126"/>
      <c r="EJ23" s="126"/>
      <c r="EK23" s="126"/>
      <c r="EL23" s="126"/>
      <c r="EM23" s="126"/>
      <c r="EN23" s="126"/>
      <c r="EO23" s="126"/>
      <c r="EP23" s="126"/>
      <c r="EQ23" s="126"/>
      <c r="ER23" s="126"/>
      <c r="ES23" s="126"/>
      <c r="ET23" s="126"/>
      <c r="EU23" s="126"/>
      <c r="EV23" s="126"/>
      <c r="EW23" s="126"/>
      <c r="EX23" s="126"/>
      <c r="EY23" s="126"/>
      <c r="EZ23" s="126"/>
      <c r="FA23" s="126"/>
      <c r="FB23" s="126"/>
      <c r="FC23" s="126"/>
      <c r="FD23" s="126"/>
      <c r="FE23" s="126"/>
      <c r="FF23" s="126"/>
      <c r="FG23" s="126"/>
      <c r="FH23" s="126"/>
      <c r="FI23" s="126"/>
      <c r="FJ23" s="126"/>
      <c r="FK23" s="126"/>
      <c r="FL23" s="126"/>
      <c r="FM23" s="126"/>
      <c r="FN23" s="126"/>
      <c r="FO23" s="126"/>
      <c r="FP23" s="126"/>
      <c r="FQ23" s="126"/>
      <c r="FR23" s="126"/>
      <c r="FS23" s="126"/>
      <c r="FT23" s="126"/>
      <c r="FU23" s="126"/>
      <c r="FV23" s="126"/>
      <c r="FW23" s="126"/>
      <c r="FX23" s="126"/>
      <c r="FY23" s="126"/>
      <c r="FZ23" s="126"/>
      <c r="GA23" s="126"/>
      <c r="GB23" s="126"/>
      <c r="GC23" s="126"/>
      <c r="GD23" s="126"/>
      <c r="GE23" s="126"/>
      <c r="GF23" s="126"/>
      <c r="GG23" s="126"/>
      <c r="GH23" s="126"/>
      <c r="GI23" s="126"/>
      <c r="GJ23" s="126"/>
      <c r="GK23" s="126"/>
      <c r="GL23" s="126"/>
      <c r="GM23" s="126"/>
      <c r="GN23" s="126"/>
      <c r="GO23" s="126"/>
      <c r="GP23" s="126"/>
      <c r="GQ23" s="126"/>
      <c r="GR23" s="126"/>
      <c r="GS23" s="126"/>
      <c r="GT23" s="126"/>
      <c r="GU23" s="126"/>
      <c r="GV23" s="126"/>
      <c r="GW23" s="126"/>
      <c r="GX23" s="126"/>
      <c r="GY23" s="126"/>
      <c r="GZ23" s="126"/>
      <c r="HA23" s="126"/>
      <c r="HB23" s="126"/>
      <c r="HC23" s="126"/>
      <c r="HD23" s="126"/>
      <c r="HE23" s="126"/>
      <c r="HF23" s="126"/>
      <c r="HG23" s="126"/>
      <c r="HH23" s="126"/>
      <c r="HI23" s="126"/>
      <c r="HJ23" s="126"/>
      <c r="HK23" s="126"/>
      <c r="HL23" s="126"/>
      <c r="HM23" s="126"/>
      <c r="HN23" s="126"/>
      <c r="HO23" s="126"/>
      <c r="HP23" s="126"/>
      <c r="HQ23" s="126"/>
      <c r="HR23" s="126"/>
      <c r="HS23" s="126"/>
      <c r="HT23" s="126"/>
      <c r="HU23" s="126"/>
      <c r="HV23" s="126"/>
      <c r="HW23" s="126"/>
      <c r="HX23" s="126"/>
      <c r="HY23" s="126"/>
      <c r="HZ23" s="126"/>
      <c r="IA23" s="126"/>
      <c r="IB23" s="126"/>
      <c r="IC23" s="126"/>
      <c r="ID23" s="126"/>
      <c r="IE23" s="126"/>
      <c r="IF23" s="126"/>
      <c r="IG23" s="126"/>
      <c r="IH23" s="126"/>
      <c r="II23" s="126"/>
      <c r="IJ23" s="126"/>
      <c r="IK23" s="126"/>
      <c r="IL23" s="126"/>
      <c r="IM23" s="126"/>
      <c r="IN23" s="126"/>
      <c r="IO23" s="126"/>
      <c r="IP23" s="126"/>
      <c r="IQ23" s="126"/>
      <c r="IR23" s="126"/>
      <c r="IS23" s="126"/>
      <c r="IT23" s="126"/>
      <c r="IU23" s="126"/>
      <c r="IV23" s="126"/>
    </row>
    <row r="24" spans="1:256" ht="18" customHeight="1" x14ac:dyDescent="0.35">
      <c r="A24" s="1624">
        <v>18</v>
      </c>
      <c r="B24" s="126"/>
      <c r="D24" s="1697" t="s">
        <v>1259</v>
      </c>
      <c r="E24" s="1645">
        <v>100000</v>
      </c>
      <c r="F24" s="1646"/>
      <c r="G24" s="1646"/>
      <c r="H24" s="1646"/>
      <c r="I24" s="126"/>
      <c r="J24" s="1640"/>
      <c r="K24" s="126"/>
      <c r="L24" s="1640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6"/>
      <c r="BM24" s="126"/>
      <c r="BN24" s="126"/>
      <c r="BO24" s="126"/>
      <c r="BP24" s="126"/>
      <c r="BQ24" s="126"/>
      <c r="BR24" s="126"/>
      <c r="BS24" s="126"/>
      <c r="BT24" s="126"/>
      <c r="BU24" s="126"/>
      <c r="BV24" s="126"/>
      <c r="BW24" s="126"/>
      <c r="BX24" s="126"/>
      <c r="BY24" s="126"/>
      <c r="BZ24" s="126"/>
      <c r="CA24" s="126"/>
      <c r="CB24" s="126"/>
      <c r="CC24" s="126"/>
      <c r="CD24" s="126"/>
      <c r="CE24" s="126"/>
      <c r="CF24" s="126"/>
      <c r="CG24" s="126"/>
      <c r="CH24" s="126"/>
      <c r="CI24" s="126"/>
      <c r="CJ24" s="126"/>
      <c r="CK24" s="126"/>
      <c r="CL24" s="126"/>
      <c r="CM24" s="126"/>
      <c r="CN24" s="126"/>
      <c r="CO24" s="126"/>
      <c r="CP24" s="126"/>
      <c r="CQ24" s="126"/>
      <c r="CR24" s="126"/>
      <c r="CS24" s="126"/>
      <c r="CT24" s="126"/>
      <c r="CU24" s="126"/>
      <c r="CV24" s="126"/>
      <c r="CW24" s="126"/>
      <c r="CX24" s="126"/>
      <c r="CY24" s="126"/>
      <c r="CZ24" s="126"/>
      <c r="DA24" s="126"/>
      <c r="DB24" s="126"/>
      <c r="DC24" s="126"/>
      <c r="DD24" s="126"/>
      <c r="DE24" s="126"/>
      <c r="DF24" s="126"/>
      <c r="DG24" s="126"/>
      <c r="DH24" s="126"/>
      <c r="DI24" s="126"/>
      <c r="DJ24" s="126"/>
      <c r="DK24" s="126"/>
      <c r="DL24" s="126"/>
      <c r="DM24" s="126"/>
      <c r="DN24" s="126"/>
      <c r="DO24" s="126"/>
      <c r="DP24" s="126"/>
      <c r="DQ24" s="126"/>
      <c r="DR24" s="126"/>
      <c r="DS24" s="126"/>
      <c r="DT24" s="126"/>
      <c r="DU24" s="126"/>
      <c r="DV24" s="126"/>
      <c r="DW24" s="126"/>
      <c r="DX24" s="126"/>
      <c r="DY24" s="126"/>
      <c r="DZ24" s="126"/>
      <c r="EA24" s="126"/>
      <c r="EB24" s="126"/>
      <c r="EC24" s="126"/>
      <c r="ED24" s="126"/>
      <c r="EE24" s="126"/>
      <c r="EF24" s="126"/>
      <c r="EG24" s="126"/>
      <c r="EH24" s="126"/>
      <c r="EI24" s="126"/>
      <c r="EJ24" s="126"/>
      <c r="EK24" s="126"/>
      <c r="EL24" s="126"/>
      <c r="EM24" s="126"/>
      <c r="EN24" s="126"/>
      <c r="EO24" s="126"/>
      <c r="EP24" s="126"/>
      <c r="EQ24" s="126"/>
      <c r="ER24" s="126"/>
      <c r="ES24" s="126"/>
      <c r="ET24" s="126"/>
      <c r="EU24" s="126"/>
      <c r="EV24" s="126"/>
      <c r="EW24" s="126"/>
      <c r="EX24" s="126"/>
      <c r="EY24" s="126"/>
      <c r="EZ24" s="126"/>
      <c r="FA24" s="126"/>
      <c r="FB24" s="126"/>
      <c r="FC24" s="126"/>
      <c r="FD24" s="126"/>
      <c r="FE24" s="126"/>
      <c r="FF24" s="126"/>
      <c r="FG24" s="126"/>
      <c r="FH24" s="126"/>
      <c r="FI24" s="126"/>
      <c r="FJ24" s="126"/>
      <c r="FK24" s="126"/>
      <c r="FL24" s="126"/>
      <c r="FM24" s="126"/>
      <c r="FN24" s="126"/>
      <c r="FO24" s="126"/>
      <c r="FP24" s="126"/>
      <c r="FQ24" s="126"/>
      <c r="FR24" s="126"/>
      <c r="FS24" s="126"/>
      <c r="FT24" s="126"/>
      <c r="FU24" s="126"/>
      <c r="FV24" s="126"/>
      <c r="FW24" s="126"/>
      <c r="FX24" s="126"/>
      <c r="FY24" s="126"/>
      <c r="FZ24" s="126"/>
      <c r="GA24" s="126"/>
      <c r="GB24" s="126"/>
      <c r="GC24" s="126"/>
      <c r="GD24" s="126"/>
      <c r="GE24" s="126"/>
      <c r="GF24" s="126"/>
      <c r="GG24" s="126"/>
      <c r="GH24" s="126"/>
      <c r="GI24" s="126"/>
      <c r="GJ24" s="126"/>
      <c r="GK24" s="126"/>
      <c r="GL24" s="126"/>
      <c r="GM24" s="126"/>
      <c r="GN24" s="126"/>
      <c r="GO24" s="126"/>
      <c r="GP24" s="126"/>
      <c r="GQ24" s="126"/>
      <c r="GR24" s="126"/>
      <c r="GS24" s="126"/>
      <c r="GT24" s="126"/>
      <c r="GU24" s="126"/>
      <c r="GV24" s="126"/>
      <c r="GW24" s="126"/>
      <c r="GX24" s="126"/>
      <c r="GY24" s="126"/>
      <c r="GZ24" s="126"/>
      <c r="HA24" s="126"/>
      <c r="HB24" s="126"/>
      <c r="HC24" s="126"/>
      <c r="HD24" s="126"/>
      <c r="HE24" s="126"/>
      <c r="HF24" s="126"/>
      <c r="HG24" s="126"/>
      <c r="HH24" s="126"/>
      <c r="HI24" s="126"/>
      <c r="HJ24" s="126"/>
      <c r="HK24" s="126"/>
      <c r="HL24" s="126"/>
      <c r="HM24" s="126"/>
      <c r="HN24" s="126"/>
      <c r="HO24" s="126"/>
      <c r="HP24" s="126"/>
      <c r="HQ24" s="126"/>
      <c r="HR24" s="126"/>
      <c r="HS24" s="126"/>
      <c r="HT24" s="126"/>
      <c r="HU24" s="126"/>
      <c r="HV24" s="126"/>
      <c r="HW24" s="126"/>
      <c r="HX24" s="126"/>
      <c r="HY24" s="126"/>
      <c r="HZ24" s="126"/>
      <c r="IA24" s="126"/>
      <c r="IB24" s="126"/>
      <c r="IC24" s="126"/>
      <c r="ID24" s="126"/>
      <c r="IE24" s="126"/>
      <c r="IF24" s="126"/>
      <c r="IG24" s="126"/>
      <c r="IH24" s="126"/>
      <c r="II24" s="126"/>
      <c r="IJ24" s="126"/>
      <c r="IK24" s="126"/>
      <c r="IL24" s="126"/>
      <c r="IM24" s="126"/>
      <c r="IN24" s="126"/>
      <c r="IO24" s="126"/>
      <c r="IP24" s="126"/>
      <c r="IQ24" s="126"/>
      <c r="IR24" s="126"/>
      <c r="IS24" s="126"/>
      <c r="IT24" s="126"/>
      <c r="IU24" s="126"/>
      <c r="IV24" s="126"/>
    </row>
    <row r="25" spans="1:256" ht="18" customHeight="1" x14ac:dyDescent="0.35">
      <c r="A25" s="1624">
        <v>19</v>
      </c>
      <c r="B25" s="126"/>
      <c r="D25" s="1647"/>
      <c r="E25" s="1645"/>
      <c r="F25" s="1646"/>
      <c r="G25" s="1646"/>
      <c r="H25" s="1646"/>
      <c r="I25" s="126"/>
      <c r="J25" s="1640"/>
      <c r="K25" s="126"/>
      <c r="L25" s="1640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6"/>
      <c r="AV25" s="126"/>
      <c r="AW25" s="126"/>
      <c r="AX25" s="126"/>
      <c r="AY25" s="126"/>
      <c r="AZ25" s="126"/>
      <c r="BA25" s="126"/>
      <c r="BB25" s="126"/>
      <c r="BC25" s="126"/>
      <c r="BD25" s="126"/>
      <c r="BE25" s="126"/>
      <c r="BF25" s="126"/>
      <c r="BG25" s="126"/>
      <c r="BH25" s="126"/>
      <c r="BI25" s="126"/>
      <c r="BJ25" s="126"/>
      <c r="BK25" s="126"/>
      <c r="BL25" s="126"/>
      <c r="BM25" s="126"/>
      <c r="BN25" s="126"/>
      <c r="BO25" s="126"/>
      <c r="BP25" s="126"/>
      <c r="BQ25" s="126"/>
      <c r="BR25" s="126"/>
      <c r="BS25" s="126"/>
      <c r="BT25" s="126"/>
      <c r="BU25" s="126"/>
      <c r="BV25" s="126"/>
      <c r="BW25" s="126"/>
      <c r="BX25" s="126"/>
      <c r="BY25" s="126"/>
      <c r="BZ25" s="126"/>
      <c r="CA25" s="126"/>
      <c r="CB25" s="126"/>
      <c r="CC25" s="126"/>
      <c r="CD25" s="126"/>
      <c r="CE25" s="126"/>
      <c r="CF25" s="126"/>
      <c r="CG25" s="126"/>
      <c r="CH25" s="126"/>
      <c r="CI25" s="126"/>
      <c r="CJ25" s="126"/>
      <c r="CK25" s="126"/>
      <c r="CL25" s="126"/>
      <c r="CM25" s="126"/>
      <c r="CN25" s="126"/>
      <c r="CO25" s="126"/>
      <c r="CP25" s="126"/>
      <c r="CQ25" s="126"/>
      <c r="CR25" s="126"/>
      <c r="CS25" s="126"/>
      <c r="CT25" s="126"/>
      <c r="CU25" s="126"/>
      <c r="CV25" s="126"/>
      <c r="CW25" s="126"/>
      <c r="CX25" s="126"/>
      <c r="CY25" s="126"/>
      <c r="CZ25" s="126"/>
      <c r="DA25" s="126"/>
      <c r="DB25" s="126"/>
      <c r="DC25" s="126"/>
      <c r="DD25" s="126"/>
      <c r="DE25" s="126"/>
      <c r="DF25" s="126"/>
      <c r="DG25" s="126"/>
      <c r="DH25" s="126"/>
      <c r="DI25" s="126"/>
      <c r="DJ25" s="126"/>
      <c r="DK25" s="126"/>
      <c r="DL25" s="126"/>
      <c r="DM25" s="126"/>
      <c r="DN25" s="126"/>
      <c r="DO25" s="126"/>
      <c r="DP25" s="126"/>
      <c r="DQ25" s="126"/>
      <c r="DR25" s="126"/>
      <c r="DS25" s="126"/>
      <c r="DT25" s="126"/>
      <c r="DU25" s="126"/>
      <c r="DV25" s="126"/>
      <c r="DW25" s="126"/>
      <c r="DX25" s="126"/>
      <c r="DY25" s="126"/>
      <c r="DZ25" s="126"/>
      <c r="EA25" s="126"/>
      <c r="EB25" s="126"/>
      <c r="EC25" s="126"/>
      <c r="ED25" s="126"/>
      <c r="EE25" s="126"/>
      <c r="EF25" s="126"/>
      <c r="EG25" s="126"/>
      <c r="EH25" s="126"/>
      <c r="EI25" s="126"/>
      <c r="EJ25" s="126"/>
      <c r="EK25" s="126"/>
      <c r="EL25" s="126"/>
      <c r="EM25" s="126"/>
      <c r="EN25" s="126"/>
      <c r="EO25" s="126"/>
      <c r="EP25" s="126"/>
      <c r="EQ25" s="126"/>
      <c r="ER25" s="126"/>
      <c r="ES25" s="126"/>
      <c r="ET25" s="126"/>
      <c r="EU25" s="126"/>
      <c r="EV25" s="126"/>
      <c r="EW25" s="126"/>
      <c r="EX25" s="126"/>
      <c r="EY25" s="126"/>
      <c r="EZ25" s="126"/>
      <c r="FA25" s="126"/>
      <c r="FB25" s="126"/>
      <c r="FC25" s="126"/>
      <c r="FD25" s="126"/>
      <c r="FE25" s="126"/>
      <c r="FF25" s="126"/>
      <c r="FG25" s="126"/>
      <c r="FH25" s="126"/>
      <c r="FI25" s="126"/>
      <c r="FJ25" s="126"/>
      <c r="FK25" s="126"/>
      <c r="FL25" s="126"/>
      <c r="FM25" s="126"/>
      <c r="FN25" s="126"/>
      <c r="FO25" s="126"/>
      <c r="FP25" s="126"/>
      <c r="FQ25" s="126"/>
      <c r="FR25" s="126"/>
      <c r="FS25" s="126"/>
      <c r="FT25" s="126"/>
      <c r="FU25" s="126"/>
      <c r="FV25" s="126"/>
      <c r="FW25" s="126"/>
      <c r="FX25" s="126"/>
      <c r="FY25" s="126"/>
      <c r="FZ25" s="126"/>
      <c r="GA25" s="126"/>
      <c r="GB25" s="126"/>
      <c r="GC25" s="126"/>
      <c r="GD25" s="126"/>
      <c r="GE25" s="126"/>
      <c r="GF25" s="126"/>
      <c r="GG25" s="126"/>
      <c r="GH25" s="126"/>
      <c r="GI25" s="126"/>
      <c r="GJ25" s="126"/>
      <c r="GK25" s="126"/>
      <c r="GL25" s="126"/>
      <c r="GM25" s="126"/>
      <c r="GN25" s="126"/>
      <c r="GO25" s="126"/>
      <c r="GP25" s="126"/>
      <c r="GQ25" s="126"/>
      <c r="GR25" s="126"/>
      <c r="GS25" s="126"/>
      <c r="GT25" s="126"/>
      <c r="GU25" s="126"/>
      <c r="GV25" s="126"/>
      <c r="GW25" s="126"/>
      <c r="GX25" s="126"/>
      <c r="GY25" s="126"/>
      <c r="GZ25" s="126"/>
      <c r="HA25" s="126"/>
      <c r="HB25" s="126"/>
      <c r="HC25" s="126"/>
      <c r="HD25" s="126"/>
      <c r="HE25" s="126"/>
      <c r="HF25" s="126"/>
      <c r="HG25" s="126"/>
      <c r="HH25" s="126"/>
      <c r="HI25" s="126"/>
      <c r="HJ25" s="126"/>
      <c r="HK25" s="126"/>
      <c r="HL25" s="126"/>
      <c r="HM25" s="126"/>
      <c r="HN25" s="126"/>
      <c r="HO25" s="126"/>
      <c r="HP25" s="126"/>
      <c r="HQ25" s="126"/>
      <c r="HR25" s="126"/>
      <c r="HS25" s="126"/>
      <c r="HT25" s="126"/>
      <c r="HU25" s="126"/>
      <c r="HV25" s="126"/>
      <c r="HW25" s="126"/>
      <c r="HX25" s="126"/>
      <c r="HY25" s="126"/>
      <c r="HZ25" s="126"/>
      <c r="IA25" s="126"/>
      <c r="IB25" s="126"/>
      <c r="IC25" s="126"/>
      <c r="ID25" s="126"/>
      <c r="IE25" s="126"/>
      <c r="IF25" s="126"/>
      <c r="IG25" s="126"/>
      <c r="IH25" s="126"/>
      <c r="II25" s="126"/>
      <c r="IJ25" s="126"/>
      <c r="IK25" s="126"/>
      <c r="IL25" s="126"/>
      <c r="IM25" s="126"/>
      <c r="IN25" s="126"/>
      <c r="IO25" s="126"/>
      <c r="IP25" s="126"/>
      <c r="IQ25" s="126"/>
      <c r="IR25" s="126"/>
      <c r="IS25" s="126"/>
      <c r="IT25" s="126"/>
      <c r="IU25" s="126"/>
      <c r="IV25" s="126"/>
    </row>
    <row r="26" spans="1:256" ht="18" customHeight="1" x14ac:dyDescent="0.35">
      <c r="A26" s="1624">
        <v>20</v>
      </c>
      <c r="B26" s="126"/>
      <c r="C26" s="1631" t="s">
        <v>140</v>
      </c>
      <c r="D26" s="1638" t="s">
        <v>1224</v>
      </c>
      <c r="E26" s="1645"/>
      <c r="F26" s="1646"/>
      <c r="G26" s="1646"/>
      <c r="H26" s="1646"/>
      <c r="I26" s="126"/>
      <c r="J26" s="1640"/>
      <c r="K26" s="126"/>
      <c r="L26" s="1640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26"/>
      <c r="AU26" s="126"/>
      <c r="AV26" s="126"/>
      <c r="AW26" s="126"/>
      <c r="AX26" s="126"/>
      <c r="AY26" s="126"/>
      <c r="AZ26" s="126"/>
      <c r="BA26" s="126"/>
      <c r="BB26" s="126"/>
      <c r="BC26" s="126"/>
      <c r="BD26" s="126"/>
      <c r="BE26" s="126"/>
      <c r="BF26" s="126"/>
      <c r="BG26" s="126"/>
      <c r="BH26" s="126"/>
      <c r="BI26" s="126"/>
      <c r="BJ26" s="126"/>
      <c r="BK26" s="126"/>
      <c r="BL26" s="126"/>
      <c r="BM26" s="126"/>
      <c r="BN26" s="126"/>
      <c r="BO26" s="126"/>
      <c r="BP26" s="126"/>
      <c r="BQ26" s="126"/>
      <c r="BR26" s="126"/>
      <c r="BS26" s="126"/>
      <c r="BT26" s="126"/>
      <c r="BU26" s="126"/>
      <c r="BV26" s="126"/>
      <c r="BW26" s="126"/>
      <c r="BX26" s="126"/>
      <c r="BY26" s="126"/>
      <c r="BZ26" s="126"/>
      <c r="CA26" s="126"/>
      <c r="CB26" s="126"/>
      <c r="CC26" s="126"/>
      <c r="CD26" s="126"/>
      <c r="CE26" s="126"/>
      <c r="CF26" s="126"/>
      <c r="CG26" s="126"/>
      <c r="CH26" s="126"/>
      <c r="CI26" s="126"/>
      <c r="CJ26" s="126"/>
      <c r="CK26" s="126"/>
      <c r="CL26" s="126"/>
      <c r="CM26" s="126"/>
      <c r="CN26" s="126"/>
      <c r="CO26" s="126"/>
      <c r="CP26" s="126"/>
      <c r="CQ26" s="126"/>
      <c r="CR26" s="126"/>
      <c r="CS26" s="126"/>
      <c r="CT26" s="126"/>
      <c r="CU26" s="126"/>
      <c r="CV26" s="126"/>
      <c r="CW26" s="126"/>
      <c r="CX26" s="126"/>
      <c r="CY26" s="126"/>
      <c r="CZ26" s="126"/>
      <c r="DA26" s="126"/>
      <c r="DB26" s="126"/>
      <c r="DC26" s="126"/>
      <c r="DD26" s="126"/>
      <c r="DE26" s="126"/>
      <c r="DF26" s="126"/>
      <c r="DG26" s="126"/>
      <c r="DH26" s="126"/>
      <c r="DI26" s="126"/>
      <c r="DJ26" s="126"/>
      <c r="DK26" s="126"/>
      <c r="DL26" s="126"/>
      <c r="DM26" s="126"/>
      <c r="DN26" s="126"/>
      <c r="DO26" s="126"/>
      <c r="DP26" s="126"/>
      <c r="DQ26" s="126"/>
      <c r="DR26" s="126"/>
      <c r="DS26" s="126"/>
      <c r="DT26" s="126"/>
      <c r="DU26" s="126"/>
      <c r="DV26" s="126"/>
      <c r="DW26" s="126"/>
      <c r="DX26" s="126"/>
      <c r="DY26" s="126"/>
      <c r="DZ26" s="126"/>
      <c r="EA26" s="126"/>
      <c r="EB26" s="126"/>
      <c r="EC26" s="126"/>
      <c r="ED26" s="126"/>
      <c r="EE26" s="126"/>
      <c r="EF26" s="126"/>
      <c r="EG26" s="126"/>
      <c r="EH26" s="126"/>
      <c r="EI26" s="126"/>
      <c r="EJ26" s="126"/>
      <c r="EK26" s="126"/>
      <c r="EL26" s="126"/>
      <c r="EM26" s="126"/>
      <c r="EN26" s="126"/>
      <c r="EO26" s="126"/>
      <c r="EP26" s="126"/>
      <c r="EQ26" s="126"/>
      <c r="ER26" s="126"/>
      <c r="ES26" s="126"/>
      <c r="ET26" s="126"/>
      <c r="EU26" s="126"/>
      <c r="EV26" s="126"/>
      <c r="EW26" s="126"/>
      <c r="EX26" s="126"/>
      <c r="EY26" s="126"/>
      <c r="EZ26" s="126"/>
      <c r="FA26" s="126"/>
      <c r="FB26" s="126"/>
      <c r="FC26" s="126"/>
      <c r="FD26" s="126"/>
      <c r="FE26" s="126"/>
      <c r="FF26" s="126"/>
      <c r="FG26" s="126"/>
      <c r="FH26" s="126"/>
      <c r="FI26" s="126"/>
      <c r="FJ26" s="126"/>
      <c r="FK26" s="126"/>
      <c r="FL26" s="126"/>
      <c r="FM26" s="126"/>
      <c r="FN26" s="126"/>
      <c r="FO26" s="126"/>
      <c r="FP26" s="126"/>
      <c r="FQ26" s="126"/>
      <c r="FR26" s="126"/>
      <c r="FS26" s="126"/>
      <c r="FT26" s="126"/>
      <c r="FU26" s="126"/>
      <c r="FV26" s="126"/>
      <c r="FW26" s="126"/>
      <c r="FX26" s="126"/>
      <c r="FY26" s="126"/>
      <c r="FZ26" s="126"/>
      <c r="GA26" s="126"/>
      <c r="GB26" s="126"/>
      <c r="GC26" s="126"/>
      <c r="GD26" s="126"/>
      <c r="GE26" s="126"/>
      <c r="GF26" s="126"/>
      <c r="GG26" s="126"/>
      <c r="GH26" s="126"/>
      <c r="GI26" s="126"/>
      <c r="GJ26" s="126"/>
      <c r="GK26" s="126"/>
      <c r="GL26" s="126"/>
      <c r="GM26" s="126"/>
      <c r="GN26" s="126"/>
      <c r="GO26" s="126"/>
      <c r="GP26" s="126"/>
      <c r="GQ26" s="126"/>
      <c r="GR26" s="126"/>
      <c r="GS26" s="126"/>
      <c r="GT26" s="126"/>
      <c r="GU26" s="126"/>
      <c r="GV26" s="126"/>
      <c r="GW26" s="126"/>
      <c r="GX26" s="126"/>
      <c r="GY26" s="126"/>
      <c r="GZ26" s="126"/>
      <c r="HA26" s="126"/>
      <c r="HB26" s="126"/>
      <c r="HC26" s="126"/>
      <c r="HD26" s="126"/>
      <c r="HE26" s="126"/>
      <c r="HF26" s="126"/>
      <c r="HG26" s="126"/>
      <c r="HH26" s="126"/>
      <c r="HI26" s="126"/>
      <c r="HJ26" s="126"/>
      <c r="HK26" s="126"/>
      <c r="HL26" s="126"/>
      <c r="HM26" s="126"/>
      <c r="HN26" s="126"/>
      <c r="HO26" s="126"/>
      <c r="HP26" s="126"/>
      <c r="HQ26" s="126"/>
      <c r="HR26" s="126"/>
      <c r="HS26" s="126"/>
      <c r="HT26" s="126"/>
      <c r="HU26" s="126"/>
      <c r="HV26" s="126"/>
      <c r="HW26" s="126"/>
      <c r="HX26" s="126"/>
      <c r="HY26" s="126"/>
      <c r="HZ26" s="126"/>
      <c r="IA26" s="126"/>
      <c r="IB26" s="126"/>
      <c r="IC26" s="126"/>
      <c r="ID26" s="126"/>
      <c r="IE26" s="126"/>
      <c r="IF26" s="126"/>
      <c r="IG26" s="126"/>
      <c r="IH26" s="126"/>
      <c r="II26" s="126"/>
      <c r="IJ26" s="126"/>
      <c r="IK26" s="126"/>
      <c r="IL26" s="126"/>
      <c r="IM26" s="126"/>
      <c r="IN26" s="126"/>
      <c r="IO26" s="126"/>
      <c r="IP26" s="126"/>
      <c r="IQ26" s="126"/>
      <c r="IR26" s="126"/>
      <c r="IS26" s="126"/>
      <c r="IT26" s="126"/>
      <c r="IU26" s="126"/>
      <c r="IV26" s="126"/>
    </row>
    <row r="27" spans="1:256" ht="18" customHeight="1" x14ac:dyDescent="0.35">
      <c r="A27" s="1624">
        <v>21</v>
      </c>
      <c r="B27" s="126"/>
      <c r="D27" s="1697" t="s">
        <v>295</v>
      </c>
      <c r="E27" s="1644">
        <v>1329</v>
      </c>
      <c r="F27" s="1646"/>
      <c r="G27" s="1646"/>
      <c r="H27" s="1646"/>
      <c r="I27" s="126"/>
      <c r="J27" s="1640"/>
      <c r="K27" s="126"/>
      <c r="L27" s="1640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  <c r="AO27" s="126"/>
      <c r="AP27" s="126"/>
      <c r="AQ27" s="126"/>
      <c r="AR27" s="126"/>
      <c r="AS27" s="126"/>
      <c r="AT27" s="126"/>
      <c r="AU27" s="126"/>
      <c r="AV27" s="126"/>
      <c r="AW27" s="126"/>
      <c r="AX27" s="126"/>
      <c r="AY27" s="126"/>
      <c r="AZ27" s="126"/>
      <c r="BA27" s="126"/>
      <c r="BB27" s="126"/>
      <c r="BC27" s="126"/>
      <c r="BD27" s="126"/>
      <c r="BE27" s="126"/>
      <c r="BF27" s="126"/>
      <c r="BG27" s="126"/>
      <c r="BH27" s="126"/>
      <c r="BI27" s="126"/>
      <c r="BJ27" s="126"/>
      <c r="BK27" s="126"/>
      <c r="BL27" s="126"/>
      <c r="BM27" s="126"/>
      <c r="BN27" s="126"/>
      <c r="BO27" s="126"/>
      <c r="BP27" s="126"/>
      <c r="BQ27" s="126"/>
      <c r="BR27" s="126"/>
      <c r="BS27" s="126"/>
      <c r="BT27" s="126"/>
      <c r="BU27" s="126"/>
      <c r="BV27" s="126"/>
      <c r="BW27" s="126"/>
      <c r="BX27" s="126"/>
      <c r="BY27" s="126"/>
      <c r="BZ27" s="126"/>
      <c r="CA27" s="126"/>
      <c r="CB27" s="126"/>
      <c r="CC27" s="126"/>
      <c r="CD27" s="126"/>
      <c r="CE27" s="126"/>
      <c r="CF27" s="126"/>
      <c r="CG27" s="126"/>
      <c r="CH27" s="126"/>
      <c r="CI27" s="126"/>
      <c r="CJ27" s="126"/>
      <c r="CK27" s="126"/>
      <c r="CL27" s="126"/>
      <c r="CM27" s="126"/>
      <c r="CN27" s="126"/>
      <c r="CO27" s="126"/>
      <c r="CP27" s="126"/>
      <c r="CQ27" s="126"/>
      <c r="CR27" s="126"/>
      <c r="CS27" s="126"/>
      <c r="CT27" s="126"/>
      <c r="CU27" s="126"/>
      <c r="CV27" s="126"/>
      <c r="CW27" s="126"/>
      <c r="CX27" s="126"/>
      <c r="CY27" s="126"/>
      <c r="CZ27" s="126"/>
      <c r="DA27" s="126"/>
      <c r="DB27" s="126"/>
      <c r="DC27" s="126"/>
      <c r="DD27" s="126"/>
      <c r="DE27" s="126"/>
      <c r="DF27" s="126"/>
      <c r="DG27" s="126"/>
      <c r="DH27" s="126"/>
      <c r="DI27" s="126"/>
      <c r="DJ27" s="126"/>
      <c r="DK27" s="126"/>
      <c r="DL27" s="126"/>
      <c r="DM27" s="126"/>
      <c r="DN27" s="126"/>
      <c r="DO27" s="126"/>
      <c r="DP27" s="126"/>
      <c r="DQ27" s="126"/>
      <c r="DR27" s="126"/>
      <c r="DS27" s="126"/>
      <c r="DT27" s="126"/>
      <c r="DU27" s="126"/>
      <c r="DV27" s="126"/>
      <c r="DW27" s="126"/>
      <c r="DX27" s="126"/>
      <c r="DY27" s="126"/>
      <c r="DZ27" s="126"/>
      <c r="EA27" s="126"/>
      <c r="EB27" s="126"/>
      <c r="EC27" s="126"/>
      <c r="ED27" s="126"/>
      <c r="EE27" s="126"/>
      <c r="EF27" s="126"/>
      <c r="EG27" s="126"/>
      <c r="EH27" s="126"/>
      <c r="EI27" s="126"/>
      <c r="EJ27" s="126"/>
      <c r="EK27" s="126"/>
      <c r="EL27" s="126"/>
      <c r="EM27" s="126"/>
      <c r="EN27" s="126"/>
      <c r="EO27" s="126"/>
      <c r="EP27" s="126"/>
      <c r="EQ27" s="126"/>
      <c r="ER27" s="126"/>
      <c r="ES27" s="126"/>
      <c r="ET27" s="126"/>
      <c r="EU27" s="126"/>
      <c r="EV27" s="126"/>
      <c r="EW27" s="126"/>
      <c r="EX27" s="126"/>
      <c r="EY27" s="126"/>
      <c r="EZ27" s="126"/>
      <c r="FA27" s="126"/>
      <c r="FB27" s="126"/>
      <c r="FC27" s="126"/>
      <c r="FD27" s="126"/>
      <c r="FE27" s="126"/>
      <c r="FF27" s="126"/>
      <c r="FG27" s="126"/>
      <c r="FH27" s="126"/>
      <c r="FI27" s="126"/>
      <c r="FJ27" s="126"/>
      <c r="FK27" s="126"/>
      <c r="FL27" s="126"/>
      <c r="FM27" s="126"/>
      <c r="FN27" s="126"/>
      <c r="FO27" s="126"/>
      <c r="FP27" s="126"/>
      <c r="FQ27" s="126"/>
      <c r="FR27" s="126"/>
      <c r="FS27" s="126"/>
      <c r="FT27" s="126"/>
      <c r="FU27" s="126"/>
      <c r="FV27" s="126"/>
      <c r="FW27" s="126"/>
      <c r="FX27" s="126"/>
      <c r="FY27" s="126"/>
      <c r="FZ27" s="126"/>
      <c r="GA27" s="126"/>
      <c r="GB27" s="126"/>
      <c r="GC27" s="126"/>
      <c r="GD27" s="126"/>
      <c r="GE27" s="126"/>
      <c r="GF27" s="126"/>
      <c r="GG27" s="126"/>
      <c r="GH27" s="126"/>
      <c r="GI27" s="126"/>
      <c r="GJ27" s="126"/>
      <c r="GK27" s="126"/>
      <c r="GL27" s="126"/>
      <c r="GM27" s="126"/>
      <c r="GN27" s="126"/>
      <c r="GO27" s="126"/>
      <c r="GP27" s="126"/>
      <c r="GQ27" s="126"/>
      <c r="GR27" s="126"/>
      <c r="GS27" s="126"/>
      <c r="GT27" s="126"/>
      <c r="GU27" s="126"/>
      <c r="GV27" s="126"/>
      <c r="GW27" s="126"/>
      <c r="GX27" s="126"/>
      <c r="GY27" s="126"/>
      <c r="GZ27" s="126"/>
      <c r="HA27" s="126"/>
      <c r="HB27" s="126"/>
      <c r="HC27" s="126"/>
      <c r="HD27" s="126"/>
      <c r="HE27" s="126"/>
      <c r="HF27" s="126"/>
      <c r="HG27" s="126"/>
      <c r="HH27" s="126"/>
      <c r="HI27" s="126"/>
      <c r="HJ27" s="126"/>
      <c r="HK27" s="126"/>
      <c r="HL27" s="126"/>
      <c r="HM27" s="126"/>
      <c r="HN27" s="126"/>
      <c r="HO27" s="126"/>
      <c r="HP27" s="126"/>
      <c r="HQ27" s="126"/>
      <c r="HR27" s="126"/>
      <c r="HS27" s="126"/>
      <c r="HT27" s="126"/>
      <c r="HU27" s="126"/>
      <c r="HV27" s="126"/>
      <c r="HW27" s="126"/>
      <c r="HX27" s="126"/>
      <c r="HY27" s="126"/>
      <c r="HZ27" s="126"/>
      <c r="IA27" s="126"/>
      <c r="IB27" s="126"/>
      <c r="IC27" s="126"/>
      <c r="ID27" s="126"/>
      <c r="IE27" s="126"/>
      <c r="IF27" s="126"/>
      <c r="IG27" s="126"/>
      <c r="IH27" s="126"/>
      <c r="II27" s="126"/>
      <c r="IJ27" s="126"/>
      <c r="IK27" s="126"/>
      <c r="IL27" s="126"/>
      <c r="IM27" s="126"/>
      <c r="IN27" s="126"/>
      <c r="IO27" s="126"/>
      <c r="IP27" s="126"/>
      <c r="IQ27" s="126"/>
      <c r="IR27" s="126"/>
      <c r="IS27" s="126"/>
      <c r="IT27" s="126"/>
      <c r="IU27" s="126"/>
      <c r="IV27" s="126"/>
    </row>
    <row r="28" spans="1:256" ht="18" customHeight="1" x14ac:dyDescent="0.35">
      <c r="A28" s="1624">
        <v>22</v>
      </c>
      <c r="B28" s="126"/>
      <c r="D28" s="1697" t="s">
        <v>1300</v>
      </c>
      <c r="E28" s="1644">
        <v>124</v>
      </c>
      <c r="F28" s="1646"/>
      <c r="G28" s="1646"/>
      <c r="H28" s="1646"/>
      <c r="I28" s="126"/>
      <c r="J28" s="1640"/>
      <c r="K28" s="126"/>
      <c r="L28" s="1640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  <c r="CF28" s="126"/>
      <c r="CG28" s="126"/>
      <c r="CH28" s="126"/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DH28" s="126"/>
      <c r="DI28" s="126"/>
      <c r="DJ28" s="126"/>
      <c r="DK28" s="126"/>
      <c r="DL28" s="126"/>
      <c r="DM28" s="126"/>
      <c r="DN28" s="126"/>
      <c r="DO28" s="126"/>
      <c r="DP28" s="126"/>
      <c r="DQ28" s="126"/>
      <c r="DR28" s="126"/>
      <c r="DS28" s="126"/>
      <c r="DT28" s="126"/>
      <c r="DU28" s="126"/>
      <c r="DV28" s="126"/>
      <c r="DW28" s="126"/>
      <c r="DX28" s="126"/>
      <c r="DY28" s="126"/>
      <c r="DZ28" s="126"/>
      <c r="EA28" s="126"/>
      <c r="EB28" s="126"/>
      <c r="EC28" s="126"/>
      <c r="ED28" s="126"/>
      <c r="EE28" s="126"/>
      <c r="EF28" s="126"/>
      <c r="EG28" s="126"/>
      <c r="EH28" s="126"/>
      <c r="EI28" s="126"/>
      <c r="EJ28" s="126"/>
      <c r="EK28" s="126"/>
      <c r="EL28" s="126"/>
      <c r="EM28" s="126"/>
      <c r="EN28" s="126"/>
      <c r="EO28" s="126"/>
      <c r="EP28" s="126"/>
      <c r="EQ28" s="126"/>
      <c r="ER28" s="126"/>
      <c r="ES28" s="126"/>
      <c r="ET28" s="126"/>
      <c r="EU28" s="126"/>
      <c r="EV28" s="126"/>
      <c r="EW28" s="126"/>
      <c r="EX28" s="126"/>
      <c r="EY28" s="126"/>
      <c r="EZ28" s="126"/>
      <c r="FA28" s="126"/>
      <c r="FB28" s="126"/>
      <c r="FC28" s="126"/>
      <c r="FD28" s="126"/>
      <c r="FE28" s="126"/>
      <c r="FF28" s="126"/>
      <c r="FG28" s="126"/>
      <c r="FH28" s="126"/>
      <c r="FI28" s="126"/>
      <c r="FJ28" s="126"/>
      <c r="FK28" s="126"/>
      <c r="FL28" s="126"/>
      <c r="FM28" s="126"/>
      <c r="FN28" s="126"/>
      <c r="FO28" s="126"/>
      <c r="FP28" s="126"/>
      <c r="FQ28" s="126"/>
      <c r="FR28" s="126"/>
      <c r="FS28" s="126"/>
      <c r="FT28" s="126"/>
      <c r="FU28" s="126"/>
      <c r="FV28" s="126"/>
      <c r="FW28" s="126"/>
      <c r="FX28" s="126"/>
      <c r="FY28" s="126"/>
      <c r="FZ28" s="126"/>
      <c r="GA28" s="126"/>
      <c r="GB28" s="126"/>
      <c r="GC28" s="126"/>
      <c r="GD28" s="126"/>
      <c r="GE28" s="126"/>
      <c r="GF28" s="126"/>
      <c r="GG28" s="126"/>
      <c r="GH28" s="126"/>
      <c r="GI28" s="126"/>
      <c r="GJ28" s="126"/>
      <c r="GK28" s="126"/>
      <c r="GL28" s="126"/>
      <c r="GM28" s="126"/>
      <c r="GN28" s="126"/>
      <c r="GO28" s="126"/>
      <c r="GP28" s="126"/>
      <c r="GQ28" s="126"/>
      <c r="GR28" s="126"/>
      <c r="GS28" s="126"/>
      <c r="GT28" s="126"/>
      <c r="GU28" s="126"/>
      <c r="GV28" s="126"/>
      <c r="GW28" s="126"/>
      <c r="GX28" s="126"/>
      <c r="GY28" s="126"/>
      <c r="GZ28" s="126"/>
      <c r="HA28" s="126"/>
      <c r="HB28" s="126"/>
      <c r="HC28" s="126"/>
      <c r="HD28" s="126"/>
      <c r="HE28" s="126"/>
      <c r="HF28" s="126"/>
      <c r="HG28" s="126"/>
      <c r="HH28" s="126"/>
      <c r="HI28" s="126"/>
      <c r="HJ28" s="126"/>
      <c r="HK28" s="126"/>
      <c r="HL28" s="126"/>
      <c r="HM28" s="126"/>
      <c r="HN28" s="126"/>
      <c r="HO28" s="126"/>
      <c r="HP28" s="126"/>
      <c r="HQ28" s="126"/>
      <c r="HR28" s="126"/>
      <c r="HS28" s="126"/>
      <c r="HT28" s="126"/>
      <c r="HU28" s="126"/>
      <c r="HV28" s="126"/>
      <c r="HW28" s="126"/>
      <c r="HX28" s="126"/>
      <c r="HY28" s="126"/>
      <c r="HZ28" s="126"/>
      <c r="IA28" s="126"/>
      <c r="IB28" s="126"/>
      <c r="IC28" s="126"/>
      <c r="ID28" s="126"/>
      <c r="IE28" s="126"/>
      <c r="IF28" s="126"/>
      <c r="IG28" s="126"/>
      <c r="IH28" s="126"/>
      <c r="II28" s="126"/>
      <c r="IJ28" s="126"/>
      <c r="IK28" s="126"/>
      <c r="IL28" s="126"/>
      <c r="IM28" s="126"/>
      <c r="IN28" s="126"/>
      <c r="IO28" s="126"/>
      <c r="IP28" s="126"/>
      <c r="IQ28" s="126"/>
      <c r="IR28" s="126"/>
      <c r="IS28" s="126"/>
      <c r="IT28" s="126"/>
      <c r="IU28" s="126"/>
      <c r="IV28" s="126"/>
    </row>
    <row r="29" spans="1:256" ht="18" customHeight="1" x14ac:dyDescent="0.35">
      <c r="A29" s="1624">
        <v>23</v>
      </c>
      <c r="B29" s="126"/>
      <c r="D29" s="1697" t="s">
        <v>297</v>
      </c>
      <c r="E29" s="1815">
        <f>359+34</f>
        <v>393</v>
      </c>
      <c r="F29" s="1646"/>
      <c r="G29" s="1646"/>
      <c r="H29" s="1646"/>
      <c r="I29" s="126"/>
      <c r="J29" s="1640"/>
      <c r="K29" s="126"/>
      <c r="L29" s="1640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26"/>
      <c r="AU29" s="126"/>
      <c r="AV29" s="126"/>
      <c r="AW29" s="126"/>
      <c r="AX29" s="126"/>
      <c r="AY29" s="126"/>
      <c r="AZ29" s="126"/>
      <c r="BA29" s="126"/>
      <c r="BB29" s="126"/>
      <c r="BC29" s="126"/>
      <c r="BD29" s="126"/>
      <c r="BE29" s="126"/>
      <c r="BF29" s="126"/>
      <c r="BG29" s="126"/>
      <c r="BH29" s="126"/>
      <c r="BI29" s="126"/>
      <c r="BJ29" s="126"/>
      <c r="BK29" s="126"/>
      <c r="BL29" s="126"/>
      <c r="BM29" s="126"/>
      <c r="BN29" s="126"/>
      <c r="BO29" s="126"/>
      <c r="BP29" s="126"/>
      <c r="BQ29" s="126"/>
      <c r="BR29" s="126"/>
      <c r="BS29" s="126"/>
      <c r="BT29" s="126"/>
      <c r="BU29" s="126"/>
      <c r="BV29" s="126"/>
      <c r="BW29" s="126"/>
      <c r="BX29" s="126"/>
      <c r="BY29" s="126"/>
      <c r="BZ29" s="126"/>
      <c r="CA29" s="126"/>
      <c r="CB29" s="126"/>
      <c r="CC29" s="126"/>
      <c r="CD29" s="126"/>
      <c r="CE29" s="126"/>
      <c r="CF29" s="126"/>
      <c r="CG29" s="126"/>
      <c r="CH29" s="126"/>
      <c r="CI29" s="126"/>
      <c r="CJ29" s="126"/>
      <c r="CK29" s="126"/>
      <c r="CL29" s="126"/>
      <c r="CM29" s="126"/>
      <c r="CN29" s="126"/>
      <c r="CO29" s="126"/>
      <c r="CP29" s="126"/>
      <c r="CQ29" s="126"/>
      <c r="CR29" s="126"/>
      <c r="CS29" s="126"/>
      <c r="CT29" s="126"/>
      <c r="CU29" s="126"/>
      <c r="CV29" s="126"/>
      <c r="CW29" s="126"/>
      <c r="CX29" s="126"/>
      <c r="CY29" s="126"/>
      <c r="CZ29" s="126"/>
      <c r="DA29" s="126"/>
      <c r="DB29" s="126"/>
      <c r="DC29" s="126"/>
      <c r="DD29" s="126"/>
      <c r="DE29" s="126"/>
      <c r="DF29" s="126"/>
      <c r="DG29" s="126"/>
      <c r="DH29" s="126"/>
      <c r="DI29" s="126"/>
      <c r="DJ29" s="126"/>
      <c r="DK29" s="126"/>
      <c r="DL29" s="126"/>
      <c r="DM29" s="126"/>
      <c r="DN29" s="126"/>
      <c r="DO29" s="126"/>
      <c r="DP29" s="126"/>
      <c r="DQ29" s="126"/>
      <c r="DR29" s="126"/>
      <c r="DS29" s="126"/>
      <c r="DT29" s="126"/>
      <c r="DU29" s="126"/>
      <c r="DV29" s="126"/>
      <c r="DW29" s="126"/>
      <c r="DX29" s="126"/>
      <c r="DY29" s="126"/>
      <c r="DZ29" s="126"/>
      <c r="EA29" s="126"/>
      <c r="EB29" s="126"/>
      <c r="EC29" s="126"/>
      <c r="ED29" s="126"/>
      <c r="EE29" s="126"/>
      <c r="EF29" s="126"/>
      <c r="EG29" s="126"/>
      <c r="EH29" s="126"/>
      <c r="EI29" s="126"/>
      <c r="EJ29" s="126"/>
      <c r="EK29" s="126"/>
      <c r="EL29" s="126"/>
      <c r="EM29" s="126"/>
      <c r="EN29" s="126"/>
      <c r="EO29" s="126"/>
      <c r="EP29" s="126"/>
      <c r="EQ29" s="126"/>
      <c r="ER29" s="126"/>
      <c r="ES29" s="126"/>
      <c r="ET29" s="126"/>
      <c r="EU29" s="126"/>
      <c r="EV29" s="126"/>
      <c r="EW29" s="126"/>
      <c r="EX29" s="126"/>
      <c r="EY29" s="126"/>
      <c r="EZ29" s="126"/>
      <c r="FA29" s="126"/>
      <c r="FB29" s="126"/>
      <c r="FC29" s="126"/>
      <c r="FD29" s="126"/>
      <c r="FE29" s="126"/>
      <c r="FF29" s="126"/>
      <c r="FG29" s="126"/>
      <c r="FH29" s="126"/>
      <c r="FI29" s="126"/>
      <c r="FJ29" s="126"/>
      <c r="FK29" s="126"/>
      <c r="FL29" s="126"/>
      <c r="FM29" s="126"/>
      <c r="FN29" s="126"/>
      <c r="FO29" s="126"/>
      <c r="FP29" s="126"/>
      <c r="FQ29" s="126"/>
      <c r="FR29" s="126"/>
      <c r="FS29" s="126"/>
      <c r="FT29" s="126"/>
      <c r="FU29" s="126"/>
      <c r="FV29" s="126"/>
      <c r="FW29" s="126"/>
      <c r="FX29" s="126"/>
      <c r="FY29" s="126"/>
      <c r="FZ29" s="126"/>
      <c r="GA29" s="126"/>
      <c r="GB29" s="126"/>
      <c r="GC29" s="126"/>
      <c r="GD29" s="126"/>
      <c r="GE29" s="126"/>
      <c r="GF29" s="126"/>
      <c r="GG29" s="126"/>
      <c r="GH29" s="126"/>
      <c r="GI29" s="126"/>
      <c r="GJ29" s="126"/>
      <c r="GK29" s="126"/>
      <c r="GL29" s="126"/>
      <c r="GM29" s="126"/>
      <c r="GN29" s="126"/>
      <c r="GO29" s="126"/>
      <c r="GP29" s="126"/>
      <c r="GQ29" s="126"/>
      <c r="GR29" s="126"/>
      <c r="GS29" s="126"/>
      <c r="GT29" s="126"/>
      <c r="GU29" s="126"/>
      <c r="GV29" s="126"/>
      <c r="GW29" s="126"/>
      <c r="GX29" s="126"/>
      <c r="GY29" s="126"/>
      <c r="GZ29" s="126"/>
      <c r="HA29" s="126"/>
      <c r="HB29" s="126"/>
      <c r="HC29" s="126"/>
      <c r="HD29" s="126"/>
      <c r="HE29" s="126"/>
      <c r="HF29" s="126"/>
      <c r="HG29" s="126"/>
      <c r="HH29" s="126"/>
      <c r="HI29" s="126"/>
      <c r="HJ29" s="126"/>
      <c r="HK29" s="126"/>
      <c r="HL29" s="126"/>
      <c r="HM29" s="126"/>
      <c r="HN29" s="126"/>
      <c r="HO29" s="126"/>
      <c r="HP29" s="126"/>
      <c r="HQ29" s="126"/>
      <c r="HR29" s="126"/>
      <c r="HS29" s="126"/>
      <c r="HT29" s="126"/>
      <c r="HU29" s="126"/>
      <c r="HV29" s="126"/>
      <c r="HW29" s="126"/>
      <c r="HX29" s="126"/>
      <c r="HY29" s="126"/>
      <c r="HZ29" s="126"/>
      <c r="IA29" s="126"/>
      <c r="IB29" s="126"/>
      <c r="IC29" s="126"/>
      <c r="ID29" s="126"/>
      <c r="IE29" s="126"/>
      <c r="IF29" s="126"/>
      <c r="IG29" s="126"/>
      <c r="IH29" s="126"/>
      <c r="II29" s="126"/>
      <c r="IJ29" s="126"/>
      <c r="IK29" s="126"/>
      <c r="IL29" s="126"/>
      <c r="IM29" s="126"/>
      <c r="IN29" s="126"/>
      <c r="IO29" s="126"/>
      <c r="IP29" s="126"/>
      <c r="IQ29" s="126"/>
      <c r="IR29" s="126"/>
      <c r="IS29" s="126"/>
      <c r="IT29" s="126"/>
      <c r="IU29" s="126"/>
      <c r="IV29" s="126"/>
    </row>
    <row r="30" spans="1:256" ht="18" customHeight="1" x14ac:dyDescent="0.35">
      <c r="A30" s="1624">
        <v>24</v>
      </c>
      <c r="B30" s="126"/>
      <c r="D30" s="1647" t="s">
        <v>129</v>
      </c>
      <c r="E30" s="1645">
        <f>SUM(E27:E29)</f>
        <v>1846</v>
      </c>
      <c r="F30" s="1646"/>
      <c r="G30" s="1646"/>
      <c r="H30" s="1646"/>
      <c r="I30" s="126"/>
      <c r="J30" s="1640"/>
      <c r="K30" s="126"/>
      <c r="L30" s="1640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26"/>
      <c r="AU30" s="126"/>
      <c r="AV30" s="126"/>
      <c r="AW30" s="126"/>
      <c r="AX30" s="126"/>
      <c r="AY30" s="126"/>
      <c r="AZ30" s="126"/>
      <c r="BA30" s="126"/>
      <c r="BB30" s="126"/>
      <c r="BC30" s="126"/>
      <c r="BD30" s="126"/>
      <c r="BE30" s="126"/>
      <c r="BF30" s="126"/>
      <c r="BG30" s="126"/>
      <c r="BH30" s="126"/>
      <c r="BI30" s="126"/>
      <c r="BJ30" s="126"/>
      <c r="BK30" s="126"/>
      <c r="BL30" s="126"/>
      <c r="BM30" s="126"/>
      <c r="BN30" s="126"/>
      <c r="BO30" s="126"/>
      <c r="BP30" s="126"/>
      <c r="BQ30" s="126"/>
      <c r="BR30" s="126"/>
      <c r="BS30" s="126"/>
      <c r="BT30" s="126"/>
      <c r="BU30" s="126"/>
      <c r="BV30" s="126"/>
      <c r="BW30" s="126"/>
      <c r="BX30" s="126"/>
      <c r="BY30" s="126"/>
      <c r="BZ30" s="126"/>
      <c r="CA30" s="126"/>
      <c r="CB30" s="126"/>
      <c r="CC30" s="126"/>
      <c r="CD30" s="126"/>
      <c r="CE30" s="126"/>
      <c r="CF30" s="126"/>
      <c r="CG30" s="126"/>
      <c r="CH30" s="126"/>
      <c r="CI30" s="126"/>
      <c r="CJ30" s="126"/>
      <c r="CK30" s="126"/>
      <c r="CL30" s="126"/>
      <c r="CM30" s="126"/>
      <c r="CN30" s="126"/>
      <c r="CO30" s="126"/>
      <c r="CP30" s="126"/>
      <c r="CQ30" s="126"/>
      <c r="CR30" s="126"/>
      <c r="CS30" s="126"/>
      <c r="CT30" s="126"/>
      <c r="CU30" s="126"/>
      <c r="CV30" s="126"/>
      <c r="CW30" s="126"/>
      <c r="CX30" s="126"/>
      <c r="CY30" s="126"/>
      <c r="CZ30" s="126"/>
      <c r="DA30" s="126"/>
      <c r="DB30" s="126"/>
      <c r="DC30" s="126"/>
      <c r="DD30" s="126"/>
      <c r="DE30" s="126"/>
      <c r="DF30" s="126"/>
      <c r="DG30" s="126"/>
      <c r="DH30" s="126"/>
      <c r="DI30" s="126"/>
      <c r="DJ30" s="126"/>
      <c r="DK30" s="126"/>
      <c r="DL30" s="126"/>
      <c r="DM30" s="126"/>
      <c r="DN30" s="126"/>
      <c r="DO30" s="126"/>
      <c r="DP30" s="126"/>
      <c r="DQ30" s="126"/>
      <c r="DR30" s="126"/>
      <c r="DS30" s="126"/>
      <c r="DT30" s="126"/>
      <c r="DU30" s="126"/>
      <c r="DV30" s="126"/>
      <c r="DW30" s="126"/>
      <c r="DX30" s="126"/>
      <c r="DY30" s="126"/>
      <c r="DZ30" s="126"/>
      <c r="EA30" s="126"/>
      <c r="EB30" s="126"/>
      <c r="EC30" s="126"/>
      <c r="ED30" s="126"/>
      <c r="EE30" s="126"/>
      <c r="EF30" s="126"/>
      <c r="EG30" s="126"/>
      <c r="EH30" s="126"/>
      <c r="EI30" s="126"/>
      <c r="EJ30" s="126"/>
      <c r="EK30" s="126"/>
      <c r="EL30" s="126"/>
      <c r="EM30" s="126"/>
      <c r="EN30" s="126"/>
      <c r="EO30" s="126"/>
      <c r="EP30" s="126"/>
      <c r="EQ30" s="126"/>
      <c r="ER30" s="126"/>
      <c r="ES30" s="126"/>
      <c r="ET30" s="126"/>
      <c r="EU30" s="126"/>
      <c r="EV30" s="126"/>
      <c r="EW30" s="126"/>
      <c r="EX30" s="126"/>
      <c r="EY30" s="126"/>
      <c r="EZ30" s="126"/>
      <c r="FA30" s="126"/>
      <c r="FB30" s="126"/>
      <c r="FC30" s="126"/>
      <c r="FD30" s="126"/>
      <c r="FE30" s="126"/>
      <c r="FF30" s="126"/>
      <c r="FG30" s="126"/>
      <c r="FH30" s="126"/>
      <c r="FI30" s="126"/>
      <c r="FJ30" s="126"/>
      <c r="FK30" s="126"/>
      <c r="FL30" s="126"/>
      <c r="FM30" s="126"/>
      <c r="FN30" s="126"/>
      <c r="FO30" s="126"/>
      <c r="FP30" s="126"/>
      <c r="FQ30" s="126"/>
      <c r="FR30" s="126"/>
      <c r="FS30" s="126"/>
      <c r="FT30" s="126"/>
      <c r="FU30" s="126"/>
      <c r="FV30" s="126"/>
      <c r="FW30" s="126"/>
      <c r="FX30" s="126"/>
      <c r="FY30" s="126"/>
      <c r="FZ30" s="126"/>
      <c r="GA30" s="126"/>
      <c r="GB30" s="126"/>
      <c r="GC30" s="126"/>
      <c r="GD30" s="126"/>
      <c r="GE30" s="126"/>
      <c r="GF30" s="126"/>
      <c r="GG30" s="126"/>
      <c r="GH30" s="126"/>
      <c r="GI30" s="126"/>
      <c r="GJ30" s="126"/>
      <c r="GK30" s="126"/>
      <c r="GL30" s="126"/>
      <c r="GM30" s="126"/>
      <c r="GN30" s="126"/>
      <c r="GO30" s="126"/>
      <c r="GP30" s="126"/>
      <c r="GQ30" s="126"/>
      <c r="GR30" s="126"/>
      <c r="GS30" s="126"/>
      <c r="GT30" s="126"/>
      <c r="GU30" s="126"/>
      <c r="GV30" s="126"/>
      <c r="GW30" s="126"/>
      <c r="GX30" s="126"/>
      <c r="GY30" s="126"/>
      <c r="GZ30" s="126"/>
      <c r="HA30" s="126"/>
      <c r="HB30" s="126"/>
      <c r="HC30" s="126"/>
      <c r="HD30" s="126"/>
      <c r="HE30" s="126"/>
      <c r="HF30" s="126"/>
      <c r="HG30" s="126"/>
      <c r="HH30" s="126"/>
      <c r="HI30" s="126"/>
      <c r="HJ30" s="126"/>
      <c r="HK30" s="126"/>
      <c r="HL30" s="126"/>
      <c r="HM30" s="126"/>
      <c r="HN30" s="126"/>
      <c r="HO30" s="126"/>
      <c r="HP30" s="126"/>
      <c r="HQ30" s="126"/>
      <c r="HR30" s="126"/>
      <c r="HS30" s="126"/>
      <c r="HT30" s="126"/>
      <c r="HU30" s="126"/>
      <c r="HV30" s="126"/>
      <c r="HW30" s="126"/>
      <c r="HX30" s="126"/>
      <c r="HY30" s="126"/>
      <c r="HZ30" s="126"/>
      <c r="IA30" s="126"/>
      <c r="IB30" s="126"/>
      <c r="IC30" s="126"/>
      <c r="ID30" s="126"/>
      <c r="IE30" s="126"/>
      <c r="IF30" s="126"/>
      <c r="IG30" s="126"/>
      <c r="IH30" s="126"/>
      <c r="II30" s="126"/>
      <c r="IJ30" s="126"/>
      <c r="IK30" s="126"/>
      <c r="IL30" s="126"/>
      <c r="IM30" s="126"/>
      <c r="IN30" s="126"/>
      <c r="IO30" s="126"/>
      <c r="IP30" s="126"/>
      <c r="IQ30" s="126"/>
      <c r="IR30" s="126"/>
      <c r="IS30" s="126"/>
      <c r="IT30" s="126"/>
      <c r="IU30" s="126"/>
      <c r="IV30" s="126"/>
    </row>
    <row r="31" spans="1:256" ht="24.95" customHeight="1" x14ac:dyDescent="0.35">
      <c r="A31" s="1624">
        <v>25</v>
      </c>
      <c r="B31" s="126"/>
      <c r="C31" s="1631" t="s">
        <v>225</v>
      </c>
      <c r="D31" s="1638" t="s">
        <v>972</v>
      </c>
      <c r="E31" s="1645"/>
      <c r="F31" s="1646"/>
      <c r="G31" s="1646"/>
      <c r="H31" s="1646"/>
      <c r="I31" s="126"/>
      <c r="J31" s="1640"/>
      <c r="K31" s="126"/>
      <c r="L31" s="1640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126"/>
      <c r="AP31" s="126"/>
      <c r="AQ31" s="126"/>
      <c r="AR31" s="126"/>
      <c r="AS31" s="126"/>
      <c r="AT31" s="126"/>
      <c r="AU31" s="126"/>
      <c r="AV31" s="126"/>
      <c r="AW31" s="126"/>
      <c r="AX31" s="126"/>
      <c r="AY31" s="126"/>
      <c r="AZ31" s="126"/>
      <c r="BA31" s="126"/>
      <c r="BB31" s="126"/>
      <c r="BC31" s="126"/>
      <c r="BD31" s="126"/>
      <c r="BE31" s="126"/>
      <c r="BF31" s="126"/>
      <c r="BG31" s="126"/>
      <c r="BH31" s="126"/>
      <c r="BI31" s="126"/>
      <c r="BJ31" s="126"/>
      <c r="BK31" s="126"/>
      <c r="BL31" s="126"/>
      <c r="BM31" s="126"/>
      <c r="BN31" s="126"/>
      <c r="BO31" s="126"/>
      <c r="BP31" s="126"/>
      <c r="BQ31" s="126"/>
      <c r="BR31" s="126"/>
      <c r="BS31" s="126"/>
      <c r="BT31" s="126"/>
      <c r="BU31" s="126"/>
      <c r="BV31" s="126"/>
      <c r="BW31" s="126"/>
      <c r="BX31" s="126"/>
      <c r="BY31" s="126"/>
      <c r="BZ31" s="126"/>
      <c r="CA31" s="126"/>
      <c r="CB31" s="126"/>
      <c r="CC31" s="126"/>
      <c r="CD31" s="126"/>
      <c r="CE31" s="126"/>
      <c r="CF31" s="126"/>
      <c r="CG31" s="126"/>
      <c r="CH31" s="126"/>
      <c r="CI31" s="126"/>
      <c r="CJ31" s="126"/>
      <c r="CK31" s="126"/>
      <c r="CL31" s="126"/>
      <c r="CM31" s="126"/>
      <c r="CN31" s="126"/>
      <c r="CO31" s="126"/>
      <c r="CP31" s="126"/>
      <c r="CQ31" s="126"/>
      <c r="CR31" s="126"/>
      <c r="CS31" s="126"/>
      <c r="CT31" s="126"/>
      <c r="CU31" s="126"/>
      <c r="CV31" s="126"/>
      <c r="CW31" s="126"/>
      <c r="CX31" s="126"/>
      <c r="CY31" s="126"/>
      <c r="CZ31" s="126"/>
      <c r="DA31" s="126"/>
      <c r="DB31" s="126"/>
      <c r="DC31" s="126"/>
      <c r="DD31" s="126"/>
      <c r="DE31" s="126"/>
      <c r="DF31" s="126"/>
      <c r="DG31" s="126"/>
      <c r="DH31" s="126"/>
      <c r="DI31" s="126"/>
      <c r="DJ31" s="126"/>
      <c r="DK31" s="126"/>
      <c r="DL31" s="126"/>
      <c r="DM31" s="126"/>
      <c r="DN31" s="126"/>
      <c r="DO31" s="126"/>
      <c r="DP31" s="126"/>
      <c r="DQ31" s="126"/>
      <c r="DR31" s="126"/>
      <c r="DS31" s="126"/>
      <c r="DT31" s="126"/>
      <c r="DU31" s="126"/>
      <c r="DV31" s="126"/>
      <c r="DW31" s="126"/>
      <c r="DX31" s="126"/>
      <c r="DY31" s="126"/>
      <c r="DZ31" s="126"/>
      <c r="EA31" s="126"/>
      <c r="EB31" s="126"/>
      <c r="EC31" s="126"/>
      <c r="ED31" s="126"/>
      <c r="EE31" s="126"/>
      <c r="EF31" s="126"/>
      <c r="EG31" s="126"/>
      <c r="EH31" s="126"/>
      <c r="EI31" s="126"/>
      <c r="EJ31" s="126"/>
      <c r="EK31" s="126"/>
      <c r="EL31" s="126"/>
      <c r="EM31" s="126"/>
      <c r="EN31" s="126"/>
      <c r="EO31" s="126"/>
      <c r="EP31" s="126"/>
      <c r="EQ31" s="126"/>
      <c r="ER31" s="126"/>
      <c r="ES31" s="126"/>
      <c r="ET31" s="126"/>
      <c r="EU31" s="126"/>
      <c r="EV31" s="126"/>
      <c r="EW31" s="126"/>
      <c r="EX31" s="126"/>
      <c r="EY31" s="126"/>
      <c r="EZ31" s="126"/>
      <c r="FA31" s="126"/>
      <c r="FB31" s="126"/>
      <c r="FC31" s="126"/>
      <c r="FD31" s="126"/>
      <c r="FE31" s="126"/>
      <c r="FF31" s="126"/>
      <c r="FG31" s="126"/>
      <c r="FH31" s="126"/>
      <c r="FI31" s="126"/>
      <c r="FJ31" s="126"/>
      <c r="FK31" s="126"/>
      <c r="FL31" s="126"/>
      <c r="FM31" s="126"/>
      <c r="FN31" s="126"/>
      <c r="FO31" s="126"/>
      <c r="FP31" s="126"/>
      <c r="FQ31" s="126"/>
      <c r="FR31" s="126"/>
      <c r="FS31" s="126"/>
      <c r="FT31" s="126"/>
      <c r="FU31" s="126"/>
      <c r="FV31" s="126"/>
      <c r="FW31" s="126"/>
      <c r="FX31" s="126"/>
      <c r="FY31" s="126"/>
      <c r="FZ31" s="126"/>
      <c r="GA31" s="126"/>
      <c r="GB31" s="126"/>
      <c r="GC31" s="126"/>
      <c r="GD31" s="126"/>
      <c r="GE31" s="126"/>
      <c r="GF31" s="126"/>
      <c r="GG31" s="126"/>
      <c r="GH31" s="126"/>
      <c r="GI31" s="126"/>
      <c r="GJ31" s="126"/>
      <c r="GK31" s="126"/>
      <c r="GL31" s="126"/>
      <c r="GM31" s="126"/>
      <c r="GN31" s="126"/>
      <c r="GO31" s="126"/>
      <c r="GP31" s="126"/>
      <c r="GQ31" s="126"/>
      <c r="GR31" s="126"/>
      <c r="GS31" s="126"/>
      <c r="GT31" s="126"/>
      <c r="GU31" s="126"/>
      <c r="GV31" s="126"/>
      <c r="GW31" s="126"/>
      <c r="GX31" s="126"/>
      <c r="GY31" s="126"/>
      <c r="GZ31" s="126"/>
      <c r="HA31" s="126"/>
      <c r="HB31" s="126"/>
      <c r="HC31" s="126"/>
      <c r="HD31" s="126"/>
      <c r="HE31" s="126"/>
      <c r="HF31" s="126"/>
      <c r="HG31" s="126"/>
      <c r="HH31" s="126"/>
      <c r="HI31" s="126"/>
      <c r="HJ31" s="126"/>
      <c r="HK31" s="126"/>
      <c r="HL31" s="126"/>
      <c r="HM31" s="126"/>
      <c r="HN31" s="126"/>
      <c r="HO31" s="126"/>
      <c r="HP31" s="126"/>
      <c r="HQ31" s="126"/>
      <c r="HR31" s="126"/>
      <c r="HS31" s="126"/>
      <c r="HT31" s="126"/>
      <c r="HU31" s="126"/>
      <c r="HV31" s="126"/>
      <c r="HW31" s="126"/>
      <c r="HX31" s="126"/>
      <c r="HY31" s="126"/>
      <c r="HZ31" s="126"/>
      <c r="IA31" s="126"/>
      <c r="IB31" s="126"/>
      <c r="IC31" s="126"/>
      <c r="ID31" s="126"/>
      <c r="IE31" s="126"/>
      <c r="IF31" s="126"/>
      <c r="IG31" s="126"/>
      <c r="IH31" s="126"/>
      <c r="II31" s="126"/>
      <c r="IJ31" s="126"/>
      <c r="IK31" s="126"/>
      <c r="IL31" s="126"/>
      <c r="IM31" s="126"/>
      <c r="IN31" s="126"/>
      <c r="IO31" s="126"/>
      <c r="IP31" s="126"/>
      <c r="IQ31" s="126"/>
      <c r="IR31" s="126"/>
      <c r="IS31" s="126"/>
      <c r="IT31" s="126"/>
      <c r="IU31" s="126"/>
      <c r="IV31" s="126"/>
    </row>
    <row r="32" spans="1:256" ht="17.25" x14ac:dyDescent="0.35">
      <c r="A32" s="1624">
        <v>26</v>
      </c>
      <c r="B32" s="126"/>
      <c r="C32" s="1631"/>
      <c r="D32" s="1634" t="s">
        <v>1160</v>
      </c>
      <c r="E32" s="1644">
        <v>897</v>
      </c>
      <c r="F32" s="1646"/>
      <c r="G32" s="1646"/>
      <c r="H32" s="1646"/>
      <c r="I32" s="126"/>
      <c r="J32" s="1640"/>
      <c r="K32" s="126"/>
      <c r="L32" s="1640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26"/>
      <c r="AU32" s="126"/>
      <c r="AV32" s="126"/>
      <c r="AW32" s="126"/>
      <c r="AX32" s="126"/>
      <c r="AY32" s="126"/>
      <c r="AZ32" s="126"/>
      <c r="BA32" s="126"/>
      <c r="BB32" s="126"/>
      <c r="BC32" s="126"/>
      <c r="BD32" s="126"/>
      <c r="BE32" s="126"/>
      <c r="BF32" s="126"/>
      <c r="BG32" s="126"/>
      <c r="BH32" s="126"/>
      <c r="BI32" s="126"/>
      <c r="BJ32" s="126"/>
      <c r="BK32" s="126"/>
      <c r="BL32" s="126"/>
      <c r="BM32" s="126"/>
      <c r="BN32" s="126"/>
      <c r="BO32" s="126"/>
      <c r="BP32" s="126"/>
      <c r="BQ32" s="126"/>
      <c r="BR32" s="126"/>
      <c r="BS32" s="126"/>
      <c r="BT32" s="126"/>
      <c r="BU32" s="126"/>
      <c r="BV32" s="126"/>
      <c r="BW32" s="126"/>
      <c r="BX32" s="126"/>
      <c r="BY32" s="126"/>
      <c r="BZ32" s="126"/>
      <c r="CA32" s="126"/>
      <c r="CB32" s="126"/>
      <c r="CC32" s="126"/>
      <c r="CD32" s="126"/>
      <c r="CE32" s="126"/>
      <c r="CF32" s="126"/>
      <c r="CG32" s="126"/>
      <c r="CH32" s="126"/>
      <c r="CI32" s="126"/>
      <c r="CJ32" s="126"/>
      <c r="CK32" s="126"/>
      <c r="CL32" s="126"/>
      <c r="CM32" s="126"/>
      <c r="CN32" s="126"/>
      <c r="CO32" s="126"/>
      <c r="CP32" s="126"/>
      <c r="CQ32" s="126"/>
      <c r="CR32" s="126"/>
      <c r="CS32" s="126"/>
      <c r="CT32" s="126"/>
      <c r="CU32" s="126"/>
      <c r="CV32" s="126"/>
      <c r="CW32" s="126"/>
      <c r="CX32" s="126"/>
      <c r="CY32" s="126"/>
      <c r="CZ32" s="126"/>
      <c r="DA32" s="126"/>
      <c r="DB32" s="126"/>
      <c r="DC32" s="126"/>
      <c r="DD32" s="126"/>
      <c r="DE32" s="126"/>
      <c r="DF32" s="126"/>
      <c r="DG32" s="126"/>
      <c r="DH32" s="126"/>
      <c r="DI32" s="126"/>
      <c r="DJ32" s="126"/>
      <c r="DK32" s="126"/>
      <c r="DL32" s="126"/>
      <c r="DM32" s="126"/>
      <c r="DN32" s="126"/>
      <c r="DO32" s="126"/>
      <c r="DP32" s="126"/>
      <c r="DQ32" s="126"/>
      <c r="DR32" s="126"/>
      <c r="DS32" s="126"/>
      <c r="DT32" s="126"/>
      <c r="DU32" s="126"/>
      <c r="DV32" s="126"/>
      <c r="DW32" s="126"/>
      <c r="DX32" s="126"/>
      <c r="DY32" s="126"/>
      <c r="DZ32" s="126"/>
      <c r="EA32" s="126"/>
      <c r="EB32" s="126"/>
      <c r="EC32" s="126"/>
      <c r="ED32" s="126"/>
      <c r="EE32" s="126"/>
      <c r="EF32" s="126"/>
      <c r="EG32" s="126"/>
      <c r="EH32" s="126"/>
      <c r="EI32" s="126"/>
      <c r="EJ32" s="126"/>
      <c r="EK32" s="126"/>
      <c r="EL32" s="126"/>
      <c r="EM32" s="126"/>
      <c r="EN32" s="126"/>
      <c r="EO32" s="126"/>
      <c r="EP32" s="126"/>
      <c r="EQ32" s="126"/>
      <c r="ER32" s="126"/>
      <c r="ES32" s="126"/>
      <c r="ET32" s="126"/>
      <c r="EU32" s="126"/>
      <c r="EV32" s="126"/>
      <c r="EW32" s="126"/>
      <c r="EX32" s="126"/>
      <c r="EY32" s="126"/>
      <c r="EZ32" s="126"/>
      <c r="FA32" s="126"/>
      <c r="FB32" s="126"/>
      <c r="FC32" s="126"/>
      <c r="FD32" s="126"/>
      <c r="FE32" s="126"/>
      <c r="FF32" s="126"/>
      <c r="FG32" s="126"/>
      <c r="FH32" s="126"/>
      <c r="FI32" s="126"/>
      <c r="FJ32" s="126"/>
      <c r="FK32" s="126"/>
      <c r="FL32" s="126"/>
      <c r="FM32" s="126"/>
      <c r="FN32" s="126"/>
      <c r="FO32" s="126"/>
      <c r="FP32" s="126"/>
      <c r="FQ32" s="126"/>
      <c r="FR32" s="126"/>
      <c r="FS32" s="126"/>
      <c r="FT32" s="126"/>
      <c r="FU32" s="126"/>
      <c r="FV32" s="126"/>
      <c r="FW32" s="126"/>
      <c r="FX32" s="126"/>
      <c r="FY32" s="126"/>
      <c r="FZ32" s="126"/>
      <c r="GA32" s="126"/>
      <c r="GB32" s="126"/>
      <c r="GC32" s="126"/>
      <c r="GD32" s="126"/>
      <c r="GE32" s="126"/>
      <c r="GF32" s="126"/>
      <c r="GG32" s="126"/>
      <c r="GH32" s="126"/>
      <c r="GI32" s="126"/>
      <c r="GJ32" s="126"/>
      <c r="GK32" s="126"/>
      <c r="GL32" s="126"/>
      <c r="GM32" s="126"/>
      <c r="GN32" s="126"/>
      <c r="GO32" s="126"/>
      <c r="GP32" s="126"/>
      <c r="GQ32" s="126"/>
      <c r="GR32" s="126"/>
      <c r="GS32" s="126"/>
      <c r="GT32" s="126"/>
      <c r="GU32" s="126"/>
      <c r="GV32" s="126"/>
      <c r="GW32" s="126"/>
      <c r="GX32" s="126"/>
      <c r="GY32" s="126"/>
      <c r="GZ32" s="126"/>
      <c r="HA32" s="126"/>
      <c r="HB32" s="126"/>
      <c r="HC32" s="126"/>
      <c r="HD32" s="126"/>
      <c r="HE32" s="126"/>
      <c r="HF32" s="126"/>
      <c r="HG32" s="126"/>
      <c r="HH32" s="126"/>
      <c r="HI32" s="126"/>
      <c r="HJ32" s="126"/>
      <c r="HK32" s="126"/>
      <c r="HL32" s="126"/>
      <c r="HM32" s="126"/>
      <c r="HN32" s="126"/>
      <c r="HO32" s="126"/>
      <c r="HP32" s="126"/>
      <c r="HQ32" s="126"/>
      <c r="HR32" s="126"/>
      <c r="HS32" s="126"/>
      <c r="HT32" s="126"/>
      <c r="HU32" s="126"/>
      <c r="HV32" s="126"/>
      <c r="HW32" s="126"/>
      <c r="HX32" s="126"/>
      <c r="HY32" s="126"/>
      <c r="HZ32" s="126"/>
      <c r="IA32" s="126"/>
      <c r="IB32" s="126"/>
      <c r="IC32" s="126"/>
      <c r="ID32" s="126"/>
      <c r="IE32" s="126"/>
      <c r="IF32" s="126"/>
      <c r="IG32" s="126"/>
      <c r="IH32" s="126"/>
      <c r="II32" s="126"/>
      <c r="IJ32" s="126"/>
      <c r="IK32" s="126"/>
      <c r="IL32" s="126"/>
      <c r="IM32" s="126"/>
      <c r="IN32" s="126"/>
      <c r="IO32" s="126"/>
      <c r="IP32" s="126"/>
      <c r="IQ32" s="126"/>
      <c r="IR32" s="126"/>
      <c r="IS32" s="126"/>
      <c r="IT32" s="126"/>
      <c r="IU32" s="126"/>
      <c r="IV32" s="126"/>
    </row>
    <row r="33" spans="1:256" ht="17.25" x14ac:dyDescent="0.35">
      <c r="A33" s="1624">
        <v>27</v>
      </c>
      <c r="B33" s="126"/>
      <c r="C33" s="1631"/>
      <c r="D33" s="1697" t="s">
        <v>1204</v>
      </c>
      <c r="E33" s="1644">
        <v>6951</v>
      </c>
      <c r="F33" s="1646"/>
      <c r="G33" s="1646"/>
      <c r="H33" s="1646"/>
      <c r="I33" s="126"/>
      <c r="J33" s="1640"/>
      <c r="K33" s="126"/>
      <c r="L33" s="1640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6"/>
      <c r="BF33" s="126"/>
      <c r="BG33" s="126"/>
      <c r="BH33" s="126"/>
      <c r="BI33" s="126"/>
      <c r="BJ33" s="126"/>
      <c r="BK33" s="126"/>
      <c r="BL33" s="126"/>
      <c r="BM33" s="126"/>
      <c r="BN33" s="126"/>
      <c r="BO33" s="126"/>
      <c r="BP33" s="126"/>
      <c r="BQ33" s="126"/>
      <c r="BR33" s="126"/>
      <c r="BS33" s="126"/>
      <c r="BT33" s="126"/>
      <c r="BU33" s="126"/>
      <c r="BV33" s="126"/>
      <c r="BW33" s="126"/>
      <c r="BX33" s="126"/>
      <c r="BY33" s="126"/>
      <c r="BZ33" s="126"/>
      <c r="CA33" s="126"/>
      <c r="CB33" s="126"/>
      <c r="CC33" s="126"/>
      <c r="CD33" s="126"/>
      <c r="CE33" s="126"/>
      <c r="CF33" s="126"/>
      <c r="CG33" s="126"/>
      <c r="CH33" s="126"/>
      <c r="CI33" s="126"/>
      <c r="CJ33" s="126"/>
      <c r="CK33" s="126"/>
      <c r="CL33" s="126"/>
      <c r="CM33" s="126"/>
      <c r="CN33" s="126"/>
      <c r="CO33" s="126"/>
      <c r="CP33" s="126"/>
      <c r="CQ33" s="126"/>
      <c r="CR33" s="126"/>
      <c r="CS33" s="126"/>
      <c r="CT33" s="126"/>
      <c r="CU33" s="126"/>
      <c r="CV33" s="126"/>
      <c r="CW33" s="126"/>
      <c r="CX33" s="126"/>
      <c r="CY33" s="126"/>
      <c r="CZ33" s="126"/>
      <c r="DA33" s="126"/>
      <c r="DB33" s="126"/>
      <c r="DC33" s="126"/>
      <c r="DD33" s="126"/>
      <c r="DE33" s="126"/>
      <c r="DF33" s="126"/>
      <c r="DG33" s="126"/>
      <c r="DH33" s="126"/>
      <c r="DI33" s="126"/>
      <c r="DJ33" s="126"/>
      <c r="DK33" s="126"/>
      <c r="DL33" s="126"/>
      <c r="DM33" s="126"/>
      <c r="DN33" s="126"/>
      <c r="DO33" s="126"/>
      <c r="DP33" s="126"/>
      <c r="DQ33" s="126"/>
      <c r="DR33" s="126"/>
      <c r="DS33" s="126"/>
      <c r="DT33" s="126"/>
      <c r="DU33" s="126"/>
      <c r="DV33" s="126"/>
      <c r="DW33" s="126"/>
      <c r="DX33" s="126"/>
      <c r="DY33" s="126"/>
      <c r="DZ33" s="126"/>
      <c r="EA33" s="126"/>
      <c r="EB33" s="126"/>
      <c r="EC33" s="126"/>
      <c r="ED33" s="126"/>
      <c r="EE33" s="126"/>
      <c r="EF33" s="126"/>
      <c r="EG33" s="126"/>
      <c r="EH33" s="126"/>
      <c r="EI33" s="126"/>
      <c r="EJ33" s="126"/>
      <c r="EK33" s="126"/>
      <c r="EL33" s="126"/>
      <c r="EM33" s="126"/>
      <c r="EN33" s="126"/>
      <c r="EO33" s="126"/>
      <c r="EP33" s="126"/>
      <c r="EQ33" s="126"/>
      <c r="ER33" s="126"/>
      <c r="ES33" s="126"/>
      <c r="ET33" s="126"/>
      <c r="EU33" s="126"/>
      <c r="EV33" s="126"/>
      <c r="EW33" s="126"/>
      <c r="EX33" s="126"/>
      <c r="EY33" s="126"/>
      <c r="EZ33" s="126"/>
      <c r="FA33" s="126"/>
      <c r="FB33" s="126"/>
      <c r="FC33" s="126"/>
      <c r="FD33" s="126"/>
      <c r="FE33" s="126"/>
      <c r="FF33" s="126"/>
      <c r="FG33" s="126"/>
      <c r="FH33" s="126"/>
      <c r="FI33" s="126"/>
      <c r="FJ33" s="126"/>
      <c r="FK33" s="126"/>
      <c r="FL33" s="126"/>
      <c r="FM33" s="126"/>
      <c r="FN33" s="126"/>
      <c r="FO33" s="126"/>
      <c r="FP33" s="126"/>
      <c r="FQ33" s="126"/>
      <c r="FR33" s="126"/>
      <c r="FS33" s="126"/>
      <c r="FT33" s="126"/>
      <c r="FU33" s="126"/>
      <c r="FV33" s="126"/>
      <c r="FW33" s="126"/>
      <c r="FX33" s="126"/>
      <c r="FY33" s="126"/>
      <c r="FZ33" s="126"/>
      <c r="GA33" s="126"/>
      <c r="GB33" s="126"/>
      <c r="GC33" s="126"/>
      <c r="GD33" s="126"/>
      <c r="GE33" s="126"/>
      <c r="GF33" s="126"/>
      <c r="GG33" s="126"/>
      <c r="GH33" s="126"/>
      <c r="GI33" s="126"/>
      <c r="GJ33" s="126"/>
      <c r="GK33" s="126"/>
      <c r="GL33" s="126"/>
      <c r="GM33" s="126"/>
      <c r="GN33" s="126"/>
      <c r="GO33" s="126"/>
      <c r="GP33" s="126"/>
      <c r="GQ33" s="126"/>
      <c r="GR33" s="126"/>
      <c r="GS33" s="126"/>
      <c r="GT33" s="126"/>
      <c r="GU33" s="126"/>
      <c r="GV33" s="126"/>
      <c r="GW33" s="126"/>
      <c r="GX33" s="126"/>
      <c r="GY33" s="126"/>
      <c r="GZ33" s="126"/>
      <c r="HA33" s="126"/>
      <c r="HB33" s="126"/>
      <c r="HC33" s="126"/>
      <c r="HD33" s="126"/>
      <c r="HE33" s="126"/>
      <c r="HF33" s="126"/>
      <c r="HG33" s="126"/>
      <c r="HH33" s="126"/>
      <c r="HI33" s="126"/>
      <c r="HJ33" s="126"/>
      <c r="HK33" s="126"/>
      <c r="HL33" s="126"/>
      <c r="HM33" s="126"/>
      <c r="HN33" s="126"/>
      <c r="HO33" s="126"/>
      <c r="HP33" s="126"/>
      <c r="HQ33" s="126"/>
      <c r="HR33" s="126"/>
      <c r="HS33" s="126"/>
      <c r="HT33" s="126"/>
      <c r="HU33" s="126"/>
      <c r="HV33" s="126"/>
      <c r="HW33" s="126"/>
      <c r="HX33" s="126"/>
      <c r="HY33" s="126"/>
      <c r="HZ33" s="126"/>
      <c r="IA33" s="126"/>
      <c r="IB33" s="126"/>
      <c r="IC33" s="126"/>
      <c r="ID33" s="126"/>
      <c r="IE33" s="126"/>
      <c r="IF33" s="126"/>
      <c r="IG33" s="126"/>
      <c r="IH33" s="126"/>
      <c r="II33" s="126"/>
      <c r="IJ33" s="126"/>
      <c r="IK33" s="126"/>
      <c r="IL33" s="126"/>
      <c r="IM33" s="126"/>
      <c r="IN33" s="126"/>
      <c r="IO33" s="126"/>
      <c r="IP33" s="126"/>
      <c r="IQ33" s="126"/>
      <c r="IR33" s="126"/>
      <c r="IS33" s="126"/>
      <c r="IT33" s="126"/>
      <c r="IU33" s="126"/>
      <c r="IV33" s="126"/>
    </row>
    <row r="34" spans="1:256" ht="17.25" x14ac:dyDescent="0.35">
      <c r="A34" s="1624">
        <v>28</v>
      </c>
      <c r="B34" s="126"/>
      <c r="C34" s="1631"/>
      <c r="D34" s="2021" t="s">
        <v>1247</v>
      </c>
      <c r="E34" s="1644"/>
      <c r="F34" s="1646"/>
      <c r="G34" s="1646"/>
      <c r="H34" s="1646"/>
      <c r="I34" s="126"/>
      <c r="J34" s="1640"/>
      <c r="K34" s="126"/>
      <c r="L34" s="1640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6"/>
      <c r="AV34" s="126"/>
      <c r="AW34" s="126"/>
      <c r="AX34" s="126"/>
      <c r="AY34" s="126"/>
      <c r="AZ34" s="126"/>
      <c r="BA34" s="126"/>
      <c r="BB34" s="126"/>
      <c r="BC34" s="126"/>
      <c r="BD34" s="126"/>
      <c r="BE34" s="126"/>
      <c r="BF34" s="126"/>
      <c r="BG34" s="126"/>
      <c r="BH34" s="126"/>
      <c r="BI34" s="126"/>
      <c r="BJ34" s="126"/>
      <c r="BK34" s="126"/>
      <c r="BL34" s="126"/>
      <c r="BM34" s="126"/>
      <c r="BN34" s="126"/>
      <c r="BO34" s="126"/>
      <c r="BP34" s="126"/>
      <c r="BQ34" s="126"/>
      <c r="BR34" s="126"/>
      <c r="BS34" s="126"/>
      <c r="BT34" s="126"/>
      <c r="BU34" s="126"/>
      <c r="BV34" s="126"/>
      <c r="BW34" s="126"/>
      <c r="BX34" s="126"/>
      <c r="BY34" s="126"/>
      <c r="BZ34" s="126"/>
      <c r="CA34" s="126"/>
      <c r="CB34" s="126"/>
      <c r="CC34" s="126"/>
      <c r="CD34" s="126"/>
      <c r="CE34" s="126"/>
      <c r="CF34" s="126"/>
      <c r="CG34" s="126"/>
      <c r="CH34" s="126"/>
      <c r="CI34" s="126"/>
      <c r="CJ34" s="126"/>
      <c r="CK34" s="126"/>
      <c r="CL34" s="126"/>
      <c r="CM34" s="126"/>
      <c r="CN34" s="126"/>
      <c r="CO34" s="126"/>
      <c r="CP34" s="126"/>
      <c r="CQ34" s="126"/>
      <c r="CR34" s="126"/>
      <c r="CS34" s="126"/>
      <c r="CT34" s="126"/>
      <c r="CU34" s="126"/>
      <c r="CV34" s="126"/>
      <c r="CW34" s="126"/>
      <c r="CX34" s="126"/>
      <c r="CY34" s="126"/>
      <c r="CZ34" s="126"/>
      <c r="DA34" s="126"/>
      <c r="DB34" s="126"/>
      <c r="DC34" s="126"/>
      <c r="DD34" s="126"/>
      <c r="DE34" s="126"/>
      <c r="DF34" s="126"/>
      <c r="DG34" s="126"/>
      <c r="DH34" s="126"/>
      <c r="DI34" s="126"/>
      <c r="DJ34" s="126"/>
      <c r="DK34" s="126"/>
      <c r="DL34" s="126"/>
      <c r="DM34" s="126"/>
      <c r="DN34" s="126"/>
      <c r="DO34" s="126"/>
      <c r="DP34" s="126"/>
      <c r="DQ34" s="126"/>
      <c r="DR34" s="126"/>
      <c r="DS34" s="126"/>
      <c r="DT34" s="126"/>
      <c r="DU34" s="126"/>
      <c r="DV34" s="126"/>
      <c r="DW34" s="126"/>
      <c r="DX34" s="126"/>
      <c r="DY34" s="126"/>
      <c r="DZ34" s="126"/>
      <c r="EA34" s="126"/>
      <c r="EB34" s="126"/>
      <c r="EC34" s="126"/>
      <c r="ED34" s="126"/>
      <c r="EE34" s="126"/>
      <c r="EF34" s="126"/>
      <c r="EG34" s="126"/>
      <c r="EH34" s="126"/>
      <c r="EI34" s="126"/>
      <c r="EJ34" s="126"/>
      <c r="EK34" s="126"/>
      <c r="EL34" s="126"/>
      <c r="EM34" s="126"/>
      <c r="EN34" s="126"/>
      <c r="EO34" s="126"/>
      <c r="EP34" s="126"/>
      <c r="EQ34" s="126"/>
      <c r="ER34" s="126"/>
      <c r="ES34" s="126"/>
      <c r="ET34" s="126"/>
      <c r="EU34" s="126"/>
      <c r="EV34" s="126"/>
      <c r="EW34" s="126"/>
      <c r="EX34" s="126"/>
      <c r="EY34" s="126"/>
      <c r="EZ34" s="126"/>
      <c r="FA34" s="126"/>
      <c r="FB34" s="126"/>
      <c r="FC34" s="126"/>
      <c r="FD34" s="126"/>
      <c r="FE34" s="126"/>
      <c r="FF34" s="126"/>
      <c r="FG34" s="126"/>
      <c r="FH34" s="126"/>
      <c r="FI34" s="126"/>
      <c r="FJ34" s="126"/>
      <c r="FK34" s="126"/>
      <c r="FL34" s="126"/>
      <c r="FM34" s="126"/>
      <c r="FN34" s="126"/>
      <c r="FO34" s="126"/>
      <c r="FP34" s="126"/>
      <c r="FQ34" s="126"/>
      <c r="FR34" s="126"/>
      <c r="FS34" s="126"/>
      <c r="FT34" s="126"/>
      <c r="FU34" s="126"/>
      <c r="FV34" s="126"/>
      <c r="FW34" s="126"/>
      <c r="FX34" s="126"/>
      <c r="FY34" s="126"/>
      <c r="FZ34" s="126"/>
      <c r="GA34" s="126"/>
      <c r="GB34" s="126"/>
      <c r="GC34" s="126"/>
      <c r="GD34" s="126"/>
      <c r="GE34" s="126"/>
      <c r="GF34" s="126"/>
      <c r="GG34" s="126"/>
      <c r="GH34" s="126"/>
      <c r="GI34" s="126"/>
      <c r="GJ34" s="126"/>
      <c r="GK34" s="126"/>
      <c r="GL34" s="126"/>
      <c r="GM34" s="126"/>
      <c r="GN34" s="126"/>
      <c r="GO34" s="126"/>
      <c r="GP34" s="126"/>
      <c r="GQ34" s="126"/>
      <c r="GR34" s="126"/>
      <c r="GS34" s="126"/>
      <c r="GT34" s="126"/>
      <c r="GU34" s="126"/>
      <c r="GV34" s="126"/>
      <c r="GW34" s="126"/>
      <c r="GX34" s="126"/>
      <c r="GY34" s="126"/>
      <c r="GZ34" s="126"/>
      <c r="HA34" s="126"/>
      <c r="HB34" s="126"/>
      <c r="HC34" s="126"/>
      <c r="HD34" s="126"/>
      <c r="HE34" s="126"/>
      <c r="HF34" s="126"/>
      <c r="HG34" s="126"/>
      <c r="HH34" s="126"/>
      <c r="HI34" s="126"/>
      <c r="HJ34" s="126"/>
      <c r="HK34" s="126"/>
      <c r="HL34" s="126"/>
      <c r="HM34" s="126"/>
      <c r="HN34" s="126"/>
      <c r="HO34" s="126"/>
      <c r="HP34" s="126"/>
      <c r="HQ34" s="126"/>
      <c r="HR34" s="126"/>
      <c r="HS34" s="126"/>
      <c r="HT34" s="126"/>
      <c r="HU34" s="126"/>
      <c r="HV34" s="126"/>
      <c r="HW34" s="126"/>
      <c r="HX34" s="126"/>
      <c r="HY34" s="126"/>
      <c r="HZ34" s="126"/>
      <c r="IA34" s="126"/>
      <c r="IB34" s="126"/>
      <c r="IC34" s="126"/>
      <c r="ID34" s="126"/>
      <c r="IE34" s="126"/>
      <c r="IF34" s="126"/>
      <c r="IG34" s="126"/>
      <c r="IH34" s="126"/>
      <c r="II34" s="126"/>
      <c r="IJ34" s="126"/>
      <c r="IK34" s="126"/>
      <c r="IL34" s="126"/>
      <c r="IM34" s="126"/>
      <c r="IN34" s="126"/>
      <c r="IO34" s="126"/>
      <c r="IP34" s="126"/>
      <c r="IQ34" s="126"/>
      <c r="IR34" s="126"/>
      <c r="IS34" s="126"/>
      <c r="IT34" s="126"/>
      <c r="IU34" s="126"/>
      <c r="IV34" s="126"/>
    </row>
    <row r="35" spans="1:256" ht="17.25" x14ac:dyDescent="0.35">
      <c r="A35" s="1624">
        <v>29</v>
      </c>
      <c r="B35" s="126"/>
      <c r="C35" s="1631"/>
      <c r="D35" s="1697" t="s">
        <v>271</v>
      </c>
      <c r="E35" s="1815">
        <v>-600</v>
      </c>
      <c r="F35" s="1646"/>
      <c r="G35" s="1646"/>
      <c r="H35" s="1646"/>
      <c r="I35" s="126"/>
      <c r="J35" s="1640"/>
      <c r="K35" s="126"/>
      <c r="L35" s="1640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  <c r="AO35" s="126"/>
      <c r="AP35" s="126"/>
      <c r="AQ35" s="126"/>
      <c r="AR35" s="126"/>
      <c r="AS35" s="126"/>
      <c r="AT35" s="126"/>
      <c r="AU35" s="126"/>
      <c r="AV35" s="126"/>
      <c r="AW35" s="126"/>
      <c r="AX35" s="126"/>
      <c r="AY35" s="126"/>
      <c r="AZ35" s="126"/>
      <c r="BA35" s="126"/>
      <c r="BB35" s="126"/>
      <c r="BC35" s="126"/>
      <c r="BD35" s="126"/>
      <c r="BE35" s="126"/>
      <c r="BF35" s="126"/>
      <c r="BG35" s="126"/>
      <c r="BH35" s="126"/>
      <c r="BI35" s="126"/>
      <c r="BJ35" s="126"/>
      <c r="BK35" s="126"/>
      <c r="BL35" s="126"/>
      <c r="BM35" s="126"/>
      <c r="BN35" s="126"/>
      <c r="BO35" s="126"/>
      <c r="BP35" s="126"/>
      <c r="BQ35" s="126"/>
      <c r="BR35" s="126"/>
      <c r="BS35" s="126"/>
      <c r="BT35" s="126"/>
      <c r="BU35" s="126"/>
      <c r="BV35" s="126"/>
      <c r="BW35" s="126"/>
      <c r="BX35" s="126"/>
      <c r="BY35" s="126"/>
      <c r="BZ35" s="126"/>
      <c r="CA35" s="126"/>
      <c r="CB35" s="126"/>
      <c r="CC35" s="126"/>
      <c r="CD35" s="126"/>
      <c r="CE35" s="126"/>
      <c r="CF35" s="126"/>
      <c r="CG35" s="126"/>
      <c r="CH35" s="126"/>
      <c r="CI35" s="126"/>
      <c r="CJ35" s="126"/>
      <c r="CK35" s="126"/>
      <c r="CL35" s="126"/>
      <c r="CM35" s="126"/>
      <c r="CN35" s="126"/>
      <c r="CO35" s="126"/>
      <c r="CP35" s="126"/>
      <c r="CQ35" s="126"/>
      <c r="CR35" s="126"/>
      <c r="CS35" s="126"/>
      <c r="CT35" s="126"/>
      <c r="CU35" s="126"/>
      <c r="CV35" s="126"/>
      <c r="CW35" s="126"/>
      <c r="CX35" s="126"/>
      <c r="CY35" s="126"/>
      <c r="CZ35" s="126"/>
      <c r="DA35" s="126"/>
      <c r="DB35" s="126"/>
      <c r="DC35" s="126"/>
      <c r="DD35" s="126"/>
      <c r="DE35" s="126"/>
      <c r="DF35" s="126"/>
      <c r="DG35" s="126"/>
      <c r="DH35" s="126"/>
      <c r="DI35" s="126"/>
      <c r="DJ35" s="126"/>
      <c r="DK35" s="126"/>
      <c r="DL35" s="126"/>
      <c r="DM35" s="126"/>
      <c r="DN35" s="126"/>
      <c r="DO35" s="126"/>
      <c r="DP35" s="126"/>
      <c r="DQ35" s="126"/>
      <c r="DR35" s="126"/>
      <c r="DS35" s="126"/>
      <c r="DT35" s="126"/>
      <c r="DU35" s="126"/>
      <c r="DV35" s="126"/>
      <c r="DW35" s="126"/>
      <c r="DX35" s="126"/>
      <c r="DY35" s="126"/>
      <c r="DZ35" s="126"/>
      <c r="EA35" s="126"/>
      <c r="EB35" s="126"/>
      <c r="EC35" s="126"/>
      <c r="ED35" s="126"/>
      <c r="EE35" s="126"/>
      <c r="EF35" s="126"/>
      <c r="EG35" s="126"/>
      <c r="EH35" s="126"/>
      <c r="EI35" s="126"/>
      <c r="EJ35" s="126"/>
      <c r="EK35" s="126"/>
      <c r="EL35" s="126"/>
      <c r="EM35" s="126"/>
      <c r="EN35" s="126"/>
      <c r="EO35" s="126"/>
      <c r="EP35" s="126"/>
      <c r="EQ35" s="126"/>
      <c r="ER35" s="126"/>
      <c r="ES35" s="126"/>
      <c r="ET35" s="126"/>
      <c r="EU35" s="126"/>
      <c r="EV35" s="126"/>
      <c r="EW35" s="126"/>
      <c r="EX35" s="126"/>
      <c r="EY35" s="126"/>
      <c r="EZ35" s="126"/>
      <c r="FA35" s="126"/>
      <c r="FB35" s="126"/>
      <c r="FC35" s="126"/>
      <c r="FD35" s="126"/>
      <c r="FE35" s="126"/>
      <c r="FF35" s="126"/>
      <c r="FG35" s="126"/>
      <c r="FH35" s="126"/>
      <c r="FI35" s="126"/>
      <c r="FJ35" s="126"/>
      <c r="FK35" s="126"/>
      <c r="FL35" s="126"/>
      <c r="FM35" s="126"/>
      <c r="FN35" s="126"/>
      <c r="FO35" s="126"/>
      <c r="FP35" s="126"/>
      <c r="FQ35" s="126"/>
      <c r="FR35" s="126"/>
      <c r="FS35" s="126"/>
      <c r="FT35" s="126"/>
      <c r="FU35" s="126"/>
      <c r="FV35" s="126"/>
      <c r="FW35" s="126"/>
      <c r="FX35" s="126"/>
      <c r="FY35" s="126"/>
      <c r="FZ35" s="126"/>
      <c r="GA35" s="126"/>
      <c r="GB35" s="126"/>
      <c r="GC35" s="126"/>
      <c r="GD35" s="126"/>
      <c r="GE35" s="126"/>
      <c r="GF35" s="126"/>
      <c r="GG35" s="126"/>
      <c r="GH35" s="126"/>
      <c r="GI35" s="126"/>
      <c r="GJ35" s="126"/>
      <c r="GK35" s="126"/>
      <c r="GL35" s="126"/>
      <c r="GM35" s="126"/>
      <c r="GN35" s="126"/>
      <c r="GO35" s="126"/>
      <c r="GP35" s="126"/>
      <c r="GQ35" s="126"/>
      <c r="GR35" s="126"/>
      <c r="GS35" s="126"/>
      <c r="GT35" s="126"/>
      <c r="GU35" s="126"/>
      <c r="GV35" s="126"/>
      <c r="GW35" s="126"/>
      <c r="GX35" s="126"/>
      <c r="GY35" s="126"/>
      <c r="GZ35" s="126"/>
      <c r="HA35" s="126"/>
      <c r="HB35" s="126"/>
      <c r="HC35" s="126"/>
      <c r="HD35" s="126"/>
      <c r="HE35" s="126"/>
      <c r="HF35" s="126"/>
      <c r="HG35" s="126"/>
      <c r="HH35" s="126"/>
      <c r="HI35" s="126"/>
      <c r="HJ35" s="126"/>
      <c r="HK35" s="126"/>
      <c r="HL35" s="126"/>
      <c r="HM35" s="126"/>
      <c r="HN35" s="126"/>
      <c r="HO35" s="126"/>
      <c r="HP35" s="126"/>
      <c r="HQ35" s="126"/>
      <c r="HR35" s="126"/>
      <c r="HS35" s="126"/>
      <c r="HT35" s="126"/>
      <c r="HU35" s="126"/>
      <c r="HV35" s="126"/>
      <c r="HW35" s="126"/>
      <c r="HX35" s="126"/>
      <c r="HY35" s="126"/>
      <c r="HZ35" s="126"/>
      <c r="IA35" s="126"/>
      <c r="IB35" s="126"/>
      <c r="IC35" s="126"/>
      <c r="ID35" s="126"/>
      <c r="IE35" s="126"/>
      <c r="IF35" s="126"/>
      <c r="IG35" s="126"/>
      <c r="IH35" s="126"/>
      <c r="II35" s="126"/>
      <c r="IJ35" s="126"/>
      <c r="IK35" s="126"/>
      <c r="IL35" s="126"/>
      <c r="IM35" s="126"/>
      <c r="IN35" s="126"/>
      <c r="IO35" s="126"/>
      <c r="IP35" s="126"/>
      <c r="IQ35" s="126"/>
      <c r="IR35" s="126"/>
      <c r="IS35" s="126"/>
      <c r="IT35" s="126"/>
      <c r="IU35" s="126"/>
      <c r="IV35" s="126"/>
    </row>
    <row r="36" spans="1:256" ht="17.25" x14ac:dyDescent="0.35">
      <c r="A36" s="1624">
        <v>30</v>
      </c>
      <c r="B36" s="126"/>
      <c r="C36" s="124"/>
      <c r="D36" s="1647" t="s">
        <v>129</v>
      </c>
      <c r="E36" s="1645">
        <f>SUM(E32:E35)</f>
        <v>7248</v>
      </c>
      <c r="F36" s="1646"/>
      <c r="G36" s="1646"/>
      <c r="H36" s="1646"/>
      <c r="I36" s="126"/>
      <c r="J36" s="1640"/>
      <c r="K36" s="126"/>
      <c r="L36" s="1640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6"/>
      <c r="AO36" s="126"/>
      <c r="AP36" s="126"/>
      <c r="AQ36" s="126"/>
      <c r="AR36" s="126"/>
      <c r="AS36" s="126"/>
      <c r="AT36" s="126"/>
      <c r="AU36" s="126"/>
      <c r="AV36" s="126"/>
      <c r="AW36" s="126"/>
      <c r="AX36" s="126"/>
      <c r="AY36" s="126"/>
      <c r="AZ36" s="126"/>
      <c r="BA36" s="126"/>
      <c r="BB36" s="126"/>
      <c r="BC36" s="126"/>
      <c r="BD36" s="126"/>
      <c r="BE36" s="126"/>
      <c r="BF36" s="126"/>
      <c r="BG36" s="126"/>
      <c r="BH36" s="126"/>
      <c r="BI36" s="126"/>
      <c r="BJ36" s="126"/>
      <c r="BK36" s="126"/>
      <c r="BL36" s="126"/>
      <c r="BM36" s="126"/>
      <c r="BN36" s="126"/>
      <c r="BO36" s="126"/>
      <c r="BP36" s="126"/>
      <c r="BQ36" s="126"/>
      <c r="BR36" s="126"/>
      <c r="BS36" s="126"/>
      <c r="BT36" s="126"/>
      <c r="BU36" s="126"/>
      <c r="BV36" s="126"/>
      <c r="BW36" s="126"/>
      <c r="BX36" s="126"/>
      <c r="BY36" s="126"/>
      <c r="BZ36" s="126"/>
      <c r="CA36" s="126"/>
      <c r="CB36" s="126"/>
      <c r="CC36" s="126"/>
      <c r="CD36" s="126"/>
      <c r="CE36" s="126"/>
      <c r="CF36" s="126"/>
      <c r="CG36" s="126"/>
      <c r="CH36" s="126"/>
      <c r="CI36" s="126"/>
      <c r="CJ36" s="126"/>
      <c r="CK36" s="126"/>
      <c r="CL36" s="126"/>
      <c r="CM36" s="126"/>
      <c r="CN36" s="126"/>
      <c r="CO36" s="126"/>
      <c r="CP36" s="126"/>
      <c r="CQ36" s="126"/>
      <c r="CR36" s="126"/>
      <c r="CS36" s="126"/>
      <c r="CT36" s="126"/>
      <c r="CU36" s="126"/>
      <c r="CV36" s="126"/>
      <c r="CW36" s="126"/>
      <c r="CX36" s="126"/>
      <c r="CY36" s="126"/>
      <c r="CZ36" s="126"/>
      <c r="DA36" s="126"/>
      <c r="DB36" s="126"/>
      <c r="DC36" s="126"/>
      <c r="DD36" s="126"/>
      <c r="DE36" s="126"/>
      <c r="DF36" s="126"/>
      <c r="DG36" s="126"/>
      <c r="DH36" s="126"/>
      <c r="DI36" s="126"/>
      <c r="DJ36" s="126"/>
      <c r="DK36" s="126"/>
      <c r="DL36" s="126"/>
      <c r="DM36" s="126"/>
      <c r="DN36" s="126"/>
      <c r="DO36" s="126"/>
      <c r="DP36" s="126"/>
      <c r="DQ36" s="126"/>
      <c r="DR36" s="126"/>
      <c r="DS36" s="126"/>
      <c r="DT36" s="126"/>
      <c r="DU36" s="126"/>
      <c r="DV36" s="126"/>
      <c r="DW36" s="126"/>
      <c r="DX36" s="126"/>
      <c r="DY36" s="126"/>
      <c r="DZ36" s="126"/>
      <c r="EA36" s="126"/>
      <c r="EB36" s="126"/>
      <c r="EC36" s="126"/>
      <c r="ED36" s="126"/>
      <c r="EE36" s="126"/>
      <c r="EF36" s="126"/>
      <c r="EG36" s="126"/>
      <c r="EH36" s="126"/>
      <c r="EI36" s="126"/>
      <c r="EJ36" s="126"/>
      <c r="EK36" s="126"/>
      <c r="EL36" s="126"/>
      <c r="EM36" s="126"/>
      <c r="EN36" s="126"/>
      <c r="EO36" s="126"/>
      <c r="EP36" s="126"/>
      <c r="EQ36" s="126"/>
      <c r="ER36" s="126"/>
      <c r="ES36" s="126"/>
      <c r="ET36" s="126"/>
      <c r="EU36" s="126"/>
      <c r="EV36" s="126"/>
      <c r="EW36" s="126"/>
      <c r="EX36" s="126"/>
      <c r="EY36" s="126"/>
      <c r="EZ36" s="126"/>
      <c r="FA36" s="126"/>
      <c r="FB36" s="126"/>
      <c r="FC36" s="126"/>
      <c r="FD36" s="126"/>
      <c r="FE36" s="126"/>
      <c r="FF36" s="126"/>
      <c r="FG36" s="126"/>
      <c r="FH36" s="126"/>
      <c r="FI36" s="126"/>
      <c r="FJ36" s="126"/>
      <c r="FK36" s="126"/>
      <c r="FL36" s="126"/>
      <c r="FM36" s="126"/>
      <c r="FN36" s="126"/>
      <c r="FO36" s="126"/>
      <c r="FP36" s="126"/>
      <c r="FQ36" s="126"/>
      <c r="FR36" s="126"/>
      <c r="FS36" s="126"/>
      <c r="FT36" s="126"/>
      <c r="FU36" s="126"/>
      <c r="FV36" s="126"/>
      <c r="FW36" s="126"/>
      <c r="FX36" s="126"/>
      <c r="FY36" s="126"/>
      <c r="FZ36" s="126"/>
      <c r="GA36" s="126"/>
      <c r="GB36" s="126"/>
      <c r="GC36" s="126"/>
      <c r="GD36" s="126"/>
      <c r="GE36" s="126"/>
      <c r="GF36" s="126"/>
      <c r="GG36" s="126"/>
      <c r="GH36" s="126"/>
      <c r="GI36" s="126"/>
      <c r="GJ36" s="126"/>
      <c r="GK36" s="126"/>
      <c r="GL36" s="126"/>
      <c r="GM36" s="126"/>
      <c r="GN36" s="126"/>
      <c r="GO36" s="126"/>
      <c r="GP36" s="126"/>
      <c r="GQ36" s="126"/>
      <c r="GR36" s="126"/>
      <c r="GS36" s="126"/>
      <c r="GT36" s="126"/>
      <c r="GU36" s="126"/>
      <c r="GV36" s="126"/>
      <c r="GW36" s="126"/>
      <c r="GX36" s="126"/>
      <c r="GY36" s="126"/>
      <c r="GZ36" s="126"/>
      <c r="HA36" s="126"/>
      <c r="HB36" s="126"/>
      <c r="HC36" s="126"/>
      <c r="HD36" s="126"/>
      <c r="HE36" s="126"/>
      <c r="HF36" s="126"/>
      <c r="HG36" s="126"/>
      <c r="HH36" s="126"/>
      <c r="HI36" s="126"/>
      <c r="HJ36" s="126"/>
      <c r="HK36" s="126"/>
      <c r="HL36" s="126"/>
      <c r="HM36" s="126"/>
      <c r="HN36" s="126"/>
      <c r="HO36" s="126"/>
      <c r="HP36" s="126"/>
      <c r="HQ36" s="126"/>
      <c r="HR36" s="126"/>
      <c r="HS36" s="126"/>
      <c r="HT36" s="126"/>
      <c r="HU36" s="126"/>
      <c r="HV36" s="126"/>
      <c r="HW36" s="126"/>
      <c r="HX36" s="126"/>
      <c r="HY36" s="126"/>
      <c r="HZ36" s="126"/>
      <c r="IA36" s="126"/>
      <c r="IB36" s="126"/>
      <c r="IC36" s="126"/>
      <c r="ID36" s="126"/>
      <c r="IE36" s="126"/>
      <c r="IF36" s="126"/>
      <c r="IG36" s="126"/>
      <c r="IH36" s="126"/>
      <c r="II36" s="126"/>
      <c r="IJ36" s="126"/>
      <c r="IK36" s="126"/>
      <c r="IL36" s="126"/>
      <c r="IM36" s="126"/>
      <c r="IN36" s="126"/>
      <c r="IO36" s="126"/>
      <c r="IP36" s="126"/>
      <c r="IQ36" s="126"/>
      <c r="IR36" s="126"/>
      <c r="IS36" s="126"/>
      <c r="IT36" s="126"/>
      <c r="IU36" s="126"/>
      <c r="IV36" s="126"/>
    </row>
    <row r="37" spans="1:256" ht="24.95" customHeight="1" x14ac:dyDescent="0.35">
      <c r="A37" s="1624">
        <v>31</v>
      </c>
      <c r="B37" s="126"/>
      <c r="C37" s="1631" t="s">
        <v>378</v>
      </c>
      <c r="D37" s="1638" t="s">
        <v>186</v>
      </c>
      <c r="E37" s="1644"/>
      <c r="F37" s="1646"/>
      <c r="G37" s="1646"/>
      <c r="H37" s="1646"/>
      <c r="I37" s="126"/>
      <c r="J37" s="1640"/>
      <c r="K37" s="126"/>
      <c r="L37" s="1640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26"/>
      <c r="AU37" s="126"/>
      <c r="AV37" s="126"/>
      <c r="AW37" s="126"/>
      <c r="AX37" s="126"/>
      <c r="AY37" s="126"/>
      <c r="AZ37" s="126"/>
      <c r="BA37" s="126"/>
      <c r="BB37" s="126"/>
      <c r="BC37" s="126"/>
      <c r="BD37" s="126"/>
      <c r="BE37" s="126"/>
      <c r="BF37" s="126"/>
      <c r="BG37" s="126"/>
      <c r="BH37" s="126"/>
      <c r="BI37" s="126"/>
      <c r="BJ37" s="126"/>
      <c r="BK37" s="126"/>
      <c r="BL37" s="126"/>
      <c r="BM37" s="126"/>
      <c r="BN37" s="126"/>
      <c r="BO37" s="126"/>
      <c r="BP37" s="126"/>
      <c r="BQ37" s="126"/>
      <c r="BR37" s="126"/>
      <c r="BS37" s="126"/>
      <c r="BT37" s="126"/>
      <c r="BU37" s="126"/>
      <c r="BV37" s="126"/>
      <c r="BW37" s="126"/>
      <c r="BX37" s="126"/>
      <c r="BY37" s="126"/>
      <c r="BZ37" s="126"/>
      <c r="CA37" s="126"/>
      <c r="CB37" s="126"/>
      <c r="CC37" s="126"/>
      <c r="CD37" s="126"/>
      <c r="CE37" s="126"/>
      <c r="CF37" s="126"/>
      <c r="CG37" s="126"/>
      <c r="CH37" s="126"/>
      <c r="CI37" s="126"/>
      <c r="CJ37" s="126"/>
      <c r="CK37" s="126"/>
      <c r="CL37" s="126"/>
      <c r="CM37" s="126"/>
      <c r="CN37" s="126"/>
      <c r="CO37" s="126"/>
      <c r="CP37" s="126"/>
      <c r="CQ37" s="126"/>
      <c r="CR37" s="126"/>
      <c r="CS37" s="126"/>
      <c r="CT37" s="126"/>
      <c r="CU37" s="126"/>
      <c r="CV37" s="126"/>
      <c r="CW37" s="126"/>
      <c r="CX37" s="126"/>
      <c r="CY37" s="126"/>
      <c r="CZ37" s="126"/>
      <c r="DA37" s="126"/>
      <c r="DB37" s="126"/>
      <c r="DC37" s="126"/>
      <c r="DD37" s="126"/>
      <c r="DE37" s="126"/>
      <c r="DF37" s="126"/>
      <c r="DG37" s="126"/>
      <c r="DH37" s="126"/>
      <c r="DI37" s="126"/>
      <c r="DJ37" s="126"/>
      <c r="DK37" s="126"/>
      <c r="DL37" s="126"/>
      <c r="DM37" s="126"/>
      <c r="DN37" s="126"/>
      <c r="DO37" s="126"/>
      <c r="DP37" s="126"/>
      <c r="DQ37" s="126"/>
      <c r="DR37" s="126"/>
      <c r="DS37" s="126"/>
      <c r="DT37" s="126"/>
      <c r="DU37" s="126"/>
      <c r="DV37" s="126"/>
      <c r="DW37" s="126"/>
      <c r="DX37" s="126"/>
      <c r="DY37" s="126"/>
      <c r="DZ37" s="126"/>
      <c r="EA37" s="126"/>
      <c r="EB37" s="126"/>
      <c r="EC37" s="126"/>
      <c r="ED37" s="126"/>
      <c r="EE37" s="126"/>
      <c r="EF37" s="126"/>
      <c r="EG37" s="126"/>
      <c r="EH37" s="126"/>
      <c r="EI37" s="126"/>
      <c r="EJ37" s="126"/>
      <c r="EK37" s="126"/>
      <c r="EL37" s="126"/>
      <c r="EM37" s="126"/>
      <c r="EN37" s="126"/>
      <c r="EO37" s="126"/>
      <c r="EP37" s="126"/>
      <c r="EQ37" s="126"/>
      <c r="ER37" s="126"/>
      <c r="ES37" s="126"/>
      <c r="ET37" s="126"/>
      <c r="EU37" s="126"/>
      <c r="EV37" s="126"/>
      <c r="EW37" s="126"/>
      <c r="EX37" s="126"/>
      <c r="EY37" s="126"/>
      <c r="EZ37" s="126"/>
      <c r="FA37" s="126"/>
      <c r="FB37" s="126"/>
      <c r="FC37" s="126"/>
      <c r="FD37" s="126"/>
      <c r="FE37" s="126"/>
      <c r="FF37" s="126"/>
      <c r="FG37" s="126"/>
      <c r="FH37" s="126"/>
      <c r="FI37" s="126"/>
      <c r="FJ37" s="126"/>
      <c r="FK37" s="126"/>
      <c r="FL37" s="126"/>
      <c r="FM37" s="126"/>
      <c r="FN37" s="126"/>
      <c r="FO37" s="126"/>
      <c r="FP37" s="126"/>
      <c r="FQ37" s="126"/>
      <c r="FR37" s="126"/>
      <c r="FS37" s="126"/>
      <c r="FT37" s="126"/>
      <c r="FU37" s="126"/>
      <c r="FV37" s="126"/>
      <c r="FW37" s="126"/>
      <c r="FX37" s="126"/>
      <c r="FY37" s="126"/>
      <c r="FZ37" s="126"/>
      <c r="GA37" s="126"/>
      <c r="GB37" s="126"/>
      <c r="GC37" s="126"/>
      <c r="GD37" s="126"/>
      <c r="GE37" s="126"/>
      <c r="GF37" s="126"/>
      <c r="GG37" s="126"/>
      <c r="GH37" s="126"/>
      <c r="GI37" s="126"/>
      <c r="GJ37" s="126"/>
      <c r="GK37" s="126"/>
      <c r="GL37" s="126"/>
      <c r="GM37" s="126"/>
      <c r="GN37" s="126"/>
      <c r="GO37" s="126"/>
      <c r="GP37" s="126"/>
      <c r="GQ37" s="126"/>
      <c r="GR37" s="126"/>
      <c r="GS37" s="126"/>
      <c r="GT37" s="126"/>
      <c r="GU37" s="126"/>
      <c r="GV37" s="126"/>
      <c r="GW37" s="126"/>
      <c r="GX37" s="126"/>
      <c r="GY37" s="126"/>
      <c r="GZ37" s="126"/>
      <c r="HA37" s="126"/>
      <c r="HB37" s="126"/>
      <c r="HC37" s="126"/>
      <c r="HD37" s="126"/>
      <c r="HE37" s="126"/>
      <c r="HF37" s="126"/>
      <c r="HG37" s="126"/>
      <c r="HH37" s="126"/>
      <c r="HI37" s="126"/>
      <c r="HJ37" s="126"/>
      <c r="HK37" s="126"/>
      <c r="HL37" s="126"/>
      <c r="HM37" s="126"/>
      <c r="HN37" s="126"/>
      <c r="HO37" s="126"/>
      <c r="HP37" s="126"/>
      <c r="HQ37" s="126"/>
      <c r="HR37" s="126"/>
      <c r="HS37" s="126"/>
      <c r="HT37" s="126"/>
      <c r="HU37" s="126"/>
      <c r="HV37" s="126"/>
      <c r="HW37" s="126"/>
      <c r="HX37" s="126"/>
      <c r="HY37" s="126"/>
      <c r="HZ37" s="126"/>
      <c r="IA37" s="126"/>
      <c r="IB37" s="126"/>
      <c r="IC37" s="126"/>
      <c r="ID37" s="126"/>
      <c r="IE37" s="126"/>
      <c r="IF37" s="126"/>
      <c r="IG37" s="126"/>
      <c r="IH37" s="126"/>
      <c r="II37" s="126"/>
      <c r="IJ37" s="126"/>
      <c r="IK37" s="126"/>
      <c r="IL37" s="126"/>
      <c r="IM37" s="126"/>
      <c r="IN37" s="126"/>
      <c r="IO37" s="126"/>
      <c r="IP37" s="126"/>
      <c r="IQ37" s="126"/>
      <c r="IR37" s="126"/>
      <c r="IS37" s="126"/>
      <c r="IT37" s="126"/>
      <c r="IU37" s="126"/>
      <c r="IV37" s="126"/>
    </row>
    <row r="38" spans="1:256" ht="37.5" customHeight="1" x14ac:dyDescent="0.35">
      <c r="A38" s="1624">
        <v>32</v>
      </c>
      <c r="B38" s="126"/>
      <c r="C38" s="1631"/>
      <c r="D38" s="2030" t="s">
        <v>1229</v>
      </c>
      <c r="E38" s="2004">
        <v>-41400</v>
      </c>
      <c r="F38" s="1646"/>
      <c r="G38" s="1646"/>
      <c r="H38" s="1646"/>
      <c r="I38" s="126"/>
      <c r="J38" s="1640"/>
      <c r="K38" s="126"/>
      <c r="L38" s="1640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O38" s="126"/>
      <c r="AP38" s="126"/>
      <c r="AQ38" s="126"/>
      <c r="AR38" s="126"/>
      <c r="AS38" s="126"/>
      <c r="AT38" s="126"/>
      <c r="AU38" s="126"/>
      <c r="AV38" s="126"/>
      <c r="AW38" s="126"/>
      <c r="AX38" s="126"/>
      <c r="AY38" s="126"/>
      <c r="AZ38" s="126"/>
      <c r="BA38" s="126"/>
      <c r="BB38" s="126"/>
      <c r="BC38" s="126"/>
      <c r="BD38" s="126"/>
      <c r="BE38" s="126"/>
      <c r="BF38" s="126"/>
      <c r="BG38" s="126"/>
      <c r="BH38" s="126"/>
      <c r="BI38" s="126"/>
      <c r="BJ38" s="126"/>
      <c r="BK38" s="126"/>
      <c r="BL38" s="126"/>
      <c r="BM38" s="126"/>
      <c r="BN38" s="126"/>
      <c r="BO38" s="126"/>
      <c r="BP38" s="126"/>
      <c r="BQ38" s="126"/>
      <c r="BR38" s="126"/>
      <c r="BS38" s="126"/>
      <c r="BT38" s="126"/>
      <c r="BU38" s="126"/>
      <c r="BV38" s="126"/>
      <c r="BW38" s="126"/>
      <c r="BX38" s="126"/>
      <c r="BY38" s="126"/>
      <c r="BZ38" s="126"/>
      <c r="CA38" s="126"/>
      <c r="CB38" s="126"/>
      <c r="CC38" s="126"/>
      <c r="CD38" s="126"/>
      <c r="CE38" s="126"/>
      <c r="CF38" s="126"/>
      <c r="CG38" s="126"/>
      <c r="CH38" s="126"/>
      <c r="CI38" s="126"/>
      <c r="CJ38" s="126"/>
      <c r="CK38" s="126"/>
      <c r="CL38" s="126"/>
      <c r="CM38" s="126"/>
      <c r="CN38" s="126"/>
      <c r="CO38" s="126"/>
      <c r="CP38" s="126"/>
      <c r="CQ38" s="126"/>
      <c r="CR38" s="126"/>
      <c r="CS38" s="126"/>
      <c r="CT38" s="126"/>
      <c r="CU38" s="126"/>
      <c r="CV38" s="126"/>
      <c r="CW38" s="126"/>
      <c r="CX38" s="126"/>
      <c r="CY38" s="126"/>
      <c r="CZ38" s="126"/>
      <c r="DA38" s="126"/>
      <c r="DB38" s="126"/>
      <c r="DC38" s="126"/>
      <c r="DD38" s="126"/>
      <c r="DE38" s="126"/>
      <c r="DF38" s="126"/>
      <c r="DG38" s="126"/>
      <c r="DH38" s="126"/>
      <c r="DI38" s="126"/>
      <c r="DJ38" s="126"/>
      <c r="DK38" s="126"/>
      <c r="DL38" s="126"/>
      <c r="DM38" s="126"/>
      <c r="DN38" s="126"/>
      <c r="DO38" s="126"/>
      <c r="DP38" s="126"/>
      <c r="DQ38" s="126"/>
      <c r="DR38" s="126"/>
      <c r="DS38" s="126"/>
      <c r="DT38" s="126"/>
      <c r="DU38" s="126"/>
      <c r="DV38" s="126"/>
      <c r="DW38" s="126"/>
      <c r="DX38" s="126"/>
      <c r="DY38" s="126"/>
      <c r="DZ38" s="126"/>
      <c r="EA38" s="126"/>
      <c r="EB38" s="126"/>
      <c r="EC38" s="126"/>
      <c r="ED38" s="126"/>
      <c r="EE38" s="126"/>
      <c r="EF38" s="126"/>
      <c r="EG38" s="126"/>
      <c r="EH38" s="126"/>
      <c r="EI38" s="126"/>
      <c r="EJ38" s="126"/>
      <c r="EK38" s="126"/>
      <c r="EL38" s="126"/>
      <c r="EM38" s="126"/>
      <c r="EN38" s="126"/>
      <c r="EO38" s="126"/>
      <c r="EP38" s="126"/>
      <c r="EQ38" s="126"/>
      <c r="ER38" s="126"/>
      <c r="ES38" s="126"/>
      <c r="ET38" s="126"/>
      <c r="EU38" s="126"/>
      <c r="EV38" s="126"/>
      <c r="EW38" s="126"/>
      <c r="EX38" s="126"/>
      <c r="EY38" s="126"/>
      <c r="EZ38" s="126"/>
      <c r="FA38" s="126"/>
      <c r="FB38" s="126"/>
      <c r="FC38" s="126"/>
      <c r="FD38" s="126"/>
      <c r="FE38" s="126"/>
      <c r="FF38" s="126"/>
      <c r="FG38" s="126"/>
      <c r="FH38" s="126"/>
      <c r="FI38" s="126"/>
      <c r="FJ38" s="126"/>
      <c r="FK38" s="126"/>
      <c r="FL38" s="126"/>
      <c r="FM38" s="126"/>
      <c r="FN38" s="126"/>
      <c r="FO38" s="126"/>
      <c r="FP38" s="126"/>
      <c r="FQ38" s="126"/>
      <c r="FR38" s="126"/>
      <c r="FS38" s="126"/>
      <c r="FT38" s="126"/>
      <c r="FU38" s="126"/>
      <c r="FV38" s="126"/>
      <c r="FW38" s="126"/>
      <c r="FX38" s="126"/>
      <c r="FY38" s="126"/>
      <c r="FZ38" s="126"/>
      <c r="GA38" s="126"/>
      <c r="GB38" s="126"/>
      <c r="GC38" s="126"/>
      <c r="GD38" s="126"/>
      <c r="GE38" s="126"/>
      <c r="GF38" s="126"/>
      <c r="GG38" s="126"/>
      <c r="GH38" s="126"/>
      <c r="GI38" s="126"/>
      <c r="GJ38" s="126"/>
      <c r="GK38" s="126"/>
      <c r="GL38" s="126"/>
      <c r="GM38" s="126"/>
      <c r="GN38" s="126"/>
      <c r="GO38" s="126"/>
      <c r="GP38" s="126"/>
      <c r="GQ38" s="126"/>
      <c r="GR38" s="126"/>
      <c r="GS38" s="126"/>
      <c r="GT38" s="126"/>
      <c r="GU38" s="126"/>
      <c r="GV38" s="126"/>
      <c r="GW38" s="126"/>
      <c r="GX38" s="126"/>
      <c r="GY38" s="126"/>
      <c r="GZ38" s="126"/>
      <c r="HA38" s="126"/>
      <c r="HB38" s="126"/>
      <c r="HC38" s="126"/>
      <c r="HD38" s="126"/>
      <c r="HE38" s="126"/>
      <c r="HF38" s="126"/>
      <c r="HG38" s="126"/>
      <c r="HH38" s="126"/>
      <c r="HI38" s="126"/>
      <c r="HJ38" s="126"/>
      <c r="HK38" s="126"/>
      <c r="HL38" s="126"/>
      <c r="HM38" s="126"/>
      <c r="HN38" s="126"/>
      <c r="HO38" s="126"/>
      <c r="HP38" s="126"/>
      <c r="HQ38" s="126"/>
      <c r="HR38" s="126"/>
      <c r="HS38" s="126"/>
      <c r="HT38" s="126"/>
      <c r="HU38" s="126"/>
      <c r="HV38" s="126"/>
      <c r="HW38" s="126"/>
      <c r="HX38" s="126"/>
      <c r="HY38" s="126"/>
      <c r="HZ38" s="126"/>
      <c r="IA38" s="126"/>
      <c r="IB38" s="126"/>
      <c r="IC38" s="126"/>
      <c r="ID38" s="126"/>
      <c r="IE38" s="126"/>
      <c r="IF38" s="126"/>
      <c r="IG38" s="126"/>
      <c r="IH38" s="126"/>
      <c r="II38" s="126"/>
      <c r="IJ38" s="126"/>
      <c r="IK38" s="126"/>
      <c r="IL38" s="126"/>
      <c r="IM38" s="126"/>
      <c r="IN38" s="126"/>
      <c r="IO38" s="126"/>
      <c r="IP38" s="126"/>
      <c r="IQ38" s="126"/>
      <c r="IR38" s="126"/>
      <c r="IS38" s="126"/>
      <c r="IT38" s="126"/>
      <c r="IU38" s="126"/>
      <c r="IV38" s="126"/>
    </row>
    <row r="39" spans="1:256" ht="38.25" customHeight="1" x14ac:dyDescent="0.35">
      <c r="A39" s="1624">
        <v>33</v>
      </c>
      <c r="B39" s="126"/>
      <c r="C39" s="1631"/>
      <c r="D39" s="2030" t="s">
        <v>616</v>
      </c>
      <c r="E39" s="2005">
        <v>130641</v>
      </c>
      <c r="F39" s="1646"/>
      <c r="G39" s="1646"/>
      <c r="H39" s="1646"/>
      <c r="I39" s="126"/>
      <c r="J39" s="1640"/>
      <c r="K39" s="126"/>
      <c r="L39" s="1640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O39" s="126"/>
      <c r="AP39" s="126"/>
      <c r="AQ39" s="126"/>
      <c r="AR39" s="126"/>
      <c r="AS39" s="126"/>
      <c r="AT39" s="126"/>
      <c r="AU39" s="126"/>
      <c r="AV39" s="126"/>
      <c r="AW39" s="126"/>
      <c r="AX39" s="126"/>
      <c r="AY39" s="126"/>
      <c r="AZ39" s="126"/>
      <c r="BA39" s="126"/>
      <c r="BB39" s="126"/>
      <c r="BC39" s="126"/>
      <c r="BD39" s="126"/>
      <c r="BE39" s="126"/>
      <c r="BF39" s="126"/>
      <c r="BG39" s="126"/>
      <c r="BH39" s="126"/>
      <c r="BI39" s="126"/>
      <c r="BJ39" s="126"/>
      <c r="BK39" s="126"/>
      <c r="BL39" s="126"/>
      <c r="BM39" s="126"/>
      <c r="BN39" s="126"/>
      <c r="BO39" s="126"/>
      <c r="BP39" s="126"/>
      <c r="BQ39" s="126"/>
      <c r="BR39" s="126"/>
      <c r="BS39" s="126"/>
      <c r="BT39" s="126"/>
      <c r="BU39" s="126"/>
      <c r="BV39" s="126"/>
      <c r="BW39" s="126"/>
      <c r="BX39" s="126"/>
      <c r="BY39" s="126"/>
      <c r="BZ39" s="126"/>
      <c r="CA39" s="126"/>
      <c r="CB39" s="126"/>
      <c r="CC39" s="126"/>
      <c r="CD39" s="126"/>
      <c r="CE39" s="126"/>
      <c r="CF39" s="126"/>
      <c r="CG39" s="126"/>
      <c r="CH39" s="126"/>
      <c r="CI39" s="126"/>
      <c r="CJ39" s="126"/>
      <c r="CK39" s="126"/>
      <c r="CL39" s="126"/>
      <c r="CM39" s="126"/>
      <c r="CN39" s="126"/>
      <c r="CO39" s="126"/>
      <c r="CP39" s="126"/>
      <c r="CQ39" s="126"/>
      <c r="CR39" s="126"/>
      <c r="CS39" s="126"/>
      <c r="CT39" s="126"/>
      <c r="CU39" s="126"/>
      <c r="CV39" s="126"/>
      <c r="CW39" s="126"/>
      <c r="CX39" s="126"/>
      <c r="CY39" s="126"/>
      <c r="CZ39" s="126"/>
      <c r="DA39" s="126"/>
      <c r="DB39" s="126"/>
      <c r="DC39" s="126"/>
      <c r="DD39" s="126"/>
      <c r="DE39" s="126"/>
      <c r="DF39" s="126"/>
      <c r="DG39" s="126"/>
      <c r="DH39" s="126"/>
      <c r="DI39" s="126"/>
      <c r="DJ39" s="126"/>
      <c r="DK39" s="126"/>
      <c r="DL39" s="126"/>
      <c r="DM39" s="126"/>
      <c r="DN39" s="126"/>
      <c r="DO39" s="126"/>
      <c r="DP39" s="126"/>
      <c r="DQ39" s="126"/>
      <c r="DR39" s="126"/>
      <c r="DS39" s="126"/>
      <c r="DT39" s="126"/>
      <c r="DU39" s="126"/>
      <c r="DV39" s="126"/>
      <c r="DW39" s="126"/>
      <c r="DX39" s="126"/>
      <c r="DY39" s="126"/>
      <c r="DZ39" s="126"/>
      <c r="EA39" s="126"/>
      <c r="EB39" s="126"/>
      <c r="EC39" s="126"/>
      <c r="ED39" s="126"/>
      <c r="EE39" s="126"/>
      <c r="EF39" s="126"/>
      <c r="EG39" s="126"/>
      <c r="EH39" s="126"/>
      <c r="EI39" s="126"/>
      <c r="EJ39" s="126"/>
      <c r="EK39" s="126"/>
      <c r="EL39" s="126"/>
      <c r="EM39" s="126"/>
      <c r="EN39" s="126"/>
      <c r="EO39" s="126"/>
      <c r="EP39" s="126"/>
      <c r="EQ39" s="126"/>
      <c r="ER39" s="126"/>
      <c r="ES39" s="126"/>
      <c r="ET39" s="126"/>
      <c r="EU39" s="126"/>
      <c r="EV39" s="126"/>
      <c r="EW39" s="126"/>
      <c r="EX39" s="126"/>
      <c r="EY39" s="126"/>
      <c r="EZ39" s="126"/>
      <c r="FA39" s="126"/>
      <c r="FB39" s="126"/>
      <c r="FC39" s="126"/>
      <c r="FD39" s="126"/>
      <c r="FE39" s="126"/>
      <c r="FF39" s="126"/>
      <c r="FG39" s="126"/>
      <c r="FH39" s="126"/>
      <c r="FI39" s="126"/>
      <c r="FJ39" s="126"/>
      <c r="FK39" s="126"/>
      <c r="FL39" s="126"/>
      <c r="FM39" s="126"/>
      <c r="FN39" s="126"/>
      <c r="FO39" s="126"/>
      <c r="FP39" s="126"/>
      <c r="FQ39" s="126"/>
      <c r="FR39" s="126"/>
      <c r="FS39" s="126"/>
      <c r="FT39" s="126"/>
      <c r="FU39" s="126"/>
      <c r="FV39" s="126"/>
      <c r="FW39" s="126"/>
      <c r="FX39" s="126"/>
      <c r="FY39" s="126"/>
      <c r="FZ39" s="126"/>
      <c r="GA39" s="126"/>
      <c r="GB39" s="126"/>
      <c r="GC39" s="126"/>
      <c r="GD39" s="126"/>
      <c r="GE39" s="126"/>
      <c r="GF39" s="126"/>
      <c r="GG39" s="126"/>
      <c r="GH39" s="126"/>
      <c r="GI39" s="126"/>
      <c r="GJ39" s="126"/>
      <c r="GK39" s="126"/>
      <c r="GL39" s="126"/>
      <c r="GM39" s="126"/>
      <c r="GN39" s="126"/>
      <c r="GO39" s="126"/>
      <c r="GP39" s="126"/>
      <c r="GQ39" s="126"/>
      <c r="GR39" s="126"/>
      <c r="GS39" s="126"/>
      <c r="GT39" s="126"/>
      <c r="GU39" s="126"/>
      <c r="GV39" s="126"/>
      <c r="GW39" s="126"/>
      <c r="GX39" s="126"/>
      <c r="GY39" s="126"/>
      <c r="GZ39" s="126"/>
      <c r="HA39" s="126"/>
      <c r="HB39" s="126"/>
      <c r="HC39" s="126"/>
      <c r="HD39" s="126"/>
      <c r="HE39" s="126"/>
      <c r="HF39" s="126"/>
      <c r="HG39" s="126"/>
      <c r="HH39" s="126"/>
      <c r="HI39" s="126"/>
      <c r="HJ39" s="126"/>
      <c r="HK39" s="126"/>
      <c r="HL39" s="126"/>
      <c r="HM39" s="126"/>
      <c r="HN39" s="126"/>
      <c r="HO39" s="126"/>
      <c r="HP39" s="126"/>
      <c r="HQ39" s="126"/>
      <c r="HR39" s="126"/>
      <c r="HS39" s="126"/>
      <c r="HT39" s="126"/>
      <c r="HU39" s="126"/>
      <c r="HV39" s="126"/>
      <c r="HW39" s="126"/>
      <c r="HX39" s="126"/>
      <c r="HY39" s="126"/>
      <c r="HZ39" s="126"/>
      <c r="IA39" s="126"/>
      <c r="IB39" s="126"/>
      <c r="IC39" s="126"/>
      <c r="ID39" s="126"/>
      <c r="IE39" s="126"/>
      <c r="IF39" s="126"/>
      <c r="IG39" s="126"/>
      <c r="IH39" s="126"/>
      <c r="II39" s="126"/>
      <c r="IJ39" s="126"/>
      <c r="IK39" s="126"/>
      <c r="IL39" s="126"/>
      <c r="IM39" s="126"/>
      <c r="IN39" s="126"/>
      <c r="IO39" s="126"/>
      <c r="IP39" s="126"/>
      <c r="IQ39" s="126"/>
      <c r="IR39" s="126"/>
      <c r="IS39" s="126"/>
      <c r="IT39" s="126"/>
      <c r="IU39" s="126"/>
      <c r="IV39" s="126"/>
    </row>
    <row r="40" spans="1:256" ht="18" customHeight="1" x14ac:dyDescent="0.35">
      <c r="A40" s="1624">
        <v>34</v>
      </c>
      <c r="B40" s="126"/>
      <c r="C40" s="1631"/>
      <c r="D40" s="1647" t="s">
        <v>129</v>
      </c>
      <c r="E40" s="1819">
        <f>SUM(E38:E39)</f>
        <v>89241</v>
      </c>
      <c r="F40" s="1646"/>
      <c r="G40" s="1646"/>
      <c r="H40" s="1646"/>
      <c r="I40" s="126"/>
      <c r="J40" s="1640"/>
      <c r="K40" s="126"/>
      <c r="L40" s="1640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26"/>
      <c r="BF40" s="126"/>
      <c r="BG40" s="126"/>
      <c r="BH40" s="126"/>
      <c r="BI40" s="126"/>
      <c r="BJ40" s="126"/>
      <c r="BK40" s="126"/>
      <c r="BL40" s="126"/>
      <c r="BM40" s="126"/>
      <c r="BN40" s="126"/>
      <c r="BO40" s="126"/>
      <c r="BP40" s="126"/>
      <c r="BQ40" s="126"/>
      <c r="BR40" s="126"/>
      <c r="BS40" s="126"/>
      <c r="BT40" s="126"/>
      <c r="BU40" s="126"/>
      <c r="BV40" s="126"/>
      <c r="BW40" s="126"/>
      <c r="BX40" s="126"/>
      <c r="BY40" s="126"/>
      <c r="BZ40" s="126"/>
      <c r="CA40" s="126"/>
      <c r="CB40" s="126"/>
      <c r="CC40" s="126"/>
      <c r="CD40" s="126"/>
      <c r="CE40" s="126"/>
      <c r="CF40" s="126"/>
      <c r="CG40" s="126"/>
      <c r="CH40" s="126"/>
      <c r="CI40" s="126"/>
      <c r="CJ40" s="126"/>
      <c r="CK40" s="126"/>
      <c r="CL40" s="126"/>
      <c r="CM40" s="126"/>
      <c r="CN40" s="126"/>
      <c r="CO40" s="126"/>
      <c r="CP40" s="126"/>
      <c r="CQ40" s="126"/>
      <c r="CR40" s="126"/>
      <c r="CS40" s="126"/>
      <c r="CT40" s="126"/>
      <c r="CU40" s="126"/>
      <c r="CV40" s="126"/>
      <c r="CW40" s="126"/>
      <c r="CX40" s="126"/>
      <c r="CY40" s="126"/>
      <c r="CZ40" s="126"/>
      <c r="DA40" s="126"/>
      <c r="DB40" s="126"/>
      <c r="DC40" s="126"/>
      <c r="DD40" s="126"/>
      <c r="DE40" s="126"/>
      <c r="DF40" s="126"/>
      <c r="DG40" s="126"/>
      <c r="DH40" s="126"/>
      <c r="DI40" s="126"/>
      <c r="DJ40" s="126"/>
      <c r="DK40" s="126"/>
      <c r="DL40" s="126"/>
      <c r="DM40" s="126"/>
      <c r="DN40" s="126"/>
      <c r="DO40" s="126"/>
      <c r="DP40" s="126"/>
      <c r="DQ40" s="126"/>
      <c r="DR40" s="126"/>
      <c r="DS40" s="126"/>
      <c r="DT40" s="126"/>
      <c r="DU40" s="126"/>
      <c r="DV40" s="126"/>
      <c r="DW40" s="126"/>
      <c r="DX40" s="126"/>
      <c r="DY40" s="126"/>
      <c r="DZ40" s="126"/>
      <c r="EA40" s="126"/>
      <c r="EB40" s="126"/>
      <c r="EC40" s="126"/>
      <c r="ED40" s="126"/>
      <c r="EE40" s="126"/>
      <c r="EF40" s="126"/>
      <c r="EG40" s="126"/>
      <c r="EH40" s="126"/>
      <c r="EI40" s="126"/>
      <c r="EJ40" s="126"/>
      <c r="EK40" s="126"/>
      <c r="EL40" s="126"/>
      <c r="EM40" s="126"/>
      <c r="EN40" s="126"/>
      <c r="EO40" s="126"/>
      <c r="EP40" s="126"/>
      <c r="EQ40" s="126"/>
      <c r="ER40" s="126"/>
      <c r="ES40" s="126"/>
      <c r="ET40" s="126"/>
      <c r="EU40" s="126"/>
      <c r="EV40" s="126"/>
      <c r="EW40" s="126"/>
      <c r="EX40" s="126"/>
      <c r="EY40" s="126"/>
      <c r="EZ40" s="126"/>
      <c r="FA40" s="126"/>
      <c r="FB40" s="126"/>
      <c r="FC40" s="126"/>
      <c r="FD40" s="126"/>
      <c r="FE40" s="126"/>
      <c r="FF40" s="126"/>
      <c r="FG40" s="126"/>
      <c r="FH40" s="126"/>
      <c r="FI40" s="126"/>
      <c r="FJ40" s="126"/>
      <c r="FK40" s="126"/>
      <c r="FL40" s="126"/>
      <c r="FM40" s="126"/>
      <c r="FN40" s="126"/>
      <c r="FO40" s="126"/>
      <c r="FP40" s="126"/>
      <c r="FQ40" s="126"/>
      <c r="FR40" s="126"/>
      <c r="FS40" s="126"/>
      <c r="FT40" s="126"/>
      <c r="FU40" s="126"/>
      <c r="FV40" s="126"/>
      <c r="FW40" s="126"/>
      <c r="FX40" s="126"/>
      <c r="FY40" s="126"/>
      <c r="FZ40" s="126"/>
      <c r="GA40" s="126"/>
      <c r="GB40" s="126"/>
      <c r="GC40" s="126"/>
      <c r="GD40" s="126"/>
      <c r="GE40" s="126"/>
      <c r="GF40" s="126"/>
      <c r="GG40" s="126"/>
      <c r="GH40" s="126"/>
      <c r="GI40" s="126"/>
      <c r="GJ40" s="126"/>
      <c r="GK40" s="126"/>
      <c r="GL40" s="126"/>
      <c r="GM40" s="126"/>
      <c r="GN40" s="126"/>
      <c r="GO40" s="126"/>
      <c r="GP40" s="126"/>
      <c r="GQ40" s="126"/>
      <c r="GR40" s="126"/>
      <c r="GS40" s="126"/>
      <c r="GT40" s="126"/>
      <c r="GU40" s="126"/>
      <c r="GV40" s="126"/>
      <c r="GW40" s="126"/>
      <c r="GX40" s="126"/>
      <c r="GY40" s="126"/>
      <c r="GZ40" s="126"/>
      <c r="HA40" s="126"/>
      <c r="HB40" s="126"/>
      <c r="HC40" s="126"/>
      <c r="HD40" s="126"/>
      <c r="HE40" s="126"/>
      <c r="HF40" s="126"/>
      <c r="HG40" s="126"/>
      <c r="HH40" s="126"/>
      <c r="HI40" s="126"/>
      <c r="HJ40" s="126"/>
      <c r="HK40" s="126"/>
      <c r="HL40" s="126"/>
      <c r="HM40" s="126"/>
      <c r="HN40" s="126"/>
      <c r="HO40" s="126"/>
      <c r="HP40" s="126"/>
      <c r="HQ40" s="126"/>
      <c r="HR40" s="126"/>
      <c r="HS40" s="126"/>
      <c r="HT40" s="126"/>
      <c r="HU40" s="126"/>
      <c r="HV40" s="126"/>
      <c r="HW40" s="126"/>
      <c r="HX40" s="126"/>
      <c r="HY40" s="126"/>
      <c r="HZ40" s="126"/>
      <c r="IA40" s="126"/>
      <c r="IB40" s="126"/>
      <c r="IC40" s="126"/>
      <c r="ID40" s="126"/>
      <c r="IE40" s="126"/>
      <c r="IF40" s="126"/>
      <c r="IG40" s="126"/>
      <c r="IH40" s="126"/>
      <c r="II40" s="126"/>
      <c r="IJ40" s="126"/>
      <c r="IK40" s="126"/>
      <c r="IL40" s="126"/>
      <c r="IM40" s="126"/>
      <c r="IN40" s="126"/>
      <c r="IO40" s="126"/>
      <c r="IP40" s="126"/>
      <c r="IQ40" s="126"/>
      <c r="IR40" s="126"/>
      <c r="IS40" s="126"/>
      <c r="IT40" s="126"/>
      <c r="IU40" s="126"/>
      <c r="IV40" s="126"/>
    </row>
    <row r="41" spans="1:256" ht="24.95" customHeight="1" x14ac:dyDescent="0.35">
      <c r="A41" s="1624">
        <v>35</v>
      </c>
      <c r="B41" s="126"/>
      <c r="C41" s="1631" t="s">
        <v>607</v>
      </c>
      <c r="D41" s="1638" t="s">
        <v>1050</v>
      </c>
      <c r="E41" s="1819"/>
      <c r="F41" s="1646"/>
      <c r="G41" s="1646"/>
      <c r="H41" s="1646"/>
      <c r="I41" s="126"/>
      <c r="J41" s="1640"/>
      <c r="K41" s="126"/>
      <c r="L41" s="1640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26"/>
      <c r="AU41" s="126"/>
      <c r="AV41" s="126"/>
      <c r="AW41" s="126"/>
      <c r="AX41" s="126"/>
      <c r="AY41" s="126"/>
      <c r="AZ41" s="126"/>
      <c r="BA41" s="126"/>
      <c r="BB41" s="126"/>
      <c r="BC41" s="126"/>
      <c r="BD41" s="126"/>
      <c r="BE41" s="126"/>
      <c r="BF41" s="126"/>
      <c r="BG41" s="126"/>
      <c r="BH41" s="126"/>
      <c r="BI41" s="126"/>
      <c r="BJ41" s="126"/>
      <c r="BK41" s="126"/>
      <c r="BL41" s="126"/>
      <c r="BM41" s="126"/>
      <c r="BN41" s="126"/>
      <c r="BO41" s="126"/>
      <c r="BP41" s="126"/>
      <c r="BQ41" s="126"/>
      <c r="BR41" s="126"/>
      <c r="BS41" s="126"/>
      <c r="BT41" s="126"/>
      <c r="BU41" s="126"/>
      <c r="BV41" s="126"/>
      <c r="BW41" s="126"/>
      <c r="BX41" s="126"/>
      <c r="BY41" s="126"/>
      <c r="BZ41" s="126"/>
      <c r="CA41" s="126"/>
      <c r="CB41" s="126"/>
      <c r="CC41" s="126"/>
      <c r="CD41" s="126"/>
      <c r="CE41" s="126"/>
      <c r="CF41" s="126"/>
      <c r="CG41" s="126"/>
      <c r="CH41" s="126"/>
      <c r="CI41" s="126"/>
      <c r="CJ41" s="126"/>
      <c r="CK41" s="126"/>
      <c r="CL41" s="126"/>
      <c r="CM41" s="126"/>
      <c r="CN41" s="126"/>
      <c r="CO41" s="126"/>
      <c r="CP41" s="126"/>
      <c r="CQ41" s="126"/>
      <c r="CR41" s="126"/>
      <c r="CS41" s="126"/>
      <c r="CT41" s="126"/>
      <c r="CU41" s="126"/>
      <c r="CV41" s="126"/>
      <c r="CW41" s="126"/>
      <c r="CX41" s="126"/>
      <c r="CY41" s="126"/>
      <c r="CZ41" s="126"/>
      <c r="DA41" s="126"/>
      <c r="DB41" s="126"/>
      <c r="DC41" s="126"/>
      <c r="DD41" s="126"/>
      <c r="DE41" s="126"/>
      <c r="DF41" s="126"/>
      <c r="DG41" s="126"/>
      <c r="DH41" s="126"/>
      <c r="DI41" s="126"/>
      <c r="DJ41" s="126"/>
      <c r="DK41" s="126"/>
      <c r="DL41" s="126"/>
      <c r="DM41" s="126"/>
      <c r="DN41" s="126"/>
      <c r="DO41" s="126"/>
      <c r="DP41" s="126"/>
      <c r="DQ41" s="126"/>
      <c r="DR41" s="126"/>
      <c r="DS41" s="126"/>
      <c r="DT41" s="126"/>
      <c r="DU41" s="126"/>
      <c r="DV41" s="126"/>
      <c r="DW41" s="126"/>
      <c r="DX41" s="126"/>
      <c r="DY41" s="126"/>
      <c r="DZ41" s="126"/>
      <c r="EA41" s="126"/>
      <c r="EB41" s="126"/>
      <c r="EC41" s="126"/>
      <c r="ED41" s="126"/>
      <c r="EE41" s="126"/>
      <c r="EF41" s="126"/>
      <c r="EG41" s="126"/>
      <c r="EH41" s="126"/>
      <c r="EI41" s="126"/>
      <c r="EJ41" s="126"/>
      <c r="EK41" s="126"/>
      <c r="EL41" s="126"/>
      <c r="EM41" s="126"/>
      <c r="EN41" s="126"/>
      <c r="EO41" s="126"/>
      <c r="EP41" s="126"/>
      <c r="EQ41" s="126"/>
      <c r="ER41" s="126"/>
      <c r="ES41" s="126"/>
      <c r="ET41" s="126"/>
      <c r="EU41" s="126"/>
      <c r="EV41" s="126"/>
      <c r="EW41" s="126"/>
      <c r="EX41" s="126"/>
      <c r="EY41" s="126"/>
      <c r="EZ41" s="126"/>
      <c r="FA41" s="126"/>
      <c r="FB41" s="126"/>
      <c r="FC41" s="126"/>
      <c r="FD41" s="126"/>
      <c r="FE41" s="126"/>
      <c r="FF41" s="126"/>
      <c r="FG41" s="126"/>
      <c r="FH41" s="126"/>
      <c r="FI41" s="126"/>
      <c r="FJ41" s="126"/>
      <c r="FK41" s="126"/>
      <c r="FL41" s="126"/>
      <c r="FM41" s="126"/>
      <c r="FN41" s="126"/>
      <c r="FO41" s="126"/>
      <c r="FP41" s="126"/>
      <c r="FQ41" s="126"/>
      <c r="FR41" s="126"/>
      <c r="FS41" s="126"/>
      <c r="FT41" s="126"/>
      <c r="FU41" s="126"/>
      <c r="FV41" s="126"/>
      <c r="FW41" s="126"/>
      <c r="FX41" s="126"/>
      <c r="FY41" s="126"/>
      <c r="FZ41" s="126"/>
      <c r="GA41" s="126"/>
      <c r="GB41" s="126"/>
      <c r="GC41" s="126"/>
      <c r="GD41" s="126"/>
      <c r="GE41" s="126"/>
      <c r="GF41" s="126"/>
      <c r="GG41" s="126"/>
      <c r="GH41" s="126"/>
      <c r="GI41" s="126"/>
      <c r="GJ41" s="126"/>
      <c r="GK41" s="126"/>
      <c r="GL41" s="126"/>
      <c r="GM41" s="126"/>
      <c r="GN41" s="126"/>
      <c r="GO41" s="126"/>
      <c r="GP41" s="126"/>
      <c r="GQ41" s="126"/>
      <c r="GR41" s="126"/>
      <c r="GS41" s="126"/>
      <c r="GT41" s="126"/>
      <c r="GU41" s="126"/>
      <c r="GV41" s="126"/>
      <c r="GW41" s="126"/>
      <c r="GX41" s="126"/>
      <c r="GY41" s="126"/>
      <c r="GZ41" s="126"/>
      <c r="HA41" s="126"/>
      <c r="HB41" s="126"/>
      <c r="HC41" s="126"/>
      <c r="HD41" s="126"/>
      <c r="HE41" s="126"/>
      <c r="HF41" s="126"/>
      <c r="HG41" s="126"/>
      <c r="HH41" s="126"/>
      <c r="HI41" s="126"/>
      <c r="HJ41" s="126"/>
      <c r="HK41" s="126"/>
      <c r="HL41" s="126"/>
      <c r="HM41" s="126"/>
      <c r="HN41" s="126"/>
      <c r="HO41" s="126"/>
      <c r="HP41" s="126"/>
      <c r="HQ41" s="126"/>
      <c r="HR41" s="126"/>
      <c r="HS41" s="126"/>
      <c r="HT41" s="126"/>
      <c r="HU41" s="126"/>
      <c r="HV41" s="126"/>
      <c r="HW41" s="126"/>
      <c r="HX41" s="126"/>
      <c r="HY41" s="126"/>
      <c r="HZ41" s="126"/>
      <c r="IA41" s="126"/>
      <c r="IB41" s="126"/>
      <c r="IC41" s="126"/>
      <c r="ID41" s="126"/>
      <c r="IE41" s="126"/>
      <c r="IF41" s="126"/>
      <c r="IG41" s="126"/>
      <c r="IH41" s="126"/>
      <c r="II41" s="126"/>
      <c r="IJ41" s="126"/>
      <c r="IK41" s="126"/>
      <c r="IL41" s="126"/>
      <c r="IM41" s="126"/>
      <c r="IN41" s="126"/>
      <c r="IO41" s="126"/>
      <c r="IP41" s="126"/>
      <c r="IQ41" s="126"/>
      <c r="IR41" s="126"/>
      <c r="IS41" s="126"/>
      <c r="IT41" s="126"/>
      <c r="IU41" s="126"/>
      <c r="IV41" s="126"/>
    </row>
    <row r="42" spans="1:256" ht="33.75" x14ac:dyDescent="0.35">
      <c r="A42" s="1624">
        <v>36</v>
      </c>
      <c r="B42" s="126"/>
      <c r="D42" s="1634" t="s">
        <v>1192</v>
      </c>
      <c r="E42" s="1997">
        <v>350</v>
      </c>
      <c r="F42" s="1646"/>
      <c r="G42" s="1646"/>
      <c r="H42" s="1646"/>
      <c r="I42" s="126"/>
      <c r="J42" s="1640"/>
      <c r="K42" s="126"/>
      <c r="L42" s="1640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6"/>
      <c r="AV42" s="126"/>
      <c r="AW42" s="126"/>
      <c r="AX42" s="126"/>
      <c r="AY42" s="126"/>
      <c r="AZ42" s="126"/>
      <c r="BA42" s="126"/>
      <c r="BB42" s="126"/>
      <c r="BC42" s="126"/>
      <c r="BD42" s="126"/>
      <c r="BE42" s="126"/>
      <c r="BF42" s="126"/>
      <c r="BG42" s="126"/>
      <c r="BH42" s="126"/>
      <c r="BI42" s="126"/>
      <c r="BJ42" s="126"/>
      <c r="BK42" s="126"/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6"/>
      <c r="DB42" s="126"/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  <c r="FF42" s="126"/>
      <c r="FG42" s="126"/>
      <c r="FH42" s="126"/>
      <c r="FI42" s="126"/>
      <c r="FJ42" s="126"/>
      <c r="FK42" s="126"/>
      <c r="FL42" s="126"/>
      <c r="FM42" s="126"/>
      <c r="FN42" s="126"/>
      <c r="FO42" s="126"/>
      <c r="FP42" s="126"/>
      <c r="FQ42" s="126"/>
      <c r="FR42" s="126"/>
      <c r="FS42" s="126"/>
      <c r="FT42" s="126"/>
      <c r="FU42" s="126"/>
      <c r="FV42" s="126"/>
      <c r="FW42" s="126"/>
      <c r="FX42" s="126"/>
      <c r="FY42" s="126"/>
      <c r="FZ42" s="126"/>
      <c r="GA42" s="126"/>
      <c r="GB42" s="126"/>
      <c r="GC42" s="126"/>
      <c r="GD42" s="126"/>
      <c r="GE42" s="126"/>
      <c r="GF42" s="126"/>
      <c r="GG42" s="126"/>
      <c r="GH42" s="126"/>
      <c r="GI42" s="126"/>
      <c r="GJ42" s="126"/>
      <c r="GK42" s="126"/>
      <c r="GL42" s="126"/>
      <c r="GM42" s="126"/>
      <c r="GN42" s="126"/>
      <c r="GO42" s="126"/>
      <c r="GP42" s="126"/>
      <c r="GQ42" s="126"/>
      <c r="GR42" s="126"/>
      <c r="GS42" s="126"/>
      <c r="GT42" s="126"/>
      <c r="GU42" s="126"/>
      <c r="GV42" s="126"/>
      <c r="GW42" s="126"/>
      <c r="GX42" s="126"/>
      <c r="GY42" s="126"/>
      <c r="GZ42" s="126"/>
      <c r="HA42" s="126"/>
      <c r="HB42" s="126"/>
      <c r="HC42" s="126"/>
      <c r="HD42" s="126"/>
      <c r="HE42" s="126"/>
      <c r="HF42" s="126"/>
      <c r="HG42" s="126"/>
      <c r="HH42" s="126"/>
      <c r="HI42" s="126"/>
      <c r="HJ42" s="126"/>
      <c r="HK42" s="126"/>
      <c r="HL42" s="126"/>
      <c r="HM42" s="126"/>
      <c r="HN42" s="126"/>
      <c r="HO42" s="126"/>
      <c r="HP42" s="126"/>
      <c r="HQ42" s="126"/>
      <c r="HR42" s="126"/>
      <c r="HS42" s="126"/>
      <c r="HT42" s="126"/>
      <c r="HU42" s="126"/>
      <c r="HV42" s="126"/>
      <c r="HW42" s="126"/>
      <c r="HX42" s="126"/>
      <c r="HY42" s="126"/>
      <c r="HZ42" s="126"/>
      <c r="IA42" s="126"/>
      <c r="IB42" s="126"/>
      <c r="IC42" s="126"/>
      <c r="ID42" s="126"/>
      <c r="IE42" s="126"/>
      <c r="IF42" s="126"/>
      <c r="IG42" s="126"/>
      <c r="IH42" s="126"/>
      <c r="II42" s="126"/>
      <c r="IJ42" s="126"/>
      <c r="IK42" s="126"/>
      <c r="IL42" s="126"/>
      <c r="IM42" s="126"/>
      <c r="IN42" s="126"/>
      <c r="IO42" s="126"/>
      <c r="IP42" s="126"/>
      <c r="IQ42" s="126"/>
      <c r="IR42" s="126"/>
      <c r="IS42" s="126"/>
      <c r="IT42" s="126"/>
      <c r="IU42" s="126"/>
      <c r="IV42" s="126"/>
    </row>
    <row r="43" spans="1:256" ht="17.25" x14ac:dyDescent="0.35">
      <c r="A43" s="1624">
        <v>37</v>
      </c>
      <c r="B43" s="126"/>
      <c r="D43" s="2021" t="s">
        <v>1247</v>
      </c>
      <c r="E43" s="1997"/>
      <c r="F43" s="1646"/>
      <c r="G43" s="1646"/>
      <c r="H43" s="1646"/>
      <c r="I43" s="126"/>
      <c r="J43" s="1640"/>
      <c r="K43" s="126"/>
      <c r="L43" s="1640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26"/>
      <c r="AU43" s="126"/>
      <c r="AV43" s="126"/>
      <c r="AW43" s="126"/>
      <c r="AX43" s="126"/>
      <c r="AY43" s="126"/>
      <c r="AZ43" s="126"/>
      <c r="BA43" s="126"/>
      <c r="BB43" s="126"/>
      <c r="BC43" s="126"/>
      <c r="BD43" s="126"/>
      <c r="BE43" s="126"/>
      <c r="BF43" s="126"/>
      <c r="BG43" s="126"/>
      <c r="BH43" s="126"/>
      <c r="BI43" s="126"/>
      <c r="BJ43" s="126"/>
      <c r="BK43" s="126"/>
      <c r="BL43" s="126"/>
      <c r="BM43" s="126"/>
      <c r="BN43" s="126"/>
      <c r="BO43" s="126"/>
      <c r="BP43" s="126"/>
      <c r="BQ43" s="126"/>
      <c r="BR43" s="126"/>
      <c r="BS43" s="126"/>
      <c r="BT43" s="126"/>
      <c r="BU43" s="126"/>
      <c r="BV43" s="126"/>
      <c r="BW43" s="126"/>
      <c r="BX43" s="126"/>
      <c r="BY43" s="126"/>
      <c r="BZ43" s="126"/>
      <c r="CA43" s="126"/>
      <c r="CB43" s="126"/>
      <c r="CC43" s="126"/>
      <c r="CD43" s="126"/>
      <c r="CE43" s="126"/>
      <c r="CF43" s="126"/>
      <c r="CG43" s="126"/>
      <c r="CH43" s="126"/>
      <c r="CI43" s="126"/>
      <c r="CJ43" s="126"/>
      <c r="CK43" s="126"/>
      <c r="CL43" s="126"/>
      <c r="CM43" s="126"/>
      <c r="CN43" s="126"/>
      <c r="CO43" s="126"/>
      <c r="CP43" s="126"/>
      <c r="CQ43" s="126"/>
      <c r="CR43" s="126"/>
      <c r="CS43" s="126"/>
      <c r="CT43" s="126"/>
      <c r="CU43" s="126"/>
      <c r="CV43" s="126"/>
      <c r="CW43" s="126"/>
      <c r="CX43" s="126"/>
      <c r="CY43" s="126"/>
      <c r="CZ43" s="126"/>
      <c r="DA43" s="126"/>
      <c r="DB43" s="126"/>
      <c r="DC43" s="126"/>
      <c r="DD43" s="126"/>
      <c r="DE43" s="126"/>
      <c r="DF43" s="126"/>
      <c r="DG43" s="126"/>
      <c r="DH43" s="126"/>
      <c r="DI43" s="126"/>
      <c r="DJ43" s="126"/>
      <c r="DK43" s="126"/>
      <c r="DL43" s="126"/>
      <c r="DM43" s="126"/>
      <c r="DN43" s="126"/>
      <c r="DO43" s="126"/>
      <c r="DP43" s="126"/>
      <c r="DQ43" s="126"/>
      <c r="DR43" s="126"/>
      <c r="DS43" s="126"/>
      <c r="DT43" s="126"/>
      <c r="DU43" s="126"/>
      <c r="DV43" s="126"/>
      <c r="DW43" s="126"/>
      <c r="DX43" s="126"/>
      <c r="DY43" s="126"/>
      <c r="DZ43" s="126"/>
      <c r="EA43" s="126"/>
      <c r="EB43" s="126"/>
      <c r="EC43" s="126"/>
      <c r="ED43" s="126"/>
      <c r="EE43" s="126"/>
      <c r="EF43" s="126"/>
      <c r="EG43" s="126"/>
      <c r="EH43" s="126"/>
      <c r="EI43" s="126"/>
      <c r="EJ43" s="126"/>
      <c r="EK43" s="126"/>
      <c r="EL43" s="126"/>
      <c r="EM43" s="126"/>
      <c r="EN43" s="126"/>
      <c r="EO43" s="126"/>
      <c r="EP43" s="126"/>
      <c r="EQ43" s="126"/>
      <c r="ER43" s="126"/>
      <c r="ES43" s="126"/>
      <c r="ET43" s="126"/>
      <c r="EU43" s="126"/>
      <c r="EV43" s="126"/>
      <c r="EW43" s="126"/>
      <c r="EX43" s="126"/>
      <c r="EY43" s="126"/>
      <c r="EZ43" s="126"/>
      <c r="FA43" s="126"/>
      <c r="FB43" s="126"/>
      <c r="FC43" s="126"/>
      <c r="FD43" s="126"/>
      <c r="FE43" s="126"/>
      <c r="FF43" s="126"/>
      <c r="FG43" s="126"/>
      <c r="FH43" s="126"/>
      <c r="FI43" s="126"/>
      <c r="FJ43" s="126"/>
      <c r="FK43" s="126"/>
      <c r="FL43" s="126"/>
      <c r="FM43" s="126"/>
      <c r="FN43" s="126"/>
      <c r="FO43" s="126"/>
      <c r="FP43" s="126"/>
      <c r="FQ43" s="126"/>
      <c r="FR43" s="126"/>
      <c r="FS43" s="126"/>
      <c r="FT43" s="126"/>
      <c r="FU43" s="126"/>
      <c r="FV43" s="126"/>
      <c r="FW43" s="126"/>
      <c r="FX43" s="126"/>
      <c r="FY43" s="126"/>
      <c r="FZ43" s="126"/>
      <c r="GA43" s="126"/>
      <c r="GB43" s="126"/>
      <c r="GC43" s="126"/>
      <c r="GD43" s="126"/>
      <c r="GE43" s="126"/>
      <c r="GF43" s="126"/>
      <c r="GG43" s="126"/>
      <c r="GH43" s="126"/>
      <c r="GI43" s="126"/>
      <c r="GJ43" s="126"/>
      <c r="GK43" s="126"/>
      <c r="GL43" s="126"/>
      <c r="GM43" s="126"/>
      <c r="GN43" s="126"/>
      <c r="GO43" s="126"/>
      <c r="GP43" s="126"/>
      <c r="GQ43" s="126"/>
      <c r="GR43" s="126"/>
      <c r="GS43" s="126"/>
      <c r="GT43" s="126"/>
      <c r="GU43" s="126"/>
      <c r="GV43" s="126"/>
      <c r="GW43" s="126"/>
      <c r="GX43" s="126"/>
      <c r="GY43" s="126"/>
      <c r="GZ43" s="126"/>
      <c r="HA43" s="126"/>
      <c r="HB43" s="126"/>
      <c r="HC43" s="126"/>
      <c r="HD43" s="126"/>
      <c r="HE43" s="126"/>
      <c r="HF43" s="126"/>
      <c r="HG43" s="126"/>
      <c r="HH43" s="126"/>
      <c r="HI43" s="126"/>
      <c r="HJ43" s="126"/>
      <c r="HK43" s="126"/>
      <c r="HL43" s="126"/>
      <c r="HM43" s="126"/>
      <c r="HN43" s="126"/>
      <c r="HO43" s="126"/>
      <c r="HP43" s="126"/>
      <c r="HQ43" s="126"/>
      <c r="HR43" s="126"/>
      <c r="HS43" s="126"/>
      <c r="HT43" s="126"/>
      <c r="HU43" s="126"/>
      <c r="HV43" s="126"/>
      <c r="HW43" s="126"/>
      <c r="HX43" s="126"/>
      <c r="HY43" s="126"/>
      <c r="HZ43" s="126"/>
      <c r="IA43" s="126"/>
      <c r="IB43" s="126"/>
      <c r="IC43" s="126"/>
      <c r="ID43" s="126"/>
      <c r="IE43" s="126"/>
      <c r="IF43" s="126"/>
      <c r="IG43" s="126"/>
      <c r="IH43" s="126"/>
      <c r="II43" s="126"/>
      <c r="IJ43" s="126"/>
      <c r="IK43" s="126"/>
      <c r="IL43" s="126"/>
      <c r="IM43" s="126"/>
      <c r="IN43" s="126"/>
      <c r="IO43" s="126"/>
      <c r="IP43" s="126"/>
      <c r="IQ43" s="126"/>
      <c r="IR43" s="126"/>
      <c r="IS43" s="126"/>
      <c r="IT43" s="126"/>
      <c r="IU43" s="126"/>
      <c r="IV43" s="126"/>
    </row>
    <row r="44" spans="1:256" ht="17.25" x14ac:dyDescent="0.35">
      <c r="A44" s="1624">
        <v>38</v>
      </c>
      <c r="B44" s="126"/>
      <c r="D44" s="1697" t="s">
        <v>1248</v>
      </c>
      <c r="E44" s="1938">
        <v>600</v>
      </c>
      <c r="F44" s="1646"/>
      <c r="G44" s="1646"/>
      <c r="H44" s="1646"/>
      <c r="I44" s="126"/>
      <c r="J44" s="1640"/>
      <c r="K44" s="126"/>
      <c r="L44" s="1640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26"/>
      <c r="AU44" s="126"/>
      <c r="AV44" s="126"/>
      <c r="AW44" s="126"/>
      <c r="AX44" s="126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126"/>
      <c r="DP44" s="126"/>
      <c r="DQ44" s="126"/>
      <c r="DR44" s="126"/>
      <c r="DS44" s="126"/>
      <c r="DT44" s="126"/>
      <c r="DU44" s="126"/>
      <c r="DV44" s="126"/>
      <c r="DW44" s="126"/>
      <c r="DX44" s="126"/>
      <c r="DY44" s="126"/>
      <c r="DZ44" s="126"/>
      <c r="EA44" s="126"/>
      <c r="EB44" s="126"/>
      <c r="EC44" s="126"/>
      <c r="ED44" s="126"/>
      <c r="EE44" s="126"/>
      <c r="EF44" s="126"/>
      <c r="EG44" s="126"/>
      <c r="EH44" s="126"/>
      <c r="EI44" s="126"/>
      <c r="EJ44" s="126"/>
      <c r="EK44" s="126"/>
      <c r="EL44" s="126"/>
      <c r="EM44" s="126"/>
      <c r="EN44" s="126"/>
      <c r="EO44" s="126"/>
      <c r="EP44" s="126"/>
      <c r="EQ44" s="126"/>
      <c r="ER44" s="126"/>
      <c r="ES44" s="126"/>
      <c r="ET44" s="126"/>
      <c r="EU44" s="126"/>
      <c r="EV44" s="126"/>
      <c r="EW44" s="126"/>
      <c r="EX44" s="126"/>
      <c r="EY44" s="126"/>
      <c r="EZ44" s="126"/>
      <c r="FA44" s="126"/>
      <c r="FB44" s="126"/>
      <c r="FC44" s="126"/>
      <c r="FD44" s="126"/>
      <c r="FE44" s="126"/>
      <c r="FF44" s="126"/>
      <c r="FG44" s="126"/>
      <c r="FH44" s="126"/>
      <c r="FI44" s="126"/>
      <c r="FJ44" s="126"/>
      <c r="FK44" s="126"/>
      <c r="FL44" s="126"/>
      <c r="FM44" s="126"/>
      <c r="FN44" s="126"/>
      <c r="FO44" s="126"/>
      <c r="FP44" s="126"/>
      <c r="FQ44" s="126"/>
      <c r="FR44" s="126"/>
      <c r="FS44" s="126"/>
      <c r="FT44" s="126"/>
      <c r="FU44" s="126"/>
      <c r="FV44" s="126"/>
      <c r="FW44" s="126"/>
      <c r="FX44" s="126"/>
      <c r="FY44" s="126"/>
      <c r="FZ44" s="126"/>
      <c r="GA44" s="126"/>
      <c r="GB44" s="126"/>
      <c r="GC44" s="126"/>
      <c r="GD44" s="126"/>
      <c r="GE44" s="126"/>
      <c r="GF44" s="126"/>
      <c r="GG44" s="126"/>
      <c r="GH44" s="126"/>
      <c r="GI44" s="126"/>
      <c r="GJ44" s="126"/>
      <c r="GK44" s="126"/>
      <c r="GL44" s="126"/>
      <c r="GM44" s="126"/>
      <c r="GN44" s="126"/>
      <c r="GO44" s="126"/>
      <c r="GP44" s="126"/>
      <c r="GQ44" s="126"/>
      <c r="GR44" s="126"/>
      <c r="GS44" s="126"/>
      <c r="GT44" s="126"/>
      <c r="GU44" s="126"/>
      <c r="GV44" s="126"/>
      <c r="GW44" s="126"/>
      <c r="GX44" s="126"/>
      <c r="GY44" s="126"/>
      <c r="GZ44" s="126"/>
      <c r="HA44" s="126"/>
      <c r="HB44" s="126"/>
      <c r="HC44" s="126"/>
      <c r="HD44" s="126"/>
      <c r="HE44" s="126"/>
      <c r="HF44" s="126"/>
      <c r="HG44" s="126"/>
      <c r="HH44" s="126"/>
      <c r="HI44" s="126"/>
      <c r="HJ44" s="126"/>
      <c r="HK44" s="126"/>
      <c r="HL44" s="126"/>
      <c r="HM44" s="126"/>
      <c r="HN44" s="126"/>
      <c r="HO44" s="126"/>
      <c r="HP44" s="126"/>
      <c r="HQ44" s="126"/>
      <c r="HR44" s="126"/>
      <c r="HS44" s="126"/>
      <c r="HT44" s="126"/>
      <c r="HU44" s="126"/>
      <c r="HV44" s="126"/>
      <c r="HW44" s="126"/>
      <c r="HX44" s="126"/>
      <c r="HY44" s="126"/>
      <c r="HZ44" s="126"/>
      <c r="IA44" s="126"/>
      <c r="IB44" s="126"/>
      <c r="IC44" s="126"/>
      <c r="ID44" s="126"/>
      <c r="IE44" s="126"/>
      <c r="IF44" s="126"/>
      <c r="IG44" s="126"/>
      <c r="IH44" s="126"/>
      <c r="II44" s="126"/>
      <c r="IJ44" s="126"/>
      <c r="IK44" s="126"/>
      <c r="IL44" s="126"/>
      <c r="IM44" s="126"/>
      <c r="IN44" s="126"/>
      <c r="IO44" s="126"/>
      <c r="IP44" s="126"/>
      <c r="IQ44" s="126"/>
      <c r="IR44" s="126"/>
      <c r="IS44" s="126"/>
      <c r="IT44" s="126"/>
      <c r="IU44" s="126"/>
      <c r="IV44" s="126"/>
    </row>
    <row r="45" spans="1:256" ht="18" thickBot="1" x14ac:dyDescent="0.4">
      <c r="A45" s="1624">
        <v>39</v>
      </c>
      <c r="B45" s="126"/>
      <c r="D45" s="1647" t="s">
        <v>129</v>
      </c>
      <c r="E45" s="1819">
        <f>SUM(E42:E44)</f>
        <v>950</v>
      </c>
      <c r="F45" s="1646"/>
      <c r="G45" s="1646"/>
      <c r="H45" s="1646"/>
      <c r="I45" s="126"/>
      <c r="J45" s="1640"/>
      <c r="K45" s="126"/>
      <c r="L45" s="1640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26"/>
      <c r="BE45" s="126"/>
      <c r="BF45" s="126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126"/>
      <c r="DP45" s="126"/>
      <c r="DQ45" s="126"/>
      <c r="DR45" s="126"/>
      <c r="DS45" s="126"/>
      <c r="DT45" s="126"/>
      <c r="DU45" s="126"/>
      <c r="DV45" s="126"/>
      <c r="DW45" s="126"/>
      <c r="DX45" s="126"/>
      <c r="DY45" s="126"/>
      <c r="DZ45" s="126"/>
      <c r="EA45" s="126"/>
      <c r="EB45" s="126"/>
      <c r="EC45" s="126"/>
      <c r="ED45" s="126"/>
      <c r="EE45" s="126"/>
      <c r="EF45" s="126"/>
      <c r="EG45" s="126"/>
      <c r="EH45" s="126"/>
      <c r="EI45" s="126"/>
      <c r="EJ45" s="126"/>
      <c r="EK45" s="126"/>
      <c r="EL45" s="126"/>
      <c r="EM45" s="126"/>
      <c r="EN45" s="126"/>
      <c r="EO45" s="126"/>
      <c r="EP45" s="126"/>
      <c r="EQ45" s="126"/>
      <c r="ER45" s="126"/>
      <c r="ES45" s="126"/>
      <c r="ET45" s="126"/>
      <c r="EU45" s="126"/>
      <c r="EV45" s="126"/>
      <c r="EW45" s="126"/>
      <c r="EX45" s="126"/>
      <c r="EY45" s="126"/>
      <c r="EZ45" s="126"/>
      <c r="FA45" s="126"/>
      <c r="FB45" s="126"/>
      <c r="FC45" s="126"/>
      <c r="FD45" s="126"/>
      <c r="FE45" s="126"/>
      <c r="FF45" s="126"/>
      <c r="FG45" s="126"/>
      <c r="FH45" s="126"/>
      <c r="FI45" s="126"/>
      <c r="FJ45" s="126"/>
      <c r="FK45" s="126"/>
      <c r="FL45" s="126"/>
      <c r="FM45" s="126"/>
      <c r="FN45" s="126"/>
      <c r="FO45" s="126"/>
      <c r="FP45" s="126"/>
      <c r="FQ45" s="126"/>
      <c r="FR45" s="126"/>
      <c r="FS45" s="126"/>
      <c r="FT45" s="126"/>
      <c r="FU45" s="126"/>
      <c r="FV45" s="126"/>
      <c r="FW45" s="126"/>
      <c r="FX45" s="126"/>
      <c r="FY45" s="126"/>
      <c r="FZ45" s="126"/>
      <c r="GA45" s="126"/>
      <c r="GB45" s="126"/>
      <c r="GC45" s="126"/>
      <c r="GD45" s="126"/>
      <c r="GE45" s="126"/>
      <c r="GF45" s="126"/>
      <c r="GG45" s="126"/>
      <c r="GH45" s="126"/>
      <c r="GI45" s="126"/>
      <c r="GJ45" s="126"/>
      <c r="GK45" s="126"/>
      <c r="GL45" s="126"/>
      <c r="GM45" s="126"/>
      <c r="GN45" s="126"/>
      <c r="GO45" s="126"/>
      <c r="GP45" s="126"/>
      <c r="GQ45" s="126"/>
      <c r="GR45" s="126"/>
      <c r="GS45" s="126"/>
      <c r="GT45" s="126"/>
      <c r="GU45" s="126"/>
      <c r="GV45" s="126"/>
      <c r="GW45" s="126"/>
      <c r="GX45" s="126"/>
      <c r="GY45" s="126"/>
      <c r="GZ45" s="126"/>
      <c r="HA45" s="126"/>
      <c r="HB45" s="126"/>
      <c r="HC45" s="126"/>
      <c r="HD45" s="126"/>
      <c r="HE45" s="126"/>
      <c r="HF45" s="126"/>
      <c r="HG45" s="126"/>
      <c r="HH45" s="126"/>
      <c r="HI45" s="126"/>
      <c r="HJ45" s="126"/>
      <c r="HK45" s="126"/>
      <c r="HL45" s="126"/>
      <c r="HM45" s="126"/>
      <c r="HN45" s="126"/>
      <c r="HO45" s="126"/>
      <c r="HP45" s="126"/>
      <c r="HQ45" s="126"/>
      <c r="HR45" s="126"/>
      <c r="HS45" s="126"/>
      <c r="HT45" s="126"/>
      <c r="HU45" s="126"/>
      <c r="HV45" s="126"/>
      <c r="HW45" s="126"/>
      <c r="HX45" s="126"/>
      <c r="HY45" s="126"/>
      <c r="HZ45" s="126"/>
      <c r="IA45" s="126"/>
      <c r="IB45" s="126"/>
      <c r="IC45" s="126"/>
      <c r="ID45" s="126"/>
      <c r="IE45" s="126"/>
      <c r="IF45" s="126"/>
      <c r="IG45" s="126"/>
      <c r="IH45" s="126"/>
      <c r="II45" s="126"/>
      <c r="IJ45" s="126"/>
      <c r="IK45" s="126"/>
      <c r="IL45" s="126"/>
      <c r="IM45" s="126"/>
      <c r="IN45" s="126"/>
      <c r="IO45" s="126"/>
      <c r="IP45" s="126"/>
      <c r="IQ45" s="126"/>
      <c r="IR45" s="126"/>
      <c r="IS45" s="126"/>
      <c r="IT45" s="126"/>
      <c r="IU45" s="126"/>
      <c r="IV45" s="126"/>
    </row>
    <row r="46" spans="1:256" ht="23.1" customHeight="1" thickBot="1" x14ac:dyDescent="0.35">
      <c r="A46" s="1624">
        <v>40</v>
      </c>
      <c r="B46" s="1626" t="s">
        <v>256</v>
      </c>
      <c r="C46" s="1649"/>
      <c r="D46" s="1650" t="s">
        <v>973</v>
      </c>
      <c r="E46" s="1651">
        <f>E22+E17+E14+E36+E45+E40+E30+E24</f>
        <v>155340</v>
      </c>
      <c r="F46" s="23"/>
      <c r="G46" s="23"/>
      <c r="H46" s="23"/>
      <c r="I46" s="23"/>
      <c r="J46" s="713"/>
      <c r="K46" s="23"/>
      <c r="L46" s="71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24.95" customHeight="1" x14ac:dyDescent="0.35">
      <c r="A47" s="1624">
        <v>41</v>
      </c>
      <c r="B47" s="259" t="s">
        <v>974</v>
      </c>
      <c r="C47" s="1629"/>
      <c r="D47" s="1630" t="s">
        <v>975</v>
      </c>
    </row>
    <row r="48" spans="1:256" ht="23.1" customHeight="1" x14ac:dyDescent="0.35">
      <c r="A48" s="1624">
        <v>42</v>
      </c>
      <c r="B48" s="259"/>
      <c r="C48" s="1631" t="s">
        <v>130</v>
      </c>
      <c r="D48" s="1652" t="s">
        <v>1012</v>
      </c>
    </row>
    <row r="49" spans="1:5" ht="20.100000000000001" customHeight="1" x14ac:dyDescent="0.35">
      <c r="A49" s="1624">
        <v>43</v>
      </c>
      <c r="C49" s="1648"/>
      <c r="D49" s="1779" t="s">
        <v>1016</v>
      </c>
      <c r="E49" s="2"/>
    </row>
    <row r="50" spans="1:5" ht="24.95" customHeight="1" x14ac:dyDescent="0.35">
      <c r="A50" s="1624">
        <v>44</v>
      </c>
      <c r="C50" s="1648"/>
      <c r="D50" s="1630" t="s">
        <v>976</v>
      </c>
    </row>
    <row r="51" spans="1:5" ht="18" customHeight="1" x14ac:dyDescent="0.3">
      <c r="A51" s="1624">
        <v>45</v>
      </c>
      <c r="C51" s="1648"/>
      <c r="D51" s="1634" t="s">
        <v>1211</v>
      </c>
      <c r="E51" s="72">
        <v>6602</v>
      </c>
    </row>
    <row r="52" spans="1:5" ht="18" customHeight="1" x14ac:dyDescent="0.3">
      <c r="A52" s="1624">
        <v>46</v>
      </c>
      <c r="C52" s="1648"/>
      <c r="D52" s="1634" t="s">
        <v>1214</v>
      </c>
      <c r="E52" s="72">
        <v>317</v>
      </c>
    </row>
    <row r="53" spans="1:5" ht="18" customHeight="1" x14ac:dyDescent="0.3">
      <c r="A53" s="1624">
        <v>47</v>
      </c>
      <c r="C53" s="1648"/>
      <c r="D53" s="1634" t="s">
        <v>1213</v>
      </c>
      <c r="E53" s="72">
        <v>64</v>
      </c>
    </row>
    <row r="54" spans="1:5" ht="20.100000000000001" customHeight="1" x14ac:dyDescent="0.35">
      <c r="A54" s="1624">
        <v>48</v>
      </c>
      <c r="C54" s="1648"/>
      <c r="D54" s="1630" t="s">
        <v>984</v>
      </c>
      <c r="E54" s="1692">
        <f>162088-6158</f>
        <v>155930</v>
      </c>
    </row>
    <row r="55" spans="1:5" ht="18" customHeight="1" x14ac:dyDescent="0.35">
      <c r="A55" s="1624">
        <v>49</v>
      </c>
      <c r="C55" s="1648"/>
      <c r="D55" s="1630" t="s">
        <v>1218</v>
      </c>
      <c r="E55" s="1635"/>
    </row>
    <row r="56" spans="1:5" ht="18" customHeight="1" x14ac:dyDescent="0.3">
      <c r="A56" s="1624">
        <v>50</v>
      </c>
      <c r="C56" s="1648"/>
      <c r="D56" s="1641" t="s">
        <v>1219</v>
      </c>
      <c r="E56" s="1635">
        <v>-140</v>
      </c>
    </row>
    <row r="57" spans="1:5" ht="18" customHeight="1" x14ac:dyDescent="0.3">
      <c r="A57" s="1624">
        <v>51</v>
      </c>
      <c r="C57" s="1648"/>
      <c r="D57" s="1641" t="s">
        <v>1261</v>
      </c>
      <c r="E57" s="1635">
        <v>2209</v>
      </c>
    </row>
    <row r="58" spans="1:5" ht="20.100000000000001" customHeight="1" x14ac:dyDescent="0.35">
      <c r="A58" s="1624">
        <v>52</v>
      </c>
      <c r="C58" s="1648"/>
      <c r="D58" s="1630" t="s">
        <v>1263</v>
      </c>
      <c r="E58" s="1635"/>
    </row>
    <row r="59" spans="1:5" ht="18" customHeight="1" x14ac:dyDescent="0.3">
      <c r="A59" s="1624">
        <v>53</v>
      </c>
      <c r="C59" s="1648"/>
      <c r="D59" s="1641" t="s">
        <v>1264</v>
      </c>
      <c r="E59" s="1692">
        <v>2500</v>
      </c>
    </row>
    <row r="60" spans="1:5" ht="18" customHeight="1" x14ac:dyDescent="0.35">
      <c r="A60" s="1624">
        <v>54</v>
      </c>
      <c r="C60" s="1648"/>
      <c r="D60" s="1630" t="s">
        <v>53</v>
      </c>
      <c r="E60" s="1692"/>
    </row>
    <row r="61" spans="1:5" ht="33.75" customHeight="1" x14ac:dyDescent="0.3">
      <c r="A61" s="1624">
        <v>55</v>
      </c>
      <c r="C61" s="1648"/>
      <c r="D61" s="1697" t="s">
        <v>1276</v>
      </c>
      <c r="E61" s="1635">
        <v>3500</v>
      </c>
    </row>
    <row r="62" spans="1:5" ht="20.100000000000001" customHeight="1" x14ac:dyDescent="0.35">
      <c r="A62" s="1624">
        <v>56</v>
      </c>
      <c r="C62" s="1648"/>
      <c r="D62" s="1962" t="s">
        <v>111</v>
      </c>
      <c r="E62" s="1635">
        <v>1688</v>
      </c>
    </row>
    <row r="63" spans="1:5" ht="18" customHeight="1" x14ac:dyDescent="0.35">
      <c r="A63" s="1624">
        <v>57</v>
      </c>
      <c r="C63" s="1648"/>
      <c r="D63" s="1962" t="s">
        <v>1273</v>
      </c>
      <c r="E63" s="2">
        <v>2000</v>
      </c>
    </row>
    <row r="64" spans="1:5" ht="18" customHeight="1" x14ac:dyDescent="0.35">
      <c r="A64" s="1624">
        <v>58</v>
      </c>
      <c r="C64" s="1648"/>
      <c r="D64" s="1962" t="s">
        <v>462</v>
      </c>
      <c r="E64" s="1635">
        <v>-2000</v>
      </c>
    </row>
    <row r="65" spans="1:256" ht="18" customHeight="1" x14ac:dyDescent="0.35">
      <c r="A65" s="1624">
        <v>59</v>
      </c>
      <c r="C65" s="1648"/>
      <c r="D65" s="1962" t="s">
        <v>93</v>
      </c>
      <c r="E65" s="1635">
        <v>28650</v>
      </c>
    </row>
    <row r="66" spans="1:256" ht="18" customHeight="1" x14ac:dyDescent="0.35">
      <c r="A66" s="1624">
        <v>60</v>
      </c>
      <c r="C66" s="1648"/>
      <c r="D66" s="1962" t="s">
        <v>98</v>
      </c>
      <c r="E66" s="2"/>
    </row>
    <row r="67" spans="1:256" ht="18" customHeight="1" x14ac:dyDescent="0.3">
      <c r="A67" s="1624">
        <v>61</v>
      </c>
      <c r="C67" s="1648"/>
      <c r="D67" s="1641" t="s">
        <v>1265</v>
      </c>
      <c r="E67" s="2">
        <v>-4010</v>
      </c>
    </row>
    <row r="68" spans="1:256" ht="18" customHeight="1" x14ac:dyDescent="0.3">
      <c r="A68" s="1624">
        <v>62</v>
      </c>
      <c r="C68" s="1648"/>
      <c r="D68" s="1641" t="s">
        <v>1254</v>
      </c>
      <c r="E68" s="71">
        <f>9300+990</f>
        <v>10290</v>
      </c>
    </row>
    <row r="69" spans="1:256" ht="18" customHeight="1" x14ac:dyDescent="0.3">
      <c r="A69" s="1624">
        <v>63</v>
      </c>
      <c r="C69" s="1648"/>
      <c r="D69" s="1768" t="s">
        <v>129</v>
      </c>
      <c r="E69" s="1637">
        <f>SUM(E51:E68)</f>
        <v>207600</v>
      </c>
    </row>
    <row r="70" spans="1:256" ht="18" customHeight="1" x14ac:dyDescent="0.3">
      <c r="A70" s="1624">
        <v>64</v>
      </c>
      <c r="B70" s="1"/>
      <c r="C70" s="1676"/>
      <c r="D70" s="1703"/>
      <c r="E70" s="403"/>
      <c r="F70" s="23"/>
      <c r="G70" s="23"/>
      <c r="H70" s="23"/>
      <c r="I70" s="23"/>
      <c r="J70" s="713"/>
      <c r="K70" s="23"/>
      <c r="L70" s="71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customHeight="1" x14ac:dyDescent="0.3">
      <c r="A71" s="1624">
        <v>65</v>
      </c>
      <c r="B71" s="1"/>
      <c r="C71" s="1676"/>
      <c r="D71" s="1693" t="s">
        <v>1010</v>
      </c>
      <c r="E71" s="2"/>
      <c r="F71" s="23"/>
      <c r="G71" s="23"/>
      <c r="H71" s="23"/>
      <c r="I71" s="23"/>
      <c r="J71" s="713"/>
      <c r="K71" s="23"/>
      <c r="L71" s="71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customHeight="1" x14ac:dyDescent="0.35">
      <c r="A72" s="1624">
        <v>66</v>
      </c>
      <c r="B72" s="1"/>
      <c r="C72" s="1676"/>
      <c r="D72" s="1779" t="s">
        <v>1016</v>
      </c>
      <c r="E72" s="2"/>
      <c r="F72" s="23"/>
      <c r="G72" s="23"/>
      <c r="H72" s="23"/>
      <c r="I72" s="23"/>
      <c r="J72" s="713"/>
      <c r="K72" s="23"/>
      <c r="L72" s="71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36" customHeight="1" x14ac:dyDescent="0.3">
      <c r="A73" s="1624">
        <v>67</v>
      </c>
      <c r="B73" s="1"/>
      <c r="C73" s="1676"/>
      <c r="D73" s="1697" t="s">
        <v>1228</v>
      </c>
      <c r="E73" s="1635">
        <v>-10750</v>
      </c>
      <c r="F73" s="23"/>
      <c r="G73" s="23"/>
      <c r="H73" s="23"/>
      <c r="I73" s="23"/>
      <c r="J73" s="713"/>
      <c r="K73" s="23"/>
      <c r="L73" s="71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37.5" customHeight="1" x14ac:dyDescent="0.3">
      <c r="A74" s="1624">
        <v>68</v>
      </c>
      <c r="B74" s="1"/>
      <c r="C74" s="1676"/>
      <c r="D74" s="1697" t="s">
        <v>1230</v>
      </c>
      <c r="E74" s="1635">
        <v>24602</v>
      </c>
      <c r="F74" s="23"/>
      <c r="G74" s="23"/>
      <c r="H74" s="23"/>
      <c r="I74" s="23"/>
      <c r="J74" s="713"/>
      <c r="K74" s="23"/>
      <c r="L74" s="71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37.5" customHeight="1" x14ac:dyDescent="0.3">
      <c r="A75" s="1624">
        <v>69</v>
      </c>
      <c r="B75" s="1"/>
      <c r="C75" s="1676"/>
      <c r="D75" s="1697" t="s">
        <v>1231</v>
      </c>
      <c r="E75" s="1636">
        <v>3632</v>
      </c>
      <c r="F75" s="23"/>
      <c r="G75" s="23"/>
      <c r="H75" s="23"/>
      <c r="I75" s="23"/>
      <c r="J75" s="713"/>
      <c r="K75" s="23"/>
      <c r="L75" s="71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customHeight="1" x14ac:dyDescent="0.3">
      <c r="A76" s="1624">
        <v>70</v>
      </c>
      <c r="B76" s="1"/>
      <c r="C76" s="1676"/>
      <c r="D76" s="1768" t="s">
        <v>129</v>
      </c>
      <c r="E76" s="1637">
        <f>SUM(E73:E75)</f>
        <v>17484</v>
      </c>
      <c r="F76" s="23"/>
      <c r="G76" s="23"/>
      <c r="H76" s="23"/>
      <c r="I76" s="23"/>
      <c r="J76" s="713"/>
      <c r="K76" s="23"/>
      <c r="L76" s="71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 x14ac:dyDescent="0.3">
      <c r="A77" s="1624">
        <v>71</v>
      </c>
      <c r="B77" s="1"/>
      <c r="C77" s="1676"/>
      <c r="D77" s="1693" t="s">
        <v>1129</v>
      </c>
      <c r="E77" s="1693"/>
      <c r="F77" s="1693"/>
      <c r="G77" s="1693"/>
      <c r="H77" s="1693"/>
      <c r="I77" s="1693"/>
      <c r="J77" s="1977"/>
      <c r="K77" s="1693"/>
      <c r="L77" s="1977"/>
      <c r="M77" s="1693"/>
      <c r="N77" s="1693"/>
      <c r="O77" s="1693"/>
      <c r="P77" s="1693"/>
      <c r="Q77" s="1693"/>
      <c r="R77" s="1693"/>
      <c r="S77" s="1693"/>
      <c r="T77" s="169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customHeight="1" x14ac:dyDescent="0.3">
      <c r="A78" s="1624">
        <v>72</v>
      </c>
      <c r="B78" s="1"/>
      <c r="C78" s="1676"/>
      <c r="D78" s="1641" t="s">
        <v>1233</v>
      </c>
      <c r="E78" s="1635">
        <v>-1500</v>
      </c>
      <c r="F78" s="1693"/>
      <c r="G78" s="1693"/>
      <c r="H78" s="1693"/>
      <c r="I78" s="1693"/>
      <c r="J78" s="1977"/>
      <c r="K78" s="1693"/>
      <c r="L78" s="1977"/>
      <c r="M78" s="1693"/>
      <c r="N78" s="1693"/>
      <c r="O78" s="1693"/>
      <c r="P78" s="1693"/>
      <c r="Q78" s="1693"/>
      <c r="R78" s="1693"/>
      <c r="S78" s="1693"/>
      <c r="T78" s="169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customHeight="1" x14ac:dyDescent="0.3">
      <c r="A79" s="1624">
        <v>73</v>
      </c>
      <c r="B79" s="1"/>
      <c r="C79" s="1676"/>
      <c r="D79" s="1641" t="s">
        <v>1234</v>
      </c>
      <c r="E79" s="1635">
        <v>1222</v>
      </c>
      <c r="F79" s="1693"/>
      <c r="G79" s="1693"/>
      <c r="H79" s="1693"/>
      <c r="I79" s="1693"/>
      <c r="J79" s="1977"/>
      <c r="K79" s="1693"/>
      <c r="L79" s="1977"/>
      <c r="M79" s="1693"/>
      <c r="N79" s="1693"/>
      <c r="O79" s="1693"/>
      <c r="P79" s="1693"/>
      <c r="Q79" s="1693"/>
      <c r="R79" s="1693"/>
      <c r="S79" s="1693"/>
      <c r="T79" s="169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 x14ac:dyDescent="0.3">
      <c r="A80" s="1624">
        <v>74</v>
      </c>
      <c r="B80" s="1"/>
      <c r="C80" s="1676"/>
      <c r="D80" s="1641" t="s">
        <v>1235</v>
      </c>
      <c r="E80" s="1636">
        <v>350</v>
      </c>
      <c r="F80" s="1693"/>
      <c r="G80" s="1693"/>
      <c r="H80" s="1693"/>
      <c r="I80" s="1693"/>
      <c r="J80" s="1977"/>
      <c r="K80" s="1693"/>
      <c r="L80" s="1977"/>
      <c r="M80" s="1693"/>
      <c r="N80" s="1693"/>
      <c r="O80" s="1693"/>
      <c r="P80" s="1693"/>
      <c r="Q80" s="1693"/>
      <c r="R80" s="1693"/>
      <c r="S80" s="1693"/>
      <c r="T80" s="169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customHeight="1" x14ac:dyDescent="0.3">
      <c r="A81" s="1624">
        <v>75</v>
      </c>
      <c r="B81" s="1"/>
      <c r="C81" s="1676"/>
      <c r="D81" s="1768" t="s">
        <v>129</v>
      </c>
      <c r="E81" s="1765">
        <f>SUM(E78:E80)</f>
        <v>72</v>
      </c>
      <c r="F81" s="1693"/>
      <c r="G81" s="1693"/>
      <c r="H81" s="1693"/>
      <c r="I81" s="1693"/>
      <c r="J81" s="1977"/>
      <c r="K81" s="1693"/>
      <c r="L81" s="1977"/>
      <c r="M81" s="1693"/>
      <c r="N81" s="1693"/>
      <c r="O81" s="1693"/>
      <c r="P81" s="1693"/>
      <c r="Q81" s="1693"/>
      <c r="R81" s="1693"/>
      <c r="S81" s="1693"/>
      <c r="T81" s="169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20.100000000000001" customHeight="1" thickBot="1" x14ac:dyDescent="0.35">
      <c r="A82" s="1624">
        <v>76</v>
      </c>
      <c r="B82" s="1655"/>
      <c r="C82" s="1655"/>
      <c r="D82" s="1656" t="s">
        <v>1011</v>
      </c>
      <c r="E82" s="1657">
        <f>E76+E69+E81</f>
        <v>225156</v>
      </c>
      <c r="F82" s="1658"/>
      <c r="G82" s="714"/>
      <c r="H82" s="1658"/>
      <c r="I82" s="1658"/>
      <c r="J82" s="714"/>
      <c r="K82" s="1658"/>
      <c r="L82" s="714"/>
      <c r="M82" s="1658"/>
      <c r="N82" s="1658"/>
      <c r="O82" s="1658"/>
      <c r="P82" s="1658"/>
      <c r="Q82" s="1658"/>
      <c r="R82" s="1658"/>
      <c r="S82" s="1658"/>
      <c r="T82" s="1658"/>
      <c r="U82" s="1658"/>
      <c r="V82" s="1658"/>
      <c r="W82" s="1658"/>
      <c r="X82" s="1658"/>
      <c r="Y82" s="1658"/>
      <c r="Z82" s="1658"/>
      <c r="AA82" s="1658"/>
      <c r="AB82" s="1658"/>
      <c r="AC82" s="1658"/>
      <c r="AD82" s="1658"/>
      <c r="AE82" s="1658"/>
      <c r="AF82" s="1658"/>
      <c r="AG82" s="1658"/>
      <c r="AH82" s="1658"/>
      <c r="AI82" s="1658"/>
      <c r="AJ82" s="1658"/>
      <c r="AK82" s="1658"/>
      <c r="AL82" s="1658"/>
      <c r="AM82" s="1658"/>
      <c r="AN82" s="1658"/>
      <c r="AO82" s="1658"/>
      <c r="AP82" s="1658"/>
      <c r="AQ82" s="1658"/>
      <c r="AR82" s="1658"/>
      <c r="AS82" s="1658"/>
      <c r="AT82" s="1658"/>
      <c r="AU82" s="1658"/>
      <c r="AV82" s="1658"/>
      <c r="AW82" s="1658"/>
      <c r="AX82" s="1658"/>
      <c r="AY82" s="1658"/>
      <c r="AZ82" s="1658"/>
      <c r="BA82" s="1658"/>
      <c r="BB82" s="1658"/>
      <c r="BC82" s="1658"/>
      <c r="BD82" s="1658"/>
      <c r="BE82" s="1658"/>
      <c r="BF82" s="1658"/>
      <c r="BG82" s="1658"/>
      <c r="BH82" s="1658"/>
      <c r="BI82" s="1658"/>
      <c r="BJ82" s="1658"/>
      <c r="BK82" s="1658"/>
      <c r="BL82" s="1658"/>
      <c r="BM82" s="1658"/>
      <c r="BN82" s="1658"/>
      <c r="BO82" s="1658"/>
      <c r="BP82" s="1658"/>
      <c r="BQ82" s="1658"/>
      <c r="BR82" s="1658"/>
      <c r="BS82" s="1658"/>
      <c r="BT82" s="1658"/>
      <c r="BU82" s="1658"/>
      <c r="BV82" s="1658"/>
      <c r="BW82" s="1658"/>
      <c r="BX82" s="1658"/>
      <c r="BY82" s="1658"/>
      <c r="BZ82" s="1658"/>
      <c r="CA82" s="1658"/>
      <c r="CB82" s="1658"/>
      <c r="CC82" s="1658"/>
      <c r="CD82" s="1658"/>
      <c r="CE82" s="1658"/>
      <c r="CF82" s="1658"/>
      <c r="CG82" s="1658"/>
      <c r="CH82" s="1658"/>
      <c r="CI82" s="1658"/>
      <c r="CJ82" s="1658"/>
      <c r="CK82" s="1658"/>
      <c r="CL82" s="1658"/>
      <c r="CM82" s="1658"/>
      <c r="CN82" s="1658"/>
      <c r="CO82" s="1658"/>
      <c r="CP82" s="1658"/>
      <c r="CQ82" s="1658"/>
      <c r="CR82" s="1658"/>
      <c r="CS82" s="1658"/>
      <c r="CT82" s="1658"/>
      <c r="CU82" s="1658"/>
      <c r="CV82" s="1658"/>
      <c r="CW82" s="1658"/>
      <c r="CX82" s="1658"/>
      <c r="CY82" s="1658"/>
      <c r="CZ82" s="1658"/>
      <c r="DA82" s="1658"/>
      <c r="DB82" s="1658"/>
      <c r="DC82" s="1658"/>
      <c r="DD82" s="1658"/>
      <c r="DE82" s="1658"/>
      <c r="DF82" s="1658"/>
      <c r="DG82" s="1658"/>
      <c r="DH82" s="1658"/>
      <c r="DI82" s="1658"/>
      <c r="DJ82" s="1658"/>
      <c r="DK82" s="1658"/>
      <c r="DL82" s="1658"/>
      <c r="DM82" s="1658"/>
      <c r="DN82" s="1658"/>
      <c r="DO82" s="1658"/>
      <c r="DP82" s="1658"/>
      <c r="DQ82" s="1658"/>
      <c r="DR82" s="1658"/>
      <c r="DS82" s="1658"/>
      <c r="DT82" s="1658"/>
      <c r="DU82" s="1658"/>
      <c r="DV82" s="1658"/>
      <c r="DW82" s="1658"/>
      <c r="DX82" s="1658"/>
      <c r="DY82" s="1658"/>
      <c r="DZ82" s="1658"/>
      <c r="EA82" s="1658"/>
      <c r="EB82" s="1658"/>
      <c r="EC82" s="1658"/>
      <c r="ED82" s="1658"/>
      <c r="EE82" s="1658"/>
      <c r="EF82" s="1658"/>
      <c r="EG82" s="1658"/>
      <c r="EH82" s="1658"/>
      <c r="EI82" s="1658"/>
      <c r="EJ82" s="1658"/>
      <c r="EK82" s="1658"/>
      <c r="EL82" s="1658"/>
      <c r="EM82" s="1658"/>
      <c r="EN82" s="1658"/>
      <c r="EO82" s="1658"/>
      <c r="EP82" s="1658"/>
      <c r="EQ82" s="1658"/>
      <c r="ER82" s="1658"/>
      <c r="ES82" s="1658"/>
      <c r="ET82" s="1658"/>
      <c r="EU82" s="1658"/>
      <c r="EV82" s="1658"/>
      <c r="EW82" s="1658"/>
      <c r="EX82" s="1658"/>
      <c r="EY82" s="1658"/>
      <c r="EZ82" s="1658"/>
      <c r="FA82" s="1658"/>
      <c r="FB82" s="1658"/>
      <c r="FC82" s="1658"/>
      <c r="FD82" s="1658"/>
      <c r="FE82" s="1658"/>
      <c r="FF82" s="1658"/>
      <c r="FG82" s="1658"/>
      <c r="FH82" s="1658"/>
      <c r="FI82" s="1658"/>
      <c r="FJ82" s="1658"/>
      <c r="FK82" s="1658"/>
      <c r="FL82" s="1658"/>
      <c r="FM82" s="1658"/>
      <c r="FN82" s="1658"/>
      <c r="FO82" s="1658"/>
      <c r="FP82" s="1658"/>
      <c r="FQ82" s="1658"/>
      <c r="FR82" s="1658"/>
      <c r="FS82" s="1658"/>
      <c r="FT82" s="1658"/>
      <c r="FU82" s="1658"/>
      <c r="FV82" s="1658"/>
      <c r="FW82" s="1658"/>
      <c r="FX82" s="1658"/>
      <c r="FY82" s="1658"/>
      <c r="FZ82" s="1658"/>
      <c r="GA82" s="1658"/>
      <c r="GB82" s="1658"/>
      <c r="GC82" s="1658"/>
      <c r="GD82" s="1658"/>
      <c r="GE82" s="1658"/>
      <c r="GF82" s="1658"/>
      <c r="GG82" s="1658"/>
      <c r="GH82" s="1658"/>
      <c r="GI82" s="1658"/>
      <c r="GJ82" s="1658"/>
      <c r="GK82" s="1658"/>
      <c r="GL82" s="1658"/>
      <c r="GM82" s="1658"/>
      <c r="GN82" s="1658"/>
      <c r="GO82" s="1658"/>
      <c r="GP82" s="1658"/>
      <c r="GQ82" s="1658"/>
      <c r="GR82" s="1658"/>
      <c r="GS82" s="1658"/>
      <c r="GT82" s="1658"/>
      <c r="GU82" s="1658"/>
      <c r="GV82" s="1658"/>
      <c r="GW82" s="1658"/>
      <c r="GX82" s="1658"/>
      <c r="GY82" s="1658"/>
      <c r="GZ82" s="1658"/>
      <c r="HA82" s="1658"/>
      <c r="HB82" s="1658"/>
      <c r="HC82" s="1658"/>
      <c r="HD82" s="1658"/>
      <c r="HE82" s="1658"/>
      <c r="HF82" s="1658"/>
      <c r="HG82" s="1658"/>
      <c r="HH82" s="1658"/>
      <c r="HI82" s="1658"/>
      <c r="HJ82" s="1658"/>
      <c r="HK82" s="1658"/>
      <c r="HL82" s="1658"/>
      <c r="HM82" s="1658"/>
      <c r="HN82" s="1658"/>
      <c r="HO82" s="1658"/>
      <c r="HP82" s="1658"/>
      <c r="HQ82" s="1658"/>
      <c r="HR82" s="1658"/>
      <c r="HS82" s="1658"/>
      <c r="HT82" s="1658"/>
      <c r="HU82" s="1658"/>
      <c r="HV82" s="1658"/>
      <c r="HW82" s="1658"/>
      <c r="HX82" s="1658"/>
      <c r="HY82" s="1658"/>
      <c r="HZ82" s="1658"/>
      <c r="IA82" s="1658"/>
      <c r="IB82" s="1658"/>
      <c r="IC82" s="1658"/>
      <c r="ID82" s="1658"/>
      <c r="IE82" s="1658"/>
      <c r="IF82" s="1658"/>
      <c r="IG82" s="1658"/>
      <c r="IH82" s="1658"/>
      <c r="II82" s="1658"/>
      <c r="IJ82" s="1658"/>
      <c r="IK82" s="1658"/>
      <c r="IL82" s="1658"/>
      <c r="IM82" s="1658"/>
      <c r="IN82" s="1658"/>
      <c r="IO82" s="1658"/>
      <c r="IP82" s="1658"/>
      <c r="IQ82" s="1658"/>
      <c r="IR82" s="1658"/>
      <c r="IS82" s="1658"/>
      <c r="IT82" s="1658"/>
      <c r="IU82" s="1658"/>
      <c r="IV82" s="1658"/>
    </row>
    <row r="83" spans="1:256" ht="24.95" customHeight="1" thickTop="1" x14ac:dyDescent="0.35">
      <c r="A83" s="1624">
        <v>77</v>
      </c>
      <c r="B83" s="259"/>
      <c r="C83" s="1631" t="s">
        <v>137</v>
      </c>
      <c r="D83" s="1652" t="s">
        <v>977</v>
      </c>
    </row>
    <row r="84" spans="1:256" ht="24.95" customHeight="1" x14ac:dyDescent="0.35">
      <c r="A84" s="1624">
        <v>78</v>
      </c>
      <c r="C84" s="1659"/>
      <c r="D84" s="1660" t="s">
        <v>1015</v>
      </c>
    </row>
    <row r="85" spans="1:256" ht="18.75" customHeight="1" x14ac:dyDescent="0.35">
      <c r="A85" s="1624">
        <v>79</v>
      </c>
      <c r="C85" s="1659"/>
      <c r="D85" s="1779" t="s">
        <v>1016</v>
      </c>
    </row>
    <row r="86" spans="1:256" ht="20.100000000000001" customHeight="1" x14ac:dyDescent="0.35">
      <c r="A86" s="1624">
        <v>80</v>
      </c>
      <c r="C86" s="1659"/>
      <c r="D86" s="1704" t="s">
        <v>1009</v>
      </c>
      <c r="E86" s="1661"/>
    </row>
    <row r="87" spans="1:256" ht="20.100000000000001" customHeight="1" x14ac:dyDescent="0.35">
      <c r="A87" s="1624">
        <v>81</v>
      </c>
      <c r="C87" s="1659"/>
      <c r="D87" s="1641" t="s">
        <v>1275</v>
      </c>
      <c r="E87" s="1661">
        <v>158</v>
      </c>
    </row>
    <row r="88" spans="1:256" ht="20.100000000000001" customHeight="1" x14ac:dyDescent="0.35">
      <c r="A88" s="1624">
        <v>82</v>
      </c>
      <c r="C88" s="1659"/>
      <c r="D88" s="1641" t="s">
        <v>573</v>
      </c>
      <c r="E88" s="1661">
        <v>-4000</v>
      </c>
    </row>
    <row r="89" spans="1:256" ht="20.100000000000001" customHeight="1" x14ac:dyDescent="0.35">
      <c r="A89" s="1624">
        <v>83</v>
      </c>
      <c r="C89" s="1659"/>
      <c r="D89" s="1641" t="s">
        <v>1113</v>
      </c>
      <c r="E89" s="1661">
        <v>4000</v>
      </c>
    </row>
    <row r="90" spans="1:256" ht="20.100000000000001" customHeight="1" x14ac:dyDescent="0.35">
      <c r="A90" s="1624">
        <v>84</v>
      </c>
      <c r="C90" s="1659"/>
      <c r="D90" s="1641" t="s">
        <v>1252</v>
      </c>
      <c r="E90" s="1661">
        <v>10</v>
      </c>
    </row>
    <row r="91" spans="1:256" ht="18" customHeight="1" x14ac:dyDescent="0.35">
      <c r="A91" s="1624">
        <v>85</v>
      </c>
      <c r="C91" s="1659"/>
      <c r="D91" s="1641" t="s">
        <v>1253</v>
      </c>
      <c r="E91" s="1662">
        <v>4000</v>
      </c>
      <c r="H91" s="1630"/>
    </row>
    <row r="92" spans="1:256" ht="21.95" customHeight="1" x14ac:dyDescent="0.35">
      <c r="A92" s="1624">
        <v>86</v>
      </c>
      <c r="C92" s="1659"/>
      <c r="D92" s="1780" t="s">
        <v>129</v>
      </c>
      <c r="E92" s="1998">
        <f>SUM(E86:E91)</f>
        <v>4168</v>
      </c>
    </row>
    <row r="93" spans="1:256" ht="18" customHeight="1" x14ac:dyDescent="0.3">
      <c r="A93" s="1624">
        <v>87</v>
      </c>
      <c r="C93" s="1648"/>
      <c r="D93" s="2073"/>
      <c r="E93" s="2073"/>
    </row>
    <row r="94" spans="1:256" ht="17.25" x14ac:dyDescent="0.3">
      <c r="A94" s="1624">
        <v>88</v>
      </c>
      <c r="C94" s="1648"/>
      <c r="D94" s="1704" t="s">
        <v>1010</v>
      </c>
      <c r="E94" s="403"/>
    </row>
    <row r="95" spans="1:256" ht="36" customHeight="1" x14ac:dyDescent="0.3">
      <c r="A95" s="1624">
        <v>89</v>
      </c>
      <c r="C95" s="1648"/>
      <c r="D95" s="1697" t="s">
        <v>1227</v>
      </c>
      <c r="E95" s="1635">
        <v>-771853</v>
      </c>
    </row>
    <row r="96" spans="1:256" ht="34.5" customHeight="1" x14ac:dyDescent="0.3">
      <c r="A96" s="1624">
        <v>90</v>
      </c>
      <c r="C96" s="1648"/>
      <c r="D96" s="1697" t="s">
        <v>1270</v>
      </c>
      <c r="E96" s="1635">
        <v>763513</v>
      </c>
    </row>
    <row r="97" spans="1:256" ht="36.75" customHeight="1" x14ac:dyDescent="0.3">
      <c r="A97" s="1624">
        <v>91</v>
      </c>
      <c r="C97" s="1648"/>
      <c r="D97" s="1697" t="s">
        <v>1231</v>
      </c>
      <c r="E97" s="1636">
        <v>130641</v>
      </c>
    </row>
    <row r="98" spans="1:256" ht="18" customHeight="1" x14ac:dyDescent="0.3">
      <c r="A98" s="1624">
        <v>92</v>
      </c>
      <c r="C98" s="1648"/>
      <c r="D98" s="1780" t="s">
        <v>129</v>
      </c>
      <c r="E98" s="2003">
        <f>SUM(E95:E97)</f>
        <v>122301</v>
      </c>
    </row>
    <row r="99" spans="1:256" ht="24.95" customHeight="1" x14ac:dyDescent="0.35">
      <c r="A99" s="1624">
        <v>93</v>
      </c>
      <c r="B99" s="148"/>
      <c r="C99" s="1665"/>
      <c r="D99" s="1693" t="s">
        <v>1237</v>
      </c>
      <c r="E99" s="1811"/>
      <c r="F99" s="148"/>
      <c r="G99" s="148"/>
      <c r="H99" s="148"/>
      <c r="I99" s="148"/>
      <c r="J99" s="2"/>
      <c r="K99" s="148"/>
      <c r="L99" s="2"/>
      <c r="M99" s="148"/>
      <c r="N99" s="148"/>
      <c r="O99" s="148"/>
      <c r="P99" s="148"/>
      <c r="Q99" s="148"/>
      <c r="R99" s="148"/>
      <c r="S99" s="148"/>
      <c r="T99" s="148"/>
      <c r="U99" s="148"/>
      <c r="V99" s="148"/>
      <c r="W99" s="148"/>
      <c r="X99" s="148"/>
      <c r="Y99" s="148"/>
      <c r="Z99" s="148"/>
      <c r="AA99" s="148"/>
      <c r="AB99" s="148"/>
      <c r="AC99" s="148"/>
      <c r="AD99" s="148"/>
      <c r="AE99" s="148"/>
      <c r="AF99" s="148"/>
      <c r="AG99" s="148"/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  <c r="BI99" s="148"/>
      <c r="BJ99" s="148"/>
      <c r="BK99" s="148"/>
      <c r="BL99" s="148"/>
      <c r="BM99" s="148"/>
      <c r="BN99" s="148"/>
      <c r="BO99" s="148"/>
      <c r="BP99" s="148"/>
      <c r="BQ99" s="148"/>
      <c r="BR99" s="148"/>
      <c r="BS99" s="148"/>
      <c r="BT99" s="148"/>
      <c r="BU99" s="148"/>
      <c r="BV99" s="148"/>
      <c r="BW99" s="148"/>
      <c r="BX99" s="148"/>
      <c r="BY99" s="148"/>
      <c r="BZ99" s="148"/>
      <c r="CA99" s="148"/>
      <c r="CB99" s="148"/>
      <c r="CC99" s="148"/>
      <c r="CD99" s="148"/>
      <c r="CE99" s="148"/>
      <c r="CF99" s="148"/>
      <c r="CG99" s="148"/>
      <c r="CH99" s="148"/>
      <c r="CI99" s="148"/>
      <c r="CJ99" s="148"/>
      <c r="CK99" s="148"/>
      <c r="CL99" s="148"/>
      <c r="CM99" s="148"/>
      <c r="CN99" s="148"/>
      <c r="CO99" s="148"/>
      <c r="CP99" s="148"/>
      <c r="CQ99" s="148"/>
      <c r="CR99" s="148"/>
      <c r="CS99" s="148"/>
      <c r="CT99" s="148"/>
      <c r="CU99" s="148"/>
      <c r="CV99" s="148"/>
      <c r="CW99" s="148"/>
      <c r="CX99" s="148"/>
      <c r="CY99" s="148"/>
      <c r="CZ99" s="148"/>
      <c r="DA99" s="148"/>
      <c r="DB99" s="148"/>
      <c r="DC99" s="148"/>
      <c r="DD99" s="148"/>
      <c r="DE99" s="148"/>
      <c r="DF99" s="148"/>
      <c r="DG99" s="148"/>
      <c r="DH99" s="148"/>
      <c r="DI99" s="148"/>
      <c r="DJ99" s="148"/>
      <c r="DK99" s="148"/>
      <c r="DL99" s="148"/>
      <c r="DM99" s="148"/>
      <c r="DN99" s="148"/>
      <c r="DO99" s="148"/>
      <c r="DP99" s="148"/>
      <c r="DQ99" s="148"/>
      <c r="DR99" s="148"/>
      <c r="DS99" s="148"/>
      <c r="DT99" s="148"/>
      <c r="DU99" s="148"/>
      <c r="DV99" s="148"/>
      <c r="DW99" s="148"/>
      <c r="DX99" s="148"/>
      <c r="DY99" s="148"/>
      <c r="DZ99" s="148"/>
      <c r="EA99" s="148"/>
      <c r="EB99" s="148"/>
      <c r="EC99" s="148"/>
      <c r="ED99" s="148"/>
      <c r="EE99" s="148"/>
      <c r="EF99" s="148"/>
      <c r="EG99" s="148"/>
      <c r="EH99" s="148"/>
      <c r="EI99" s="148"/>
      <c r="EJ99" s="148"/>
      <c r="EK99" s="148"/>
      <c r="EL99" s="148"/>
      <c r="EM99" s="148"/>
      <c r="EN99" s="148"/>
      <c r="EO99" s="148"/>
      <c r="EP99" s="148"/>
      <c r="EQ99" s="148"/>
      <c r="ER99" s="148"/>
      <c r="ES99" s="148"/>
      <c r="ET99" s="148"/>
      <c r="EU99" s="148"/>
      <c r="EV99" s="148"/>
      <c r="EW99" s="148"/>
      <c r="EX99" s="148"/>
      <c r="EY99" s="148"/>
      <c r="EZ99" s="148"/>
      <c r="FA99" s="148"/>
      <c r="FB99" s="148"/>
      <c r="FC99" s="148"/>
      <c r="FD99" s="148"/>
      <c r="FE99" s="148"/>
      <c r="FF99" s="148"/>
      <c r="FG99" s="148"/>
      <c r="FH99" s="148"/>
      <c r="FI99" s="148"/>
      <c r="FJ99" s="148"/>
      <c r="FK99" s="148"/>
      <c r="FL99" s="148"/>
      <c r="FM99" s="148"/>
      <c r="FN99" s="148"/>
      <c r="FO99" s="148"/>
      <c r="FP99" s="148"/>
      <c r="FQ99" s="148"/>
      <c r="FR99" s="148"/>
      <c r="FS99" s="148"/>
      <c r="FT99" s="148"/>
      <c r="FU99" s="148"/>
      <c r="FV99" s="148"/>
      <c r="FW99" s="148"/>
      <c r="FX99" s="148"/>
      <c r="FY99" s="148"/>
      <c r="FZ99" s="148"/>
      <c r="GA99" s="148"/>
      <c r="GB99" s="148"/>
      <c r="GC99" s="148"/>
      <c r="GD99" s="148"/>
      <c r="GE99" s="148"/>
      <c r="GF99" s="148"/>
      <c r="GG99" s="148"/>
      <c r="GH99" s="148"/>
      <c r="GI99" s="148"/>
      <c r="GJ99" s="148"/>
      <c r="GK99" s="148"/>
      <c r="GL99" s="148"/>
      <c r="GM99" s="148"/>
      <c r="GN99" s="148"/>
      <c r="GO99" s="148"/>
      <c r="GP99" s="148"/>
      <c r="GQ99" s="148"/>
      <c r="GR99" s="148"/>
      <c r="GS99" s="148"/>
      <c r="GT99" s="148"/>
      <c r="GU99" s="148"/>
      <c r="GV99" s="148"/>
      <c r="GW99" s="148"/>
      <c r="GX99" s="148"/>
      <c r="GY99" s="148"/>
      <c r="GZ99" s="148"/>
      <c r="HA99" s="148"/>
      <c r="HB99" s="148"/>
      <c r="HC99" s="148"/>
      <c r="HD99" s="148"/>
      <c r="HE99" s="148"/>
      <c r="HF99" s="148"/>
      <c r="HG99" s="148"/>
      <c r="HH99" s="148"/>
      <c r="HI99" s="148"/>
      <c r="HJ99" s="148"/>
      <c r="HK99" s="148"/>
      <c r="HL99" s="148"/>
      <c r="HM99" s="148"/>
      <c r="HN99" s="148"/>
      <c r="HO99" s="148"/>
      <c r="HP99" s="148"/>
      <c r="HQ99" s="148"/>
      <c r="HR99" s="148"/>
      <c r="HS99" s="148"/>
      <c r="HT99" s="148"/>
      <c r="HU99" s="148"/>
      <c r="HV99" s="148"/>
      <c r="HW99" s="148"/>
      <c r="HX99" s="148"/>
      <c r="HY99" s="148"/>
      <c r="HZ99" s="148"/>
      <c r="IA99" s="148"/>
      <c r="IB99" s="148"/>
      <c r="IC99" s="148"/>
      <c r="ID99" s="148"/>
      <c r="IE99" s="148"/>
      <c r="IF99" s="148"/>
      <c r="IG99" s="148"/>
      <c r="IH99" s="148"/>
      <c r="II99" s="148"/>
      <c r="IJ99" s="148"/>
      <c r="IK99" s="148"/>
      <c r="IL99" s="148"/>
      <c r="IM99" s="148"/>
      <c r="IN99" s="148"/>
      <c r="IO99" s="148"/>
      <c r="IP99" s="148"/>
      <c r="IQ99" s="148"/>
      <c r="IR99" s="148"/>
      <c r="IS99" s="148"/>
      <c r="IT99" s="148"/>
      <c r="IU99" s="148"/>
      <c r="IV99" s="148"/>
    </row>
    <row r="100" spans="1:256" ht="24.95" customHeight="1" x14ac:dyDescent="0.35">
      <c r="A100" s="1624">
        <v>94</v>
      </c>
      <c r="B100" s="148"/>
      <c r="C100" s="1665"/>
      <c r="D100" s="1697" t="s">
        <v>1236</v>
      </c>
      <c r="E100" s="2020">
        <v>-1222</v>
      </c>
      <c r="F100" s="148"/>
      <c r="G100" s="148"/>
      <c r="H100" s="148"/>
      <c r="I100" s="148"/>
      <c r="J100" s="2"/>
      <c r="K100" s="148"/>
      <c r="L100" s="2"/>
      <c r="M100" s="148"/>
      <c r="N100" s="148"/>
      <c r="O100" s="148"/>
      <c r="P100" s="148"/>
      <c r="Q100" s="148"/>
      <c r="R100" s="148"/>
      <c r="S100" s="148"/>
      <c r="T100" s="148"/>
      <c r="U100" s="148"/>
      <c r="V100" s="148"/>
      <c r="W100" s="148"/>
      <c r="X100" s="148"/>
      <c r="Y100" s="148"/>
      <c r="Z100" s="148"/>
      <c r="AA100" s="148"/>
      <c r="AB100" s="148"/>
      <c r="AC100" s="148"/>
      <c r="AD100" s="148"/>
      <c r="AE100" s="148"/>
      <c r="AF100" s="148"/>
      <c r="AG100" s="148"/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  <c r="BI100" s="148"/>
      <c r="BJ100" s="148"/>
      <c r="BK100" s="148"/>
      <c r="BL100" s="148"/>
      <c r="BM100" s="148"/>
      <c r="BN100" s="148"/>
      <c r="BO100" s="148"/>
      <c r="BP100" s="148"/>
      <c r="BQ100" s="148"/>
      <c r="BR100" s="148"/>
      <c r="BS100" s="148"/>
      <c r="BT100" s="148"/>
      <c r="BU100" s="148"/>
      <c r="BV100" s="148"/>
      <c r="BW100" s="148"/>
      <c r="BX100" s="148"/>
      <c r="BY100" s="148"/>
      <c r="BZ100" s="148"/>
      <c r="CA100" s="148"/>
      <c r="CB100" s="148"/>
      <c r="CC100" s="148"/>
      <c r="CD100" s="148"/>
      <c r="CE100" s="148"/>
      <c r="CF100" s="148"/>
      <c r="CG100" s="148"/>
      <c r="CH100" s="148"/>
      <c r="CI100" s="148"/>
      <c r="CJ100" s="148"/>
      <c r="CK100" s="148"/>
      <c r="CL100" s="148"/>
      <c r="CM100" s="148"/>
      <c r="CN100" s="148"/>
      <c r="CO100" s="148"/>
      <c r="CP100" s="148"/>
      <c r="CQ100" s="148"/>
      <c r="CR100" s="148"/>
      <c r="CS100" s="148"/>
      <c r="CT100" s="148"/>
      <c r="CU100" s="148"/>
      <c r="CV100" s="148"/>
      <c r="CW100" s="148"/>
      <c r="CX100" s="148"/>
      <c r="CY100" s="148"/>
      <c r="CZ100" s="148"/>
      <c r="DA100" s="148"/>
      <c r="DB100" s="148"/>
      <c r="DC100" s="148"/>
      <c r="DD100" s="148"/>
      <c r="DE100" s="148"/>
      <c r="DF100" s="148"/>
      <c r="DG100" s="148"/>
      <c r="DH100" s="148"/>
      <c r="DI100" s="148"/>
      <c r="DJ100" s="148"/>
      <c r="DK100" s="148"/>
      <c r="DL100" s="148"/>
      <c r="DM100" s="148"/>
      <c r="DN100" s="148"/>
      <c r="DO100" s="148"/>
      <c r="DP100" s="148"/>
      <c r="DQ100" s="148"/>
      <c r="DR100" s="148"/>
      <c r="DS100" s="148"/>
      <c r="DT100" s="148"/>
      <c r="DU100" s="148"/>
      <c r="DV100" s="148"/>
      <c r="DW100" s="148"/>
      <c r="DX100" s="148"/>
      <c r="DY100" s="148"/>
      <c r="DZ100" s="148"/>
      <c r="EA100" s="148"/>
      <c r="EB100" s="148"/>
      <c r="EC100" s="148"/>
      <c r="ED100" s="148"/>
      <c r="EE100" s="148"/>
      <c r="EF100" s="148"/>
      <c r="EG100" s="148"/>
      <c r="EH100" s="148"/>
      <c r="EI100" s="148"/>
      <c r="EJ100" s="148"/>
      <c r="EK100" s="148"/>
      <c r="EL100" s="148"/>
      <c r="EM100" s="148"/>
      <c r="EN100" s="148"/>
      <c r="EO100" s="148"/>
      <c r="EP100" s="148"/>
      <c r="EQ100" s="148"/>
      <c r="ER100" s="148"/>
      <c r="ES100" s="148"/>
      <c r="ET100" s="148"/>
      <c r="EU100" s="148"/>
      <c r="EV100" s="148"/>
      <c r="EW100" s="148"/>
      <c r="EX100" s="148"/>
      <c r="EY100" s="148"/>
      <c r="EZ100" s="148"/>
      <c r="FA100" s="148"/>
      <c r="FB100" s="148"/>
      <c r="FC100" s="148"/>
      <c r="FD100" s="148"/>
      <c r="FE100" s="148"/>
      <c r="FF100" s="148"/>
      <c r="FG100" s="148"/>
      <c r="FH100" s="148"/>
      <c r="FI100" s="148"/>
      <c r="FJ100" s="148"/>
      <c r="FK100" s="148"/>
      <c r="FL100" s="148"/>
      <c r="FM100" s="148"/>
      <c r="FN100" s="148"/>
      <c r="FO100" s="148"/>
      <c r="FP100" s="148"/>
      <c r="FQ100" s="148"/>
      <c r="FR100" s="148"/>
      <c r="FS100" s="148"/>
      <c r="FT100" s="148"/>
      <c r="FU100" s="148"/>
      <c r="FV100" s="148"/>
      <c r="FW100" s="148"/>
      <c r="FX100" s="148"/>
      <c r="FY100" s="148"/>
      <c r="FZ100" s="148"/>
      <c r="GA100" s="148"/>
      <c r="GB100" s="148"/>
      <c r="GC100" s="148"/>
      <c r="GD100" s="148"/>
      <c r="GE100" s="148"/>
      <c r="GF100" s="148"/>
      <c r="GG100" s="148"/>
      <c r="GH100" s="148"/>
      <c r="GI100" s="148"/>
      <c r="GJ100" s="148"/>
      <c r="GK100" s="148"/>
      <c r="GL100" s="148"/>
      <c r="GM100" s="148"/>
      <c r="GN100" s="148"/>
      <c r="GO100" s="148"/>
      <c r="GP100" s="148"/>
      <c r="GQ100" s="148"/>
      <c r="GR100" s="148"/>
      <c r="GS100" s="148"/>
      <c r="GT100" s="148"/>
      <c r="GU100" s="148"/>
      <c r="GV100" s="148"/>
      <c r="GW100" s="148"/>
      <c r="GX100" s="148"/>
      <c r="GY100" s="148"/>
      <c r="GZ100" s="148"/>
      <c r="HA100" s="148"/>
      <c r="HB100" s="148"/>
      <c r="HC100" s="148"/>
      <c r="HD100" s="148"/>
      <c r="HE100" s="148"/>
      <c r="HF100" s="148"/>
      <c r="HG100" s="148"/>
      <c r="HH100" s="148"/>
      <c r="HI100" s="148"/>
      <c r="HJ100" s="148"/>
      <c r="HK100" s="148"/>
      <c r="HL100" s="148"/>
      <c r="HM100" s="148"/>
      <c r="HN100" s="148"/>
      <c r="HO100" s="148"/>
      <c r="HP100" s="148"/>
      <c r="HQ100" s="148"/>
      <c r="HR100" s="148"/>
      <c r="HS100" s="148"/>
      <c r="HT100" s="148"/>
      <c r="HU100" s="148"/>
      <c r="HV100" s="148"/>
      <c r="HW100" s="148"/>
      <c r="HX100" s="148"/>
      <c r="HY100" s="148"/>
      <c r="HZ100" s="148"/>
      <c r="IA100" s="148"/>
      <c r="IB100" s="148"/>
      <c r="IC100" s="148"/>
      <c r="ID100" s="148"/>
      <c r="IE100" s="148"/>
      <c r="IF100" s="148"/>
      <c r="IG100" s="148"/>
      <c r="IH100" s="148"/>
      <c r="II100" s="148"/>
      <c r="IJ100" s="148"/>
      <c r="IK100" s="148"/>
      <c r="IL100" s="148"/>
      <c r="IM100" s="148"/>
      <c r="IN100" s="148"/>
      <c r="IO100" s="148"/>
      <c r="IP100" s="148"/>
      <c r="IQ100" s="148"/>
      <c r="IR100" s="148"/>
      <c r="IS100" s="148"/>
      <c r="IT100" s="148"/>
      <c r="IU100" s="148"/>
      <c r="IV100" s="148"/>
    </row>
    <row r="101" spans="1:256" ht="18" customHeight="1" x14ac:dyDescent="0.35">
      <c r="A101" s="1624">
        <v>95</v>
      </c>
      <c r="B101" s="148"/>
      <c r="C101" s="1665"/>
      <c r="D101" s="1697" t="s">
        <v>1271</v>
      </c>
      <c r="E101" s="472">
        <v>1150</v>
      </c>
      <c r="F101" s="148"/>
      <c r="G101" s="148"/>
      <c r="H101" s="148"/>
      <c r="I101" s="148"/>
      <c r="J101" s="2"/>
      <c r="K101" s="148"/>
      <c r="L101" s="2"/>
      <c r="M101" s="148"/>
      <c r="N101" s="148"/>
      <c r="O101" s="148"/>
      <c r="P101" s="148"/>
      <c r="Q101" s="148"/>
      <c r="R101" s="148"/>
      <c r="S101" s="148"/>
      <c r="T101" s="148"/>
      <c r="U101" s="148"/>
      <c r="V101" s="148"/>
      <c r="W101" s="148"/>
      <c r="X101" s="148"/>
      <c r="Y101" s="148"/>
      <c r="Z101" s="148"/>
      <c r="AA101" s="148"/>
      <c r="AB101" s="148"/>
      <c r="AC101" s="148"/>
      <c r="AD101" s="148"/>
      <c r="AE101" s="148"/>
      <c r="AF101" s="148"/>
      <c r="AG101" s="148"/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  <c r="BI101" s="148"/>
      <c r="BJ101" s="148"/>
      <c r="BK101" s="148"/>
      <c r="BL101" s="148"/>
      <c r="BM101" s="148"/>
      <c r="BN101" s="148"/>
      <c r="BO101" s="148"/>
      <c r="BP101" s="148"/>
      <c r="BQ101" s="148"/>
      <c r="BR101" s="148"/>
      <c r="BS101" s="148"/>
      <c r="BT101" s="148"/>
      <c r="BU101" s="148"/>
      <c r="BV101" s="148"/>
      <c r="BW101" s="148"/>
      <c r="BX101" s="148"/>
      <c r="BY101" s="148"/>
      <c r="BZ101" s="148"/>
      <c r="CA101" s="148"/>
      <c r="CB101" s="148"/>
      <c r="CC101" s="148"/>
      <c r="CD101" s="148"/>
      <c r="CE101" s="148"/>
      <c r="CF101" s="148"/>
      <c r="CG101" s="148"/>
      <c r="CH101" s="148"/>
      <c r="CI101" s="148"/>
      <c r="CJ101" s="148"/>
      <c r="CK101" s="148"/>
      <c r="CL101" s="148"/>
      <c r="CM101" s="148"/>
      <c r="CN101" s="148"/>
      <c r="CO101" s="148"/>
      <c r="CP101" s="148"/>
      <c r="CQ101" s="148"/>
      <c r="CR101" s="148"/>
      <c r="CS101" s="148"/>
      <c r="CT101" s="148"/>
      <c r="CU101" s="148"/>
      <c r="CV101" s="148"/>
      <c r="CW101" s="148"/>
      <c r="CX101" s="148"/>
      <c r="CY101" s="148"/>
      <c r="CZ101" s="148"/>
      <c r="DA101" s="148"/>
      <c r="DB101" s="148"/>
      <c r="DC101" s="148"/>
      <c r="DD101" s="148"/>
      <c r="DE101" s="148"/>
      <c r="DF101" s="148"/>
      <c r="DG101" s="148"/>
      <c r="DH101" s="148"/>
      <c r="DI101" s="148"/>
      <c r="DJ101" s="148"/>
      <c r="DK101" s="148"/>
      <c r="DL101" s="148"/>
      <c r="DM101" s="148"/>
      <c r="DN101" s="148"/>
      <c r="DO101" s="148"/>
      <c r="DP101" s="148"/>
      <c r="DQ101" s="148"/>
      <c r="DR101" s="148"/>
      <c r="DS101" s="148"/>
      <c r="DT101" s="148"/>
      <c r="DU101" s="148"/>
      <c r="DV101" s="148"/>
      <c r="DW101" s="148"/>
      <c r="DX101" s="148"/>
      <c r="DY101" s="148"/>
      <c r="DZ101" s="148"/>
      <c r="EA101" s="148"/>
      <c r="EB101" s="148"/>
      <c r="EC101" s="148"/>
      <c r="ED101" s="148"/>
      <c r="EE101" s="148"/>
      <c r="EF101" s="148"/>
      <c r="EG101" s="148"/>
      <c r="EH101" s="148"/>
      <c r="EI101" s="148"/>
      <c r="EJ101" s="148"/>
      <c r="EK101" s="148"/>
      <c r="EL101" s="148"/>
      <c r="EM101" s="148"/>
      <c r="EN101" s="148"/>
      <c r="EO101" s="148"/>
      <c r="EP101" s="148"/>
      <c r="EQ101" s="148"/>
      <c r="ER101" s="148"/>
      <c r="ES101" s="148"/>
      <c r="ET101" s="148"/>
      <c r="EU101" s="148"/>
      <c r="EV101" s="148"/>
      <c r="EW101" s="148"/>
      <c r="EX101" s="148"/>
      <c r="EY101" s="148"/>
      <c r="EZ101" s="148"/>
      <c r="FA101" s="148"/>
      <c r="FB101" s="148"/>
      <c r="FC101" s="148"/>
      <c r="FD101" s="148"/>
      <c r="FE101" s="148"/>
      <c r="FF101" s="148"/>
      <c r="FG101" s="148"/>
      <c r="FH101" s="148"/>
      <c r="FI101" s="148"/>
      <c r="FJ101" s="148"/>
      <c r="FK101" s="148"/>
      <c r="FL101" s="148"/>
      <c r="FM101" s="148"/>
      <c r="FN101" s="148"/>
      <c r="FO101" s="148"/>
      <c r="FP101" s="148"/>
      <c r="FQ101" s="148"/>
      <c r="FR101" s="148"/>
      <c r="FS101" s="148"/>
      <c r="FT101" s="148"/>
      <c r="FU101" s="148"/>
      <c r="FV101" s="148"/>
      <c r="FW101" s="148"/>
      <c r="FX101" s="148"/>
      <c r="FY101" s="148"/>
      <c r="FZ101" s="148"/>
      <c r="GA101" s="148"/>
      <c r="GB101" s="148"/>
      <c r="GC101" s="148"/>
      <c r="GD101" s="148"/>
      <c r="GE101" s="148"/>
      <c r="GF101" s="148"/>
      <c r="GG101" s="148"/>
      <c r="GH101" s="148"/>
      <c r="GI101" s="148"/>
      <c r="GJ101" s="148"/>
      <c r="GK101" s="148"/>
      <c r="GL101" s="148"/>
      <c r="GM101" s="148"/>
      <c r="GN101" s="148"/>
      <c r="GO101" s="148"/>
      <c r="GP101" s="148"/>
      <c r="GQ101" s="148"/>
      <c r="GR101" s="148"/>
      <c r="GS101" s="148"/>
      <c r="GT101" s="148"/>
      <c r="GU101" s="148"/>
      <c r="GV101" s="148"/>
      <c r="GW101" s="148"/>
      <c r="GX101" s="148"/>
      <c r="GY101" s="148"/>
      <c r="GZ101" s="148"/>
      <c r="HA101" s="148"/>
      <c r="HB101" s="148"/>
      <c r="HC101" s="148"/>
      <c r="HD101" s="148"/>
      <c r="HE101" s="148"/>
      <c r="HF101" s="148"/>
      <c r="HG101" s="148"/>
      <c r="HH101" s="148"/>
      <c r="HI101" s="148"/>
      <c r="HJ101" s="148"/>
      <c r="HK101" s="148"/>
      <c r="HL101" s="148"/>
      <c r="HM101" s="148"/>
      <c r="HN101" s="148"/>
      <c r="HO101" s="148"/>
      <c r="HP101" s="148"/>
      <c r="HQ101" s="148"/>
      <c r="HR101" s="148"/>
      <c r="HS101" s="148"/>
      <c r="HT101" s="148"/>
      <c r="HU101" s="148"/>
      <c r="HV101" s="148"/>
      <c r="HW101" s="148"/>
      <c r="HX101" s="148"/>
      <c r="HY101" s="148"/>
      <c r="HZ101" s="148"/>
      <c r="IA101" s="148"/>
      <c r="IB101" s="148"/>
      <c r="IC101" s="148"/>
      <c r="ID101" s="148"/>
      <c r="IE101" s="148"/>
      <c r="IF101" s="148"/>
      <c r="IG101" s="148"/>
      <c r="IH101" s="148"/>
      <c r="II101" s="148"/>
      <c r="IJ101" s="148"/>
      <c r="IK101" s="148"/>
      <c r="IL101" s="148"/>
      <c r="IM101" s="148"/>
      <c r="IN101" s="148"/>
      <c r="IO101" s="148"/>
      <c r="IP101" s="148"/>
      <c r="IQ101" s="148"/>
      <c r="IR101" s="148"/>
      <c r="IS101" s="148"/>
      <c r="IT101" s="148"/>
      <c r="IU101" s="148"/>
      <c r="IV101" s="148"/>
    </row>
    <row r="102" spans="1:256" ht="24.95" customHeight="1" thickBot="1" x14ac:dyDescent="0.35">
      <c r="A102" s="1624">
        <v>96</v>
      </c>
      <c r="B102" s="1769"/>
      <c r="C102" s="1769"/>
      <c r="D102" s="1770" t="s">
        <v>1028</v>
      </c>
      <c r="E102" s="1666">
        <f>E92+E101+E98+E100</f>
        <v>126397</v>
      </c>
      <c r="F102" s="1658"/>
      <c r="G102" s="1658"/>
      <c r="H102" s="1658"/>
      <c r="I102" s="1658"/>
      <c r="J102" s="714"/>
      <c r="K102" s="1658"/>
      <c r="L102" s="1667"/>
      <c r="M102" s="1658"/>
      <c r="N102" s="1658"/>
      <c r="O102" s="1658"/>
      <c r="P102" s="1658"/>
      <c r="Q102" s="1658"/>
      <c r="R102" s="1658"/>
      <c r="S102" s="1658"/>
      <c r="T102" s="1658"/>
      <c r="U102" s="1658"/>
      <c r="V102" s="1658"/>
      <c r="W102" s="1658"/>
      <c r="X102" s="1658"/>
      <c r="Y102" s="1658"/>
      <c r="Z102" s="1658"/>
      <c r="AA102" s="1658"/>
      <c r="AB102" s="1658"/>
      <c r="AC102" s="1658"/>
      <c r="AD102" s="1658"/>
      <c r="AE102" s="1658"/>
      <c r="AF102" s="1658"/>
      <c r="AG102" s="1658"/>
      <c r="AH102" s="1658"/>
      <c r="AI102" s="1658"/>
      <c r="AJ102" s="1658"/>
      <c r="AK102" s="1658"/>
      <c r="AL102" s="1658"/>
      <c r="AM102" s="1658"/>
      <c r="AN102" s="1658"/>
      <c r="AO102" s="1658"/>
      <c r="AP102" s="1658"/>
      <c r="AQ102" s="1658"/>
      <c r="AR102" s="1658"/>
      <c r="AS102" s="1658"/>
      <c r="AT102" s="1658"/>
      <c r="AU102" s="1658"/>
      <c r="AV102" s="1658"/>
      <c r="AW102" s="1658"/>
      <c r="AX102" s="1658"/>
      <c r="AY102" s="1658"/>
      <c r="AZ102" s="1658"/>
      <c r="BA102" s="1658"/>
      <c r="BB102" s="1658"/>
      <c r="BC102" s="1658"/>
      <c r="BD102" s="1658"/>
      <c r="BE102" s="1658"/>
      <c r="BF102" s="1658"/>
      <c r="BG102" s="1658"/>
      <c r="BH102" s="1658"/>
      <c r="BI102" s="1658"/>
      <c r="BJ102" s="1658"/>
      <c r="BK102" s="1658"/>
      <c r="BL102" s="1658"/>
      <c r="BM102" s="1658"/>
      <c r="BN102" s="1658"/>
      <c r="BO102" s="1658"/>
      <c r="BP102" s="1658"/>
      <c r="BQ102" s="1658"/>
      <c r="BR102" s="1658"/>
      <c r="BS102" s="1658"/>
      <c r="BT102" s="1658"/>
      <c r="BU102" s="1658"/>
      <c r="BV102" s="1658"/>
      <c r="BW102" s="1658"/>
      <c r="BX102" s="1658"/>
      <c r="BY102" s="1658"/>
      <c r="BZ102" s="1658"/>
      <c r="CA102" s="1658"/>
      <c r="CB102" s="1658"/>
      <c r="CC102" s="1658"/>
      <c r="CD102" s="1658"/>
      <c r="CE102" s="1658"/>
      <c r="CF102" s="1658"/>
      <c r="CG102" s="1658"/>
      <c r="CH102" s="1658"/>
      <c r="CI102" s="1658"/>
      <c r="CJ102" s="1658"/>
      <c r="CK102" s="1658"/>
      <c r="CL102" s="1658"/>
      <c r="CM102" s="1658"/>
      <c r="CN102" s="1658"/>
      <c r="CO102" s="1658"/>
      <c r="CP102" s="1658"/>
      <c r="CQ102" s="1658"/>
      <c r="CR102" s="1658"/>
      <c r="CS102" s="1658"/>
      <c r="CT102" s="1658"/>
      <c r="CU102" s="1658"/>
      <c r="CV102" s="1658"/>
      <c r="CW102" s="1658"/>
      <c r="CX102" s="1658"/>
      <c r="CY102" s="1658"/>
      <c r="CZ102" s="1658"/>
      <c r="DA102" s="1658"/>
      <c r="DB102" s="1658"/>
      <c r="DC102" s="1658"/>
      <c r="DD102" s="1658"/>
      <c r="DE102" s="1658"/>
      <c r="DF102" s="1658"/>
      <c r="DG102" s="1658"/>
      <c r="DH102" s="1658"/>
      <c r="DI102" s="1658"/>
      <c r="DJ102" s="1658"/>
      <c r="DK102" s="1658"/>
      <c r="DL102" s="1658"/>
      <c r="DM102" s="1658"/>
      <c r="DN102" s="1658"/>
      <c r="DO102" s="1658"/>
      <c r="DP102" s="1658"/>
      <c r="DQ102" s="1658"/>
      <c r="DR102" s="1658"/>
      <c r="DS102" s="1658"/>
      <c r="DT102" s="1658"/>
      <c r="DU102" s="1658"/>
      <c r="DV102" s="1658"/>
      <c r="DW102" s="1658"/>
      <c r="DX102" s="1658"/>
      <c r="DY102" s="1658"/>
      <c r="DZ102" s="1658"/>
      <c r="EA102" s="1658"/>
      <c r="EB102" s="1658"/>
      <c r="EC102" s="1658"/>
      <c r="ED102" s="1658"/>
      <c r="EE102" s="1658"/>
      <c r="EF102" s="1658"/>
      <c r="EG102" s="1658"/>
      <c r="EH102" s="1658"/>
      <c r="EI102" s="1658"/>
      <c r="EJ102" s="1658"/>
      <c r="EK102" s="1658"/>
      <c r="EL102" s="1658"/>
      <c r="EM102" s="1658"/>
      <c r="EN102" s="1658"/>
      <c r="EO102" s="1658"/>
      <c r="EP102" s="1658"/>
      <c r="EQ102" s="1658"/>
      <c r="ER102" s="1658"/>
      <c r="ES102" s="1658"/>
      <c r="ET102" s="1658"/>
      <c r="EU102" s="1658"/>
      <c r="EV102" s="1658"/>
      <c r="EW102" s="1658"/>
      <c r="EX102" s="1658"/>
      <c r="EY102" s="1658"/>
      <c r="EZ102" s="1658"/>
      <c r="FA102" s="1658"/>
      <c r="FB102" s="1658"/>
      <c r="FC102" s="1658"/>
      <c r="FD102" s="1658"/>
      <c r="FE102" s="1658"/>
      <c r="FF102" s="1658"/>
      <c r="FG102" s="1658"/>
      <c r="FH102" s="1658"/>
      <c r="FI102" s="1658"/>
      <c r="FJ102" s="1658"/>
      <c r="FK102" s="1658"/>
      <c r="FL102" s="1658"/>
      <c r="FM102" s="1658"/>
      <c r="FN102" s="1658"/>
      <c r="FO102" s="1658"/>
      <c r="FP102" s="1658"/>
      <c r="FQ102" s="1658"/>
      <c r="FR102" s="1658"/>
      <c r="FS102" s="1658"/>
      <c r="FT102" s="1658"/>
      <c r="FU102" s="1658"/>
      <c r="FV102" s="1658"/>
      <c r="FW102" s="1658"/>
      <c r="FX102" s="1658"/>
      <c r="FY102" s="1658"/>
      <c r="FZ102" s="1658"/>
      <c r="GA102" s="1658"/>
      <c r="GB102" s="1658"/>
      <c r="GC102" s="1658"/>
      <c r="GD102" s="1658"/>
      <c r="GE102" s="1658"/>
      <c r="GF102" s="1658"/>
      <c r="GG102" s="1658"/>
      <c r="GH102" s="1658"/>
      <c r="GI102" s="1658"/>
      <c r="GJ102" s="1658"/>
      <c r="GK102" s="1658"/>
      <c r="GL102" s="1658"/>
      <c r="GM102" s="1658"/>
      <c r="GN102" s="1658"/>
      <c r="GO102" s="1658"/>
      <c r="GP102" s="1658"/>
      <c r="GQ102" s="1658"/>
      <c r="GR102" s="1658"/>
      <c r="GS102" s="1658"/>
      <c r="GT102" s="1658"/>
      <c r="GU102" s="1658"/>
      <c r="GV102" s="1658"/>
      <c r="GW102" s="1658"/>
      <c r="GX102" s="1658"/>
      <c r="GY102" s="1658"/>
      <c r="GZ102" s="1658"/>
      <c r="HA102" s="1658"/>
      <c r="HB102" s="1658"/>
      <c r="HC102" s="1658"/>
      <c r="HD102" s="1658"/>
      <c r="HE102" s="1658"/>
      <c r="HF102" s="1658"/>
      <c r="HG102" s="1658"/>
      <c r="HH102" s="1658"/>
      <c r="HI102" s="1658"/>
      <c r="HJ102" s="1658"/>
      <c r="HK102" s="1658"/>
      <c r="HL102" s="1658"/>
      <c r="HM102" s="1658"/>
      <c r="HN102" s="1658"/>
      <c r="HO102" s="1658"/>
      <c r="HP102" s="1658"/>
      <c r="HQ102" s="1658"/>
      <c r="HR102" s="1658"/>
      <c r="HS102" s="1658"/>
      <c r="HT102" s="1658"/>
      <c r="HU102" s="1658"/>
      <c r="HV102" s="1658"/>
      <c r="HW102" s="1658"/>
      <c r="HX102" s="1658"/>
      <c r="HY102" s="1658"/>
      <c r="HZ102" s="1658"/>
      <c r="IA102" s="1658"/>
      <c r="IB102" s="1658"/>
      <c r="IC102" s="1658"/>
      <c r="ID102" s="1658"/>
      <c r="IE102" s="1658"/>
      <c r="IF102" s="1658"/>
      <c r="IG102" s="1658"/>
      <c r="IH102" s="1658"/>
      <c r="II102" s="1658"/>
      <c r="IJ102" s="1658"/>
      <c r="IK102" s="1658"/>
      <c r="IL102" s="1658"/>
      <c r="IM102" s="1658"/>
      <c r="IN102" s="1658"/>
      <c r="IO102" s="1658"/>
      <c r="IP102" s="1658"/>
      <c r="IQ102" s="1658"/>
      <c r="IR102" s="1658"/>
      <c r="IS102" s="1658"/>
      <c r="IT102" s="1658"/>
      <c r="IU102" s="1658"/>
      <c r="IV102" s="1658"/>
    </row>
    <row r="103" spans="1:256" ht="20.100000000000001" customHeight="1" thickTop="1" thickBot="1" x14ac:dyDescent="0.35">
      <c r="A103" s="1624">
        <v>97</v>
      </c>
      <c r="B103" s="1669"/>
      <c r="C103" s="1669"/>
      <c r="D103" s="1670" t="s">
        <v>978</v>
      </c>
      <c r="E103" s="1671">
        <f>E102</f>
        <v>126397</v>
      </c>
      <c r="F103" s="23"/>
      <c r="G103" s="713"/>
      <c r="H103" s="23"/>
      <c r="I103" s="23"/>
      <c r="J103" s="713"/>
      <c r="K103" s="23"/>
      <c r="L103" s="71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/>
      <c r="EF103" s="23"/>
      <c r="EG103" s="23"/>
      <c r="EH103" s="23"/>
      <c r="EI103" s="23"/>
      <c r="EJ103" s="23"/>
      <c r="EK103" s="23"/>
      <c r="EL103" s="23"/>
      <c r="EM103" s="23"/>
      <c r="EN103" s="23"/>
      <c r="EO103" s="23"/>
      <c r="EP103" s="23"/>
      <c r="EQ103" s="23"/>
      <c r="ER103" s="23"/>
      <c r="ES103" s="23"/>
      <c r="ET103" s="23"/>
      <c r="EU103" s="23"/>
      <c r="EV103" s="23"/>
      <c r="EW103" s="23"/>
      <c r="EX103" s="23"/>
      <c r="EY103" s="23"/>
      <c r="EZ103" s="23"/>
      <c r="FA103" s="23"/>
      <c r="FB103" s="23"/>
      <c r="FC103" s="23"/>
      <c r="FD103" s="23"/>
      <c r="FE103" s="23"/>
      <c r="FF103" s="23"/>
      <c r="FG103" s="23"/>
      <c r="FH103" s="23"/>
      <c r="FI103" s="23"/>
      <c r="FJ103" s="23"/>
      <c r="FK103" s="23"/>
      <c r="FL103" s="23"/>
      <c r="FM103" s="23"/>
      <c r="FN103" s="23"/>
      <c r="FO103" s="23"/>
      <c r="FP103" s="23"/>
      <c r="FQ103" s="23"/>
      <c r="FR103" s="23"/>
      <c r="FS103" s="23"/>
      <c r="FT103" s="23"/>
      <c r="FU103" s="23"/>
      <c r="FV103" s="23"/>
      <c r="FW103" s="23"/>
      <c r="FX103" s="23"/>
      <c r="FY103" s="23"/>
      <c r="FZ103" s="23"/>
      <c r="GA103" s="23"/>
      <c r="GB103" s="23"/>
      <c r="GC103" s="23"/>
      <c r="GD103" s="23"/>
      <c r="GE103" s="23"/>
      <c r="GF103" s="23"/>
      <c r="GG103" s="23"/>
      <c r="GH103" s="23"/>
      <c r="GI103" s="23"/>
      <c r="GJ103" s="23"/>
      <c r="GK103" s="23"/>
      <c r="GL103" s="23"/>
      <c r="GM103" s="23"/>
      <c r="GN103" s="23"/>
      <c r="GO103" s="23"/>
      <c r="GP103" s="23"/>
      <c r="GQ103" s="23"/>
      <c r="GR103" s="23"/>
      <c r="GS103" s="23"/>
      <c r="GT103" s="23"/>
      <c r="GU103" s="23"/>
      <c r="GV103" s="23"/>
      <c r="GW103" s="23"/>
      <c r="GX103" s="23"/>
      <c r="GY103" s="23"/>
      <c r="GZ103" s="23"/>
      <c r="HA103" s="23"/>
      <c r="HB103" s="23"/>
      <c r="HC103" s="23"/>
      <c r="HD103" s="23"/>
      <c r="HE103" s="23"/>
      <c r="HF103" s="23"/>
      <c r="HG103" s="23"/>
      <c r="HH103" s="23"/>
      <c r="HI103" s="23"/>
      <c r="HJ103" s="23"/>
      <c r="HK103" s="23"/>
      <c r="HL103" s="23"/>
      <c r="HM103" s="23"/>
      <c r="HN103" s="23"/>
      <c r="HO103" s="23"/>
      <c r="HP103" s="23"/>
      <c r="HQ103" s="23"/>
      <c r="HR103" s="23"/>
      <c r="HS103" s="23"/>
      <c r="HT103" s="23"/>
      <c r="HU103" s="23"/>
      <c r="HV103" s="23"/>
      <c r="HW103" s="23"/>
      <c r="HX103" s="23"/>
      <c r="HY103" s="23"/>
      <c r="HZ103" s="23"/>
      <c r="IA103" s="23"/>
      <c r="IB103" s="23"/>
      <c r="IC103" s="23"/>
      <c r="ID103" s="23"/>
      <c r="IE103" s="23"/>
      <c r="IF103" s="23"/>
      <c r="IG103" s="23"/>
      <c r="IH103" s="23"/>
      <c r="II103" s="23"/>
      <c r="IJ103" s="23"/>
      <c r="IK103" s="23"/>
      <c r="IL103" s="23"/>
      <c r="IM103" s="23"/>
      <c r="IN103" s="23"/>
      <c r="IO103" s="23"/>
      <c r="IP103" s="23"/>
      <c r="IQ103" s="23"/>
      <c r="IR103" s="23"/>
      <c r="IS103" s="23"/>
      <c r="IT103" s="23"/>
      <c r="IU103" s="23"/>
      <c r="IV103" s="23"/>
    </row>
    <row r="104" spans="1:256" ht="24.95" customHeight="1" thickTop="1" x14ac:dyDescent="0.35">
      <c r="A104" s="1624">
        <v>98</v>
      </c>
      <c r="B104" s="149"/>
      <c r="C104" s="1313" t="s">
        <v>138</v>
      </c>
      <c r="D104" s="1672" t="s">
        <v>979</v>
      </c>
      <c r="E104" s="69"/>
      <c r="F104" s="149"/>
      <c r="G104" s="149"/>
      <c r="H104" s="149"/>
      <c r="I104" s="149"/>
      <c r="J104" s="1978"/>
      <c r="K104" s="149"/>
      <c r="L104" s="1978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49"/>
      <c r="AG104" s="149"/>
      <c r="AH104" s="149"/>
      <c r="AI104" s="149"/>
      <c r="AJ104" s="149"/>
      <c r="AK104" s="149"/>
      <c r="AL104" s="149"/>
      <c r="AM104" s="149"/>
      <c r="AN104" s="149"/>
      <c r="AO104" s="149"/>
      <c r="AP104" s="149"/>
      <c r="AQ104" s="149"/>
      <c r="AR104" s="149"/>
      <c r="AS104" s="149"/>
      <c r="AT104" s="149"/>
      <c r="AU104" s="149"/>
      <c r="AV104" s="149"/>
      <c r="AW104" s="149"/>
      <c r="AX104" s="149"/>
      <c r="AY104" s="149"/>
      <c r="AZ104" s="149"/>
      <c r="BA104" s="149"/>
      <c r="BB104" s="149"/>
      <c r="BC104" s="149"/>
      <c r="BD104" s="149"/>
      <c r="BE104" s="149"/>
      <c r="BF104" s="149"/>
      <c r="BG104" s="149"/>
      <c r="BH104" s="149"/>
      <c r="BI104" s="149"/>
      <c r="BJ104" s="149"/>
      <c r="BK104" s="149"/>
      <c r="BL104" s="149"/>
      <c r="BM104" s="149"/>
      <c r="BN104" s="149"/>
      <c r="BO104" s="149"/>
      <c r="BP104" s="149"/>
      <c r="BQ104" s="149"/>
      <c r="BR104" s="149"/>
      <c r="BS104" s="149"/>
      <c r="BT104" s="149"/>
      <c r="BU104" s="149"/>
      <c r="BV104" s="149"/>
      <c r="BW104" s="149"/>
      <c r="BX104" s="149"/>
      <c r="BY104" s="149"/>
      <c r="BZ104" s="149"/>
      <c r="CA104" s="149"/>
      <c r="CB104" s="149"/>
      <c r="CC104" s="149"/>
      <c r="CD104" s="149"/>
      <c r="CE104" s="149"/>
      <c r="CF104" s="149"/>
      <c r="CG104" s="149"/>
      <c r="CH104" s="149"/>
      <c r="CI104" s="149"/>
      <c r="CJ104" s="149"/>
      <c r="CK104" s="149"/>
      <c r="CL104" s="149"/>
      <c r="CM104" s="149"/>
      <c r="CN104" s="149"/>
      <c r="CO104" s="149"/>
      <c r="CP104" s="149"/>
      <c r="CQ104" s="149"/>
      <c r="CR104" s="149"/>
      <c r="CS104" s="149"/>
      <c r="CT104" s="149"/>
      <c r="CU104" s="149"/>
      <c r="CV104" s="149"/>
      <c r="CW104" s="149"/>
      <c r="CX104" s="149"/>
      <c r="CY104" s="149"/>
      <c r="CZ104" s="149"/>
      <c r="DA104" s="149"/>
      <c r="DB104" s="149"/>
      <c r="DC104" s="149"/>
      <c r="DD104" s="149"/>
      <c r="DE104" s="149"/>
      <c r="DF104" s="149"/>
      <c r="DG104" s="149"/>
      <c r="DH104" s="149"/>
      <c r="DI104" s="149"/>
      <c r="DJ104" s="149"/>
      <c r="DK104" s="149"/>
      <c r="DL104" s="149"/>
      <c r="DM104" s="149"/>
      <c r="DN104" s="149"/>
      <c r="DO104" s="149"/>
      <c r="DP104" s="149"/>
      <c r="DQ104" s="149"/>
      <c r="DR104" s="149"/>
      <c r="DS104" s="149"/>
      <c r="DT104" s="149"/>
      <c r="DU104" s="149"/>
      <c r="DV104" s="149"/>
      <c r="DW104" s="149"/>
      <c r="DX104" s="149"/>
      <c r="DY104" s="149"/>
      <c r="DZ104" s="149"/>
      <c r="EA104" s="149"/>
      <c r="EB104" s="149"/>
      <c r="EC104" s="149"/>
      <c r="ED104" s="149"/>
      <c r="EE104" s="149"/>
      <c r="EF104" s="149"/>
      <c r="EG104" s="149"/>
      <c r="EH104" s="149"/>
      <c r="EI104" s="149"/>
      <c r="EJ104" s="149"/>
      <c r="EK104" s="149"/>
      <c r="EL104" s="149"/>
      <c r="EM104" s="149"/>
      <c r="EN104" s="149"/>
      <c r="EO104" s="149"/>
      <c r="EP104" s="149"/>
      <c r="EQ104" s="149"/>
      <c r="ER104" s="149"/>
      <c r="ES104" s="149"/>
      <c r="ET104" s="149"/>
      <c r="EU104" s="149"/>
      <c r="EV104" s="149"/>
      <c r="EW104" s="149"/>
      <c r="EX104" s="149"/>
      <c r="EY104" s="149"/>
      <c r="EZ104" s="149"/>
      <c r="FA104" s="149"/>
      <c r="FB104" s="149"/>
      <c r="FC104" s="149"/>
      <c r="FD104" s="149"/>
      <c r="FE104" s="149"/>
      <c r="FF104" s="149"/>
      <c r="FG104" s="149"/>
      <c r="FH104" s="149"/>
      <c r="FI104" s="149"/>
      <c r="FJ104" s="149"/>
      <c r="FK104" s="149"/>
      <c r="FL104" s="149"/>
      <c r="FM104" s="149"/>
      <c r="FN104" s="149"/>
      <c r="FO104" s="149"/>
      <c r="FP104" s="149"/>
      <c r="FQ104" s="149"/>
      <c r="FR104" s="149"/>
      <c r="FS104" s="149"/>
      <c r="FT104" s="149"/>
      <c r="FU104" s="149"/>
      <c r="FV104" s="149"/>
      <c r="FW104" s="149"/>
      <c r="FX104" s="149"/>
      <c r="FY104" s="149"/>
      <c r="FZ104" s="149"/>
      <c r="GA104" s="149"/>
      <c r="GB104" s="149"/>
      <c r="GC104" s="149"/>
      <c r="GD104" s="149"/>
      <c r="GE104" s="149"/>
      <c r="GF104" s="149"/>
      <c r="GG104" s="149"/>
      <c r="GH104" s="149"/>
      <c r="GI104" s="149"/>
      <c r="GJ104" s="149"/>
      <c r="GK104" s="149"/>
      <c r="GL104" s="149"/>
      <c r="GM104" s="149"/>
      <c r="GN104" s="149"/>
      <c r="GO104" s="149"/>
      <c r="GP104" s="149"/>
      <c r="GQ104" s="149"/>
      <c r="GR104" s="149"/>
      <c r="GS104" s="149"/>
      <c r="GT104" s="149"/>
      <c r="GU104" s="149"/>
      <c r="GV104" s="149"/>
      <c r="GW104" s="149"/>
      <c r="GX104" s="149"/>
      <c r="GY104" s="149"/>
      <c r="GZ104" s="149"/>
      <c r="HA104" s="149"/>
      <c r="HB104" s="149"/>
      <c r="HC104" s="149"/>
      <c r="HD104" s="149"/>
      <c r="HE104" s="149"/>
      <c r="HF104" s="149"/>
      <c r="HG104" s="149"/>
      <c r="HH104" s="149"/>
      <c r="HI104" s="149"/>
      <c r="HJ104" s="149"/>
      <c r="HK104" s="149"/>
      <c r="HL104" s="149"/>
      <c r="HM104" s="149"/>
      <c r="HN104" s="149"/>
      <c r="HO104" s="149"/>
      <c r="HP104" s="149"/>
      <c r="HQ104" s="149"/>
      <c r="HR104" s="149"/>
      <c r="HS104" s="149"/>
      <c r="HT104" s="149"/>
      <c r="HU104" s="149"/>
      <c r="HV104" s="149"/>
      <c r="HW104" s="149"/>
      <c r="HX104" s="149"/>
      <c r="HY104" s="149"/>
      <c r="HZ104" s="149"/>
      <c r="IA104" s="149"/>
      <c r="IB104" s="149"/>
      <c r="IC104" s="149"/>
      <c r="ID104" s="149"/>
      <c r="IE104" s="149"/>
      <c r="IF104" s="149"/>
      <c r="IG104" s="149"/>
      <c r="IH104" s="149"/>
      <c r="II104" s="149"/>
      <c r="IJ104" s="149"/>
      <c r="IK104" s="149"/>
      <c r="IL104" s="149"/>
      <c r="IM104" s="149"/>
      <c r="IN104" s="149"/>
      <c r="IO104" s="149"/>
      <c r="IP104" s="149"/>
      <c r="IQ104" s="149"/>
      <c r="IR104" s="149"/>
      <c r="IS104" s="149"/>
      <c r="IT104" s="149"/>
      <c r="IU104" s="149"/>
      <c r="IV104" s="149"/>
    </row>
    <row r="105" spans="1:256" ht="24.95" customHeight="1" x14ac:dyDescent="0.35">
      <c r="A105" s="1624">
        <v>99</v>
      </c>
      <c r="B105" s="149"/>
      <c r="C105" s="1313"/>
      <c r="D105" s="1672" t="s">
        <v>39</v>
      </c>
      <c r="E105" s="69"/>
      <c r="F105" s="149"/>
      <c r="G105" s="149"/>
      <c r="H105" s="149"/>
      <c r="I105" s="149"/>
      <c r="J105" s="1978"/>
      <c r="K105" s="149"/>
      <c r="L105" s="1978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  <c r="BA105" s="149"/>
      <c r="BB105" s="149"/>
      <c r="BC105" s="149"/>
      <c r="BD105" s="149"/>
      <c r="BE105" s="149"/>
      <c r="BF105" s="149"/>
      <c r="BG105" s="149"/>
      <c r="BH105" s="149"/>
      <c r="BI105" s="149"/>
      <c r="BJ105" s="149"/>
      <c r="BK105" s="149"/>
      <c r="BL105" s="149"/>
      <c r="BM105" s="149"/>
      <c r="BN105" s="149"/>
      <c r="BO105" s="149"/>
      <c r="BP105" s="149"/>
      <c r="BQ105" s="149"/>
      <c r="BR105" s="149"/>
      <c r="BS105" s="149"/>
      <c r="BT105" s="149"/>
      <c r="BU105" s="149"/>
      <c r="BV105" s="149"/>
      <c r="BW105" s="149"/>
      <c r="BX105" s="149"/>
      <c r="BY105" s="149"/>
      <c r="BZ105" s="149"/>
      <c r="CA105" s="149"/>
      <c r="CB105" s="149"/>
      <c r="CC105" s="149"/>
      <c r="CD105" s="149"/>
      <c r="CE105" s="149"/>
      <c r="CF105" s="149"/>
      <c r="CG105" s="149"/>
      <c r="CH105" s="149"/>
      <c r="CI105" s="149"/>
      <c r="CJ105" s="149"/>
      <c r="CK105" s="149"/>
      <c r="CL105" s="149"/>
      <c r="CM105" s="149"/>
      <c r="CN105" s="149"/>
      <c r="CO105" s="149"/>
      <c r="CP105" s="149"/>
      <c r="CQ105" s="149"/>
      <c r="CR105" s="149"/>
      <c r="CS105" s="149"/>
      <c r="CT105" s="149"/>
      <c r="CU105" s="149"/>
      <c r="CV105" s="149"/>
      <c r="CW105" s="149"/>
      <c r="CX105" s="149"/>
      <c r="CY105" s="149"/>
      <c r="CZ105" s="149"/>
      <c r="DA105" s="149"/>
      <c r="DB105" s="149"/>
      <c r="DC105" s="149"/>
      <c r="DD105" s="149"/>
      <c r="DE105" s="149"/>
      <c r="DF105" s="149"/>
      <c r="DG105" s="149"/>
      <c r="DH105" s="149"/>
      <c r="DI105" s="149"/>
      <c r="DJ105" s="149"/>
      <c r="DK105" s="149"/>
      <c r="DL105" s="149"/>
      <c r="DM105" s="149"/>
      <c r="DN105" s="149"/>
      <c r="DO105" s="149"/>
      <c r="DP105" s="149"/>
      <c r="DQ105" s="149"/>
      <c r="DR105" s="149"/>
      <c r="DS105" s="149"/>
      <c r="DT105" s="149"/>
      <c r="DU105" s="149"/>
      <c r="DV105" s="149"/>
      <c r="DW105" s="149"/>
      <c r="DX105" s="149"/>
      <c r="DY105" s="149"/>
      <c r="DZ105" s="149"/>
      <c r="EA105" s="149"/>
      <c r="EB105" s="149"/>
      <c r="EC105" s="149"/>
      <c r="ED105" s="149"/>
      <c r="EE105" s="149"/>
      <c r="EF105" s="149"/>
      <c r="EG105" s="149"/>
      <c r="EH105" s="149"/>
      <c r="EI105" s="149"/>
      <c r="EJ105" s="149"/>
      <c r="EK105" s="149"/>
      <c r="EL105" s="149"/>
      <c r="EM105" s="149"/>
      <c r="EN105" s="149"/>
      <c r="EO105" s="149"/>
      <c r="EP105" s="149"/>
      <c r="EQ105" s="149"/>
      <c r="ER105" s="149"/>
      <c r="ES105" s="149"/>
      <c r="ET105" s="149"/>
      <c r="EU105" s="149"/>
      <c r="EV105" s="149"/>
      <c r="EW105" s="149"/>
      <c r="EX105" s="149"/>
      <c r="EY105" s="149"/>
      <c r="EZ105" s="149"/>
      <c r="FA105" s="149"/>
      <c r="FB105" s="149"/>
      <c r="FC105" s="149"/>
      <c r="FD105" s="149"/>
      <c r="FE105" s="149"/>
      <c r="FF105" s="149"/>
      <c r="FG105" s="149"/>
      <c r="FH105" s="149"/>
      <c r="FI105" s="149"/>
      <c r="FJ105" s="149"/>
      <c r="FK105" s="149"/>
      <c r="FL105" s="149"/>
      <c r="FM105" s="149"/>
      <c r="FN105" s="149"/>
      <c r="FO105" s="149"/>
      <c r="FP105" s="149"/>
      <c r="FQ105" s="149"/>
      <c r="FR105" s="149"/>
      <c r="FS105" s="149"/>
      <c r="FT105" s="149"/>
      <c r="FU105" s="149"/>
      <c r="FV105" s="149"/>
      <c r="FW105" s="149"/>
      <c r="FX105" s="149"/>
      <c r="FY105" s="149"/>
      <c r="FZ105" s="149"/>
      <c r="GA105" s="149"/>
      <c r="GB105" s="149"/>
      <c r="GC105" s="149"/>
      <c r="GD105" s="149"/>
      <c r="GE105" s="149"/>
      <c r="GF105" s="149"/>
      <c r="GG105" s="149"/>
      <c r="GH105" s="149"/>
      <c r="GI105" s="149"/>
      <c r="GJ105" s="149"/>
      <c r="GK105" s="149"/>
      <c r="GL105" s="149"/>
      <c r="GM105" s="149"/>
      <c r="GN105" s="149"/>
      <c r="GO105" s="149"/>
      <c r="GP105" s="149"/>
      <c r="GQ105" s="149"/>
      <c r="GR105" s="149"/>
      <c r="GS105" s="149"/>
      <c r="GT105" s="149"/>
      <c r="GU105" s="149"/>
      <c r="GV105" s="149"/>
      <c r="GW105" s="149"/>
      <c r="GX105" s="149"/>
      <c r="GY105" s="149"/>
      <c r="GZ105" s="149"/>
      <c r="HA105" s="149"/>
      <c r="HB105" s="149"/>
      <c r="HC105" s="149"/>
      <c r="HD105" s="149"/>
      <c r="HE105" s="149"/>
      <c r="HF105" s="149"/>
      <c r="HG105" s="149"/>
      <c r="HH105" s="149"/>
      <c r="HI105" s="149"/>
      <c r="HJ105" s="149"/>
      <c r="HK105" s="149"/>
      <c r="HL105" s="149"/>
      <c r="HM105" s="149"/>
      <c r="HN105" s="149"/>
      <c r="HO105" s="149"/>
      <c r="HP105" s="149"/>
      <c r="HQ105" s="149"/>
      <c r="HR105" s="149"/>
      <c r="HS105" s="149"/>
      <c r="HT105" s="149"/>
      <c r="HU105" s="149"/>
      <c r="HV105" s="149"/>
      <c r="HW105" s="149"/>
      <c r="HX105" s="149"/>
      <c r="HY105" s="149"/>
      <c r="HZ105" s="149"/>
      <c r="IA105" s="149"/>
      <c r="IB105" s="149"/>
      <c r="IC105" s="149"/>
      <c r="ID105" s="149"/>
      <c r="IE105" s="149"/>
      <c r="IF105" s="149"/>
      <c r="IG105" s="149"/>
      <c r="IH105" s="149"/>
      <c r="II105" s="149"/>
      <c r="IJ105" s="149"/>
      <c r="IK105" s="149"/>
      <c r="IL105" s="149"/>
      <c r="IM105" s="149"/>
      <c r="IN105" s="149"/>
      <c r="IO105" s="149"/>
      <c r="IP105" s="149"/>
      <c r="IQ105" s="149"/>
      <c r="IR105" s="149"/>
      <c r="IS105" s="149"/>
      <c r="IT105" s="149"/>
      <c r="IU105" s="149"/>
      <c r="IV105" s="149"/>
    </row>
    <row r="106" spans="1:256" ht="22.5" customHeight="1" x14ac:dyDescent="0.35">
      <c r="A106" s="1624">
        <v>100</v>
      </c>
      <c r="C106" s="1668"/>
      <c r="D106" s="1630" t="s">
        <v>314</v>
      </c>
      <c r="E106" s="2"/>
    </row>
    <row r="107" spans="1:256" ht="17.25" x14ac:dyDescent="0.3">
      <c r="A107" s="1624">
        <v>101</v>
      </c>
      <c r="C107" s="1668"/>
      <c r="D107" s="1634" t="s">
        <v>1213</v>
      </c>
      <c r="E107" s="1635"/>
    </row>
    <row r="108" spans="1:256" ht="17.25" x14ac:dyDescent="0.3">
      <c r="A108" s="1624">
        <v>102</v>
      </c>
      <c r="C108" s="1668"/>
      <c r="D108" s="1634" t="s">
        <v>1157</v>
      </c>
      <c r="E108" s="1635">
        <v>4291</v>
      </c>
    </row>
    <row r="109" spans="1:256" ht="17.25" x14ac:dyDescent="0.3">
      <c r="A109" s="1624">
        <v>103</v>
      </c>
      <c r="C109" s="1668"/>
      <c r="D109" s="1634" t="s">
        <v>1112</v>
      </c>
      <c r="E109" s="1635">
        <v>-100</v>
      </c>
    </row>
    <row r="110" spans="1:256" ht="17.25" x14ac:dyDescent="0.3">
      <c r="A110" s="1624">
        <v>104</v>
      </c>
      <c r="C110" s="1668"/>
      <c r="D110" s="1634" t="s">
        <v>1243</v>
      </c>
      <c r="E110" s="1635">
        <v>4140</v>
      </c>
    </row>
    <row r="111" spans="1:256" ht="17.25" x14ac:dyDescent="0.3">
      <c r="A111" s="1624">
        <v>105</v>
      </c>
      <c r="C111" s="1668"/>
      <c r="D111" s="1634" t="s">
        <v>1244</v>
      </c>
      <c r="E111" s="1635">
        <v>-7700</v>
      </c>
    </row>
    <row r="112" spans="1:256" ht="22.5" customHeight="1" x14ac:dyDescent="0.35">
      <c r="A112" s="1624">
        <v>106</v>
      </c>
      <c r="C112" s="1668"/>
      <c r="D112" s="1630" t="s">
        <v>313</v>
      </c>
      <c r="E112" s="2"/>
    </row>
    <row r="113" spans="1:5" ht="18" customHeight="1" x14ac:dyDescent="0.3">
      <c r="A113" s="1624">
        <v>107</v>
      </c>
      <c r="C113" s="1668"/>
      <c r="D113" s="1634" t="s">
        <v>1213</v>
      </c>
      <c r="E113" s="2">
        <v>2</v>
      </c>
    </row>
    <row r="114" spans="1:5" ht="18" customHeight="1" x14ac:dyDescent="0.3">
      <c r="A114" s="1624">
        <v>108</v>
      </c>
      <c r="C114" s="1668"/>
      <c r="D114" s="1634" t="s">
        <v>1112</v>
      </c>
      <c r="E114" s="2">
        <v>-1420</v>
      </c>
    </row>
    <row r="115" spans="1:5" ht="18" customHeight="1" x14ac:dyDescent="0.3">
      <c r="A115" s="1624">
        <v>109</v>
      </c>
      <c r="C115" s="1668"/>
      <c r="D115" s="1634" t="s">
        <v>1157</v>
      </c>
      <c r="E115" s="2">
        <v>10193</v>
      </c>
    </row>
    <row r="116" spans="1:5" ht="18" customHeight="1" x14ac:dyDescent="0.3">
      <c r="A116" s="1624">
        <v>110</v>
      </c>
      <c r="C116" s="1668"/>
      <c r="D116" s="1634" t="s">
        <v>1243</v>
      </c>
      <c r="E116" s="2">
        <v>7787</v>
      </c>
    </row>
    <row r="117" spans="1:5" ht="18" customHeight="1" x14ac:dyDescent="0.3">
      <c r="A117" s="1624">
        <v>111</v>
      </c>
      <c r="C117" s="1668"/>
      <c r="D117" s="1634" t="s">
        <v>1244</v>
      </c>
      <c r="E117" s="2">
        <v>-12819</v>
      </c>
    </row>
    <row r="118" spans="1:5" ht="22.5" customHeight="1" x14ac:dyDescent="0.35">
      <c r="A118" s="1624">
        <v>112</v>
      </c>
      <c r="C118" s="1668"/>
      <c r="D118" s="1630" t="s">
        <v>267</v>
      </c>
      <c r="E118" s="2"/>
    </row>
    <row r="119" spans="1:5" ht="17.25" x14ac:dyDescent="0.3">
      <c r="A119" s="1624">
        <v>113</v>
      </c>
      <c r="C119" s="1668"/>
      <c r="D119" s="1634" t="s">
        <v>1162</v>
      </c>
      <c r="E119" s="1635">
        <v>-1848</v>
      </c>
    </row>
    <row r="120" spans="1:5" ht="17.25" x14ac:dyDescent="0.3">
      <c r="A120" s="1624">
        <v>114</v>
      </c>
      <c r="C120" s="1668"/>
      <c r="D120" s="1634" t="s">
        <v>1157</v>
      </c>
      <c r="E120" s="1635">
        <f>9445+1464</f>
        <v>10909</v>
      </c>
    </row>
    <row r="121" spans="1:5" ht="17.25" x14ac:dyDescent="0.3">
      <c r="A121" s="1624">
        <v>115</v>
      </c>
      <c r="C121" s="1668"/>
      <c r="D121" s="1634" t="s">
        <v>1112</v>
      </c>
      <c r="E121" s="1635">
        <v>-441</v>
      </c>
    </row>
    <row r="122" spans="1:5" ht="17.25" x14ac:dyDescent="0.3">
      <c r="A122" s="1624">
        <v>116</v>
      </c>
      <c r="C122" s="1668"/>
      <c r="D122" s="1641" t="s">
        <v>1258</v>
      </c>
      <c r="E122" s="1635">
        <v>-4500</v>
      </c>
    </row>
    <row r="123" spans="1:5" ht="17.25" x14ac:dyDescent="0.3">
      <c r="A123" s="1624">
        <v>117</v>
      </c>
      <c r="C123" s="1668"/>
      <c r="D123" s="1634" t="s">
        <v>1234</v>
      </c>
      <c r="E123" s="1635">
        <v>4500</v>
      </c>
    </row>
    <row r="124" spans="1:5" ht="17.25" x14ac:dyDescent="0.3">
      <c r="A124" s="1624">
        <v>118</v>
      </c>
      <c r="C124" s="1668"/>
      <c r="D124" s="1634" t="s">
        <v>1243</v>
      </c>
      <c r="E124" s="1635">
        <v>8510</v>
      </c>
    </row>
    <row r="125" spans="1:5" ht="17.25" x14ac:dyDescent="0.3">
      <c r="A125" s="1624">
        <v>119</v>
      </c>
      <c r="C125" s="1668"/>
      <c r="D125" s="1634" t="s">
        <v>1244</v>
      </c>
      <c r="E125" s="1635">
        <v>-12025</v>
      </c>
    </row>
    <row r="126" spans="1:5" ht="22.5" customHeight="1" x14ac:dyDescent="0.35">
      <c r="A126" s="1624">
        <v>120</v>
      </c>
      <c r="C126" s="1668"/>
      <c r="D126" s="1630" t="s">
        <v>268</v>
      </c>
      <c r="E126" s="2"/>
    </row>
    <row r="127" spans="1:5" ht="18" customHeight="1" x14ac:dyDescent="0.3">
      <c r="A127" s="1624">
        <v>121</v>
      </c>
      <c r="C127" s="1668"/>
      <c r="D127" s="1634" t="s">
        <v>1161</v>
      </c>
      <c r="E127" s="2">
        <v>897</v>
      </c>
    </row>
    <row r="128" spans="1:5" ht="18" customHeight="1" x14ac:dyDescent="0.3">
      <c r="A128" s="1624">
        <v>122</v>
      </c>
      <c r="C128" s="1668"/>
      <c r="D128" s="1634" t="s">
        <v>1158</v>
      </c>
      <c r="E128" s="2">
        <v>1848</v>
      </c>
    </row>
    <row r="129" spans="1:5" ht="18" customHeight="1" x14ac:dyDescent="0.3">
      <c r="A129" s="1624">
        <v>123</v>
      </c>
      <c r="C129" s="1668"/>
      <c r="D129" s="1634" t="s">
        <v>1157</v>
      </c>
      <c r="E129" s="2">
        <v>5591</v>
      </c>
    </row>
    <row r="130" spans="1:5" ht="18" customHeight="1" x14ac:dyDescent="0.3">
      <c r="A130" s="1624">
        <v>124</v>
      </c>
      <c r="C130" s="1668"/>
      <c r="D130" s="1634" t="s">
        <v>1112</v>
      </c>
      <c r="E130" s="2">
        <v>-1170</v>
      </c>
    </row>
    <row r="131" spans="1:5" ht="18" customHeight="1" x14ac:dyDescent="0.3">
      <c r="A131" s="1624">
        <v>125</v>
      </c>
      <c r="C131" s="1668"/>
      <c r="D131" s="1634" t="s">
        <v>1165</v>
      </c>
      <c r="E131" s="2">
        <f>-10380-1560</f>
        <v>-11940</v>
      </c>
    </row>
    <row r="132" spans="1:5" ht="18" customHeight="1" x14ac:dyDescent="0.3">
      <c r="A132" s="1624">
        <v>126</v>
      </c>
      <c r="C132" s="1668"/>
      <c r="D132" s="1634" t="s">
        <v>1166</v>
      </c>
      <c r="E132" s="2">
        <v>11940</v>
      </c>
    </row>
    <row r="133" spans="1:5" ht="18" customHeight="1" x14ac:dyDescent="0.3">
      <c r="A133" s="1624">
        <v>127</v>
      </c>
      <c r="C133" s="1668"/>
      <c r="D133" s="1634" t="s">
        <v>1243</v>
      </c>
      <c r="E133" s="2">
        <v>5611</v>
      </c>
    </row>
    <row r="134" spans="1:5" ht="18" customHeight="1" x14ac:dyDescent="0.3">
      <c r="A134" s="1624">
        <v>128</v>
      </c>
      <c r="C134" s="1668"/>
      <c r="D134" s="1634" t="s">
        <v>1244</v>
      </c>
      <c r="E134" s="2">
        <v>-15627</v>
      </c>
    </row>
    <row r="135" spans="1:5" ht="18" customHeight="1" x14ac:dyDescent="0.3">
      <c r="A135" s="1624">
        <v>129</v>
      </c>
      <c r="C135" s="1668"/>
      <c r="D135" s="1634" t="s">
        <v>1213</v>
      </c>
      <c r="E135" s="2">
        <v>2</v>
      </c>
    </row>
    <row r="136" spans="1:5" ht="18" customHeight="1" x14ac:dyDescent="0.35">
      <c r="A136" s="1624">
        <v>130</v>
      </c>
      <c r="C136" s="1668"/>
      <c r="D136" s="1630" t="s">
        <v>737</v>
      </c>
      <c r="E136" s="2"/>
    </row>
    <row r="137" spans="1:5" ht="18" customHeight="1" x14ac:dyDescent="0.3">
      <c r="A137" s="1624">
        <v>131</v>
      </c>
      <c r="C137" s="1668"/>
      <c r="D137" s="1634" t="s">
        <v>1157</v>
      </c>
      <c r="E137" s="2">
        <v>9620</v>
      </c>
    </row>
    <row r="138" spans="1:5" ht="18" customHeight="1" x14ac:dyDescent="0.3">
      <c r="A138" s="1624">
        <v>132</v>
      </c>
      <c r="C138" s="1668"/>
      <c r="D138" s="1634" t="s">
        <v>1243</v>
      </c>
      <c r="E138" s="2">
        <v>6991</v>
      </c>
    </row>
    <row r="139" spans="1:5" ht="18" customHeight="1" x14ac:dyDescent="0.3">
      <c r="A139" s="1624">
        <v>133</v>
      </c>
      <c r="C139" s="1668"/>
      <c r="D139" s="1634" t="s">
        <v>1244</v>
      </c>
      <c r="E139" s="2">
        <v>-10905</v>
      </c>
    </row>
    <row r="140" spans="1:5" ht="22.5" customHeight="1" x14ac:dyDescent="0.35">
      <c r="A140" s="1624">
        <v>134</v>
      </c>
      <c r="C140" s="1668"/>
      <c r="D140" s="1630" t="s">
        <v>270</v>
      </c>
      <c r="E140" s="2"/>
    </row>
    <row r="141" spans="1:5" ht="20.100000000000001" customHeight="1" x14ac:dyDescent="0.3">
      <c r="A141" s="1624">
        <v>135</v>
      </c>
      <c r="C141" s="1668"/>
      <c r="D141" s="1634" t="s">
        <v>1157</v>
      </c>
      <c r="E141" s="2">
        <v>5214</v>
      </c>
    </row>
    <row r="142" spans="1:5" ht="20.100000000000001" customHeight="1" x14ac:dyDescent="0.3">
      <c r="A142" s="1624">
        <v>136</v>
      </c>
      <c r="C142" s="1668"/>
      <c r="D142" s="1634" t="s">
        <v>1112</v>
      </c>
      <c r="E142" s="2">
        <v>-610</v>
      </c>
    </row>
    <row r="143" spans="1:5" ht="20.100000000000001" customHeight="1" x14ac:dyDescent="0.3">
      <c r="A143" s="1624">
        <v>137</v>
      </c>
      <c r="C143" s="1668"/>
      <c r="D143" s="1634" t="s">
        <v>1243</v>
      </c>
      <c r="E143" s="2">
        <v>3989</v>
      </c>
    </row>
    <row r="144" spans="1:5" ht="17.25" x14ac:dyDescent="0.3">
      <c r="A144" s="1624">
        <v>138</v>
      </c>
      <c r="C144" s="1668"/>
      <c r="D144" s="1634" t="s">
        <v>1244</v>
      </c>
      <c r="E144" s="1635">
        <v>-7008</v>
      </c>
    </row>
    <row r="145" spans="1:5" ht="22.5" customHeight="1" x14ac:dyDescent="0.35">
      <c r="A145" s="1624">
        <v>139</v>
      </c>
      <c r="C145" s="1668"/>
      <c r="D145" s="1630" t="s">
        <v>389</v>
      </c>
      <c r="E145" s="2"/>
    </row>
    <row r="146" spans="1:5" ht="18" customHeight="1" x14ac:dyDescent="0.3">
      <c r="A146" s="1624">
        <v>140</v>
      </c>
      <c r="C146" s="1668"/>
      <c r="D146" s="1634" t="s">
        <v>1211</v>
      </c>
      <c r="E146" s="2">
        <v>1197</v>
      </c>
    </row>
    <row r="147" spans="1:5" ht="18" customHeight="1" x14ac:dyDescent="0.3">
      <c r="A147" s="1624">
        <v>141</v>
      </c>
      <c r="C147" s="1668"/>
      <c r="D147" s="1634" t="s">
        <v>1213</v>
      </c>
      <c r="E147" s="2">
        <v>218</v>
      </c>
    </row>
    <row r="148" spans="1:5" ht="18" customHeight="1" x14ac:dyDescent="0.3">
      <c r="A148" s="1624">
        <v>142</v>
      </c>
      <c r="C148" s="1668"/>
      <c r="D148" s="1634" t="s">
        <v>1157</v>
      </c>
      <c r="E148" s="2">
        <v>11778</v>
      </c>
    </row>
    <row r="149" spans="1:5" ht="18" customHeight="1" x14ac:dyDescent="0.3">
      <c r="A149" s="1624">
        <v>143</v>
      </c>
      <c r="C149" s="1668"/>
      <c r="D149" s="1634" t="s">
        <v>1244</v>
      </c>
      <c r="E149" s="1635">
        <v>-11874</v>
      </c>
    </row>
    <row r="150" spans="1:5" ht="22.5" customHeight="1" x14ac:dyDescent="0.35">
      <c r="A150" s="1624">
        <v>144</v>
      </c>
      <c r="C150" s="1668"/>
      <c r="D150" s="1630" t="s">
        <v>125</v>
      </c>
      <c r="E150" s="2"/>
    </row>
    <row r="151" spans="1:5" ht="18" customHeight="1" x14ac:dyDescent="0.3">
      <c r="A151" s="1624">
        <v>145</v>
      </c>
      <c r="C151" s="1668"/>
      <c r="D151" s="1634" t="s">
        <v>1211</v>
      </c>
      <c r="E151" s="2">
        <v>1026</v>
      </c>
    </row>
    <row r="152" spans="1:5" ht="18" customHeight="1" x14ac:dyDescent="0.3">
      <c r="A152" s="1624">
        <v>146</v>
      </c>
      <c r="C152" s="1668"/>
      <c r="D152" s="1634" t="s">
        <v>1213</v>
      </c>
      <c r="E152" s="2">
        <v>32</v>
      </c>
    </row>
    <row r="153" spans="1:5" ht="18" customHeight="1" x14ac:dyDescent="0.3">
      <c r="A153" s="1624">
        <v>147</v>
      </c>
      <c r="C153" s="1668"/>
      <c r="D153" s="1634" t="s">
        <v>1157</v>
      </c>
      <c r="E153" s="2">
        <v>3286</v>
      </c>
    </row>
    <row r="154" spans="1:5" ht="18" customHeight="1" x14ac:dyDescent="0.35">
      <c r="A154" s="1624">
        <v>148</v>
      </c>
      <c r="C154" s="1668"/>
      <c r="D154" s="1630" t="s">
        <v>544</v>
      </c>
      <c r="E154" s="2"/>
    </row>
    <row r="155" spans="1:5" ht="18" customHeight="1" x14ac:dyDescent="0.3">
      <c r="A155" s="1624">
        <v>149</v>
      </c>
      <c r="C155" s="1668"/>
      <c r="D155" s="1634" t="s">
        <v>1211</v>
      </c>
      <c r="E155" s="2">
        <v>5846</v>
      </c>
    </row>
    <row r="156" spans="1:5" ht="18" customHeight="1" x14ac:dyDescent="0.3">
      <c r="A156" s="1624">
        <v>150</v>
      </c>
      <c r="C156" s="1668"/>
      <c r="D156" s="1634" t="s">
        <v>1213</v>
      </c>
      <c r="E156" s="2">
        <v>84</v>
      </c>
    </row>
    <row r="157" spans="1:5" ht="18" customHeight="1" x14ac:dyDescent="0.3">
      <c r="A157" s="1624">
        <v>151</v>
      </c>
      <c r="C157" s="1668"/>
      <c r="D157" s="1634" t="s">
        <v>1177</v>
      </c>
      <c r="E157" s="2">
        <v>492</v>
      </c>
    </row>
    <row r="158" spans="1:5" ht="18" customHeight="1" x14ac:dyDescent="0.3">
      <c r="A158" s="1624">
        <v>152</v>
      </c>
      <c r="C158" s="1668"/>
      <c r="D158" s="1634" t="s">
        <v>1112</v>
      </c>
      <c r="E158" s="2">
        <v>-700</v>
      </c>
    </row>
    <row r="159" spans="1:5" ht="22.5" customHeight="1" x14ac:dyDescent="0.35">
      <c r="A159" s="1624">
        <v>153</v>
      </c>
      <c r="C159" s="1668"/>
      <c r="D159" s="1630" t="s">
        <v>545</v>
      </c>
      <c r="E159" s="2"/>
    </row>
    <row r="160" spans="1:5" ht="18" customHeight="1" x14ac:dyDescent="0.3">
      <c r="A160" s="1624">
        <v>154</v>
      </c>
      <c r="C160" s="1668"/>
      <c r="D160" s="1634" t="s">
        <v>1210</v>
      </c>
      <c r="E160" s="2">
        <v>560</v>
      </c>
    </row>
    <row r="161" spans="1:5" ht="18" customHeight="1" x14ac:dyDescent="0.3">
      <c r="A161" s="1624">
        <v>155</v>
      </c>
      <c r="C161" s="1668"/>
      <c r="D161" s="1634" t="s">
        <v>1222</v>
      </c>
      <c r="E161" s="2">
        <v>140</v>
      </c>
    </row>
    <row r="162" spans="1:5" ht="22.5" customHeight="1" x14ac:dyDescent="0.35">
      <c r="A162" s="1624">
        <v>156</v>
      </c>
      <c r="C162" s="1668"/>
      <c r="D162" s="1630" t="s">
        <v>528</v>
      </c>
      <c r="E162" s="2"/>
    </row>
    <row r="163" spans="1:5" ht="18" customHeight="1" x14ac:dyDescent="0.3">
      <c r="A163" s="1624">
        <v>157</v>
      </c>
      <c r="C163" s="1668"/>
      <c r="D163" s="1634" t="s">
        <v>1210</v>
      </c>
      <c r="E163" s="2">
        <v>460</v>
      </c>
    </row>
    <row r="164" spans="1:5" ht="18" customHeight="1" x14ac:dyDescent="0.3">
      <c r="A164" s="1624">
        <v>158</v>
      </c>
      <c r="C164" s="1668"/>
      <c r="D164" s="1634" t="s">
        <v>1213</v>
      </c>
      <c r="E164" s="2">
        <v>9</v>
      </c>
    </row>
    <row r="165" spans="1:5" ht="18" customHeight="1" x14ac:dyDescent="0.3">
      <c r="A165" s="1624">
        <v>159</v>
      </c>
      <c r="C165" s="1668"/>
      <c r="D165" s="1634" t="s">
        <v>1206</v>
      </c>
      <c r="E165" s="2">
        <v>-2358</v>
      </c>
    </row>
    <row r="166" spans="1:5" ht="35.25" customHeight="1" x14ac:dyDescent="0.3">
      <c r="A166" s="1624">
        <v>160</v>
      </c>
      <c r="C166" s="1668"/>
      <c r="D166" s="1697" t="s">
        <v>1256</v>
      </c>
      <c r="E166" s="1635">
        <v>7000</v>
      </c>
    </row>
    <row r="167" spans="1:5" ht="18" customHeight="1" x14ac:dyDescent="0.3">
      <c r="A167" s="1624">
        <v>161</v>
      </c>
      <c r="C167" s="1668"/>
      <c r="D167" s="1634" t="s">
        <v>1157</v>
      </c>
      <c r="E167" s="2">
        <v>799</v>
      </c>
    </row>
    <row r="168" spans="1:5" ht="22.5" customHeight="1" x14ac:dyDescent="0.35">
      <c r="A168" s="1624">
        <v>162</v>
      </c>
      <c r="C168" s="1668"/>
      <c r="D168" s="1630" t="s">
        <v>25</v>
      </c>
      <c r="E168" s="2"/>
    </row>
    <row r="169" spans="1:5" ht="18" customHeight="1" x14ac:dyDescent="0.3">
      <c r="A169" s="1624">
        <v>163</v>
      </c>
      <c r="C169" s="1668"/>
      <c r="D169" s="1634" t="s">
        <v>1210</v>
      </c>
      <c r="E169" s="2">
        <v>1255</v>
      </c>
    </row>
    <row r="170" spans="1:5" ht="18" customHeight="1" x14ac:dyDescent="0.3">
      <c r="A170" s="1624">
        <v>164</v>
      </c>
      <c r="C170" s="1668"/>
      <c r="D170" s="1634" t="s">
        <v>1213</v>
      </c>
      <c r="E170" s="2">
        <v>24</v>
      </c>
    </row>
    <row r="171" spans="1:5" ht="18" customHeight="1" x14ac:dyDescent="0.3">
      <c r="A171" s="1624">
        <v>165</v>
      </c>
      <c r="C171" s="1668"/>
      <c r="D171" s="1641" t="s">
        <v>1177</v>
      </c>
      <c r="E171" s="1635">
        <v>486</v>
      </c>
    </row>
    <row r="172" spans="1:5" ht="18" customHeight="1" x14ac:dyDescent="0.3">
      <c r="A172" s="1624">
        <v>166</v>
      </c>
      <c r="C172" s="1668"/>
      <c r="D172" s="1641" t="s">
        <v>1206</v>
      </c>
      <c r="E172" s="1635">
        <v>-6919</v>
      </c>
    </row>
    <row r="173" spans="1:5" ht="18" customHeight="1" x14ac:dyDescent="0.3">
      <c r="A173" s="1624">
        <v>167</v>
      </c>
      <c r="C173" s="1668"/>
      <c r="D173" s="1641" t="s">
        <v>1207</v>
      </c>
      <c r="E173" s="1635">
        <f>4060+809</f>
        <v>4869</v>
      </c>
    </row>
    <row r="174" spans="1:5" ht="22.5" customHeight="1" x14ac:dyDescent="0.35">
      <c r="A174" s="1624">
        <v>168</v>
      </c>
      <c r="C174" s="1668"/>
      <c r="D174" s="1630" t="s">
        <v>34</v>
      </c>
      <c r="E174" s="2"/>
    </row>
    <row r="175" spans="1:5" ht="18" customHeight="1" x14ac:dyDescent="0.3">
      <c r="A175" s="1624">
        <v>169</v>
      </c>
      <c r="C175" s="1668"/>
      <c r="D175" s="1634" t="s">
        <v>1210</v>
      </c>
      <c r="E175" s="2">
        <v>1118</v>
      </c>
    </row>
    <row r="176" spans="1:5" ht="18" customHeight="1" x14ac:dyDescent="0.3">
      <c r="A176" s="1624">
        <v>170</v>
      </c>
      <c r="C176" s="1668"/>
      <c r="D176" s="1634" t="s">
        <v>1177</v>
      </c>
      <c r="E176" s="2">
        <v>1947</v>
      </c>
    </row>
    <row r="177" spans="1:5" ht="18" customHeight="1" x14ac:dyDescent="0.3">
      <c r="A177" s="1624">
        <v>171</v>
      </c>
      <c r="C177" s="1668"/>
      <c r="D177" s="1634" t="s">
        <v>1206</v>
      </c>
      <c r="E177" s="2">
        <v>-7847</v>
      </c>
    </row>
    <row r="178" spans="1:5" ht="18" customHeight="1" x14ac:dyDescent="0.3">
      <c r="A178" s="1624">
        <v>172</v>
      </c>
      <c r="C178" s="1668"/>
      <c r="D178" s="1641" t="s">
        <v>1257</v>
      </c>
      <c r="E178" s="2">
        <v>7847</v>
      </c>
    </row>
    <row r="179" spans="1:5" ht="22.5" customHeight="1" x14ac:dyDescent="0.35">
      <c r="A179" s="1624">
        <v>173</v>
      </c>
      <c r="C179" s="1668"/>
      <c r="D179" s="1630" t="s">
        <v>529</v>
      </c>
      <c r="E179" s="2"/>
    </row>
    <row r="180" spans="1:5" ht="18" customHeight="1" x14ac:dyDescent="0.3">
      <c r="A180" s="1624">
        <v>174</v>
      </c>
      <c r="C180" s="1668"/>
      <c r="D180" s="1634" t="s">
        <v>1210</v>
      </c>
      <c r="E180" s="2">
        <v>383</v>
      </c>
    </row>
    <row r="181" spans="1:5" ht="18" customHeight="1" x14ac:dyDescent="0.3">
      <c r="A181" s="1624">
        <v>175</v>
      </c>
      <c r="C181" s="1668"/>
      <c r="D181" s="1634" t="s">
        <v>1206</v>
      </c>
      <c r="E181" s="2">
        <v>-12000</v>
      </c>
    </row>
    <row r="182" spans="1:5" ht="18" customHeight="1" x14ac:dyDescent="0.3">
      <c r="A182" s="1624">
        <v>176</v>
      </c>
      <c r="C182" s="1668"/>
      <c r="D182" s="1634" t="s">
        <v>1225</v>
      </c>
      <c r="E182" s="2">
        <v>12000</v>
      </c>
    </row>
    <row r="183" spans="1:5" ht="22.5" customHeight="1" x14ac:dyDescent="0.35">
      <c r="A183" s="1624">
        <v>177</v>
      </c>
      <c r="C183" s="1668"/>
      <c r="D183" s="1630" t="s">
        <v>157</v>
      </c>
      <c r="E183" s="2"/>
    </row>
    <row r="184" spans="1:5" ht="18" customHeight="1" x14ac:dyDescent="0.3">
      <c r="A184" s="1624">
        <v>178</v>
      </c>
      <c r="C184" s="1668"/>
      <c r="D184" s="1634" t="s">
        <v>1210</v>
      </c>
      <c r="E184" s="2">
        <v>1566</v>
      </c>
    </row>
    <row r="185" spans="1:5" ht="20.100000000000001" customHeight="1" x14ac:dyDescent="0.3">
      <c r="A185" s="1624">
        <v>179</v>
      </c>
      <c r="C185" s="1668"/>
      <c r="D185" s="1634" t="s">
        <v>1165</v>
      </c>
      <c r="E185" s="2">
        <v>-43900</v>
      </c>
    </row>
    <row r="186" spans="1:5" ht="20.100000000000001" customHeight="1" x14ac:dyDescent="0.3">
      <c r="A186" s="1624">
        <v>180</v>
      </c>
      <c r="C186" s="1668"/>
      <c r="D186" s="1641" t="s">
        <v>1242</v>
      </c>
      <c r="E186" s="2">
        <f>37000+3000</f>
        <v>40000</v>
      </c>
    </row>
    <row r="187" spans="1:5" ht="20.100000000000001" customHeight="1" x14ac:dyDescent="0.3">
      <c r="A187" s="1624">
        <v>181</v>
      </c>
      <c r="C187" s="1668"/>
      <c r="D187" s="1634" t="s">
        <v>1177</v>
      </c>
      <c r="E187" s="2">
        <v>2474</v>
      </c>
    </row>
    <row r="188" spans="1:5" ht="20.100000000000001" customHeight="1" x14ac:dyDescent="0.35">
      <c r="A188" s="1624">
        <v>182</v>
      </c>
      <c r="C188" s="1668"/>
      <c r="D188" s="1630" t="s">
        <v>1246</v>
      </c>
      <c r="E188" s="2"/>
    </row>
    <row r="189" spans="1:5" ht="20.100000000000001" customHeight="1" x14ac:dyDescent="0.3">
      <c r="A189" s="1624">
        <v>183</v>
      </c>
      <c r="C189" s="1668"/>
      <c r="D189" s="1634" t="s">
        <v>1244</v>
      </c>
      <c r="E189" s="2">
        <v>-115000</v>
      </c>
    </row>
    <row r="190" spans="1:5" ht="20.100000000000001" customHeight="1" x14ac:dyDescent="0.3">
      <c r="A190" s="1624">
        <v>184</v>
      </c>
      <c r="C190" s="1668"/>
      <c r="D190" s="1634" t="s">
        <v>1206</v>
      </c>
      <c r="E190" s="2">
        <v>-40000</v>
      </c>
    </row>
    <row r="191" spans="1:5" ht="20.100000000000001" customHeight="1" x14ac:dyDescent="0.3">
      <c r="A191" s="1624">
        <v>185</v>
      </c>
      <c r="C191" s="1668"/>
      <c r="D191" s="1641" t="s">
        <v>1249</v>
      </c>
      <c r="E191" s="2">
        <v>38000</v>
      </c>
    </row>
    <row r="192" spans="1:5" ht="22.5" customHeight="1" x14ac:dyDescent="0.35">
      <c r="A192" s="1624">
        <v>186</v>
      </c>
      <c r="C192" s="1668"/>
      <c r="D192" s="1673" t="s">
        <v>971</v>
      </c>
      <c r="E192" s="1661"/>
    </row>
    <row r="193" spans="1:13" ht="18" customHeight="1" x14ac:dyDescent="0.3">
      <c r="A193" s="1624">
        <v>187</v>
      </c>
      <c r="C193" s="1668"/>
      <c r="D193" s="1634" t="s">
        <v>1288</v>
      </c>
      <c r="E193" s="1661">
        <f>61+9</f>
        <v>70</v>
      </c>
    </row>
    <row r="194" spans="1:13" ht="20.100000000000001" customHeight="1" x14ac:dyDescent="0.3">
      <c r="A194" s="1624">
        <v>188</v>
      </c>
      <c r="C194" s="1668"/>
      <c r="D194" s="2018" t="s">
        <v>615</v>
      </c>
      <c r="E194" s="1662"/>
    </row>
    <row r="195" spans="1:13" ht="18" customHeight="1" x14ac:dyDescent="0.35">
      <c r="A195" s="1624">
        <v>189</v>
      </c>
      <c r="C195" s="1668"/>
      <c r="D195" s="2019" t="s">
        <v>1255</v>
      </c>
      <c r="E195" s="1767">
        <f>-11592-2260</f>
        <v>-13852</v>
      </c>
    </row>
    <row r="196" spans="1:13" ht="24.95" customHeight="1" x14ac:dyDescent="0.3">
      <c r="A196" s="1624">
        <v>190</v>
      </c>
      <c r="C196" s="1668"/>
      <c r="D196" s="1653" t="s">
        <v>980</v>
      </c>
      <c r="E196" s="1637">
        <f>SUM(E107:E195)</f>
        <v>-95562</v>
      </c>
    </row>
    <row r="197" spans="1:13" ht="23.1" customHeight="1" x14ac:dyDescent="0.35">
      <c r="A197" s="1624">
        <v>191</v>
      </c>
      <c r="C197" s="1668"/>
      <c r="D197" s="1673" t="s">
        <v>981</v>
      </c>
    </row>
    <row r="198" spans="1:13" ht="23.1" customHeight="1" x14ac:dyDescent="0.3">
      <c r="A198" s="1624">
        <v>192</v>
      </c>
      <c r="C198" s="1668"/>
      <c r="D198" s="1664" t="s">
        <v>231</v>
      </c>
    </row>
    <row r="199" spans="1:13" ht="20.100000000000001" customHeight="1" x14ac:dyDescent="0.35">
      <c r="A199" s="1624">
        <v>193</v>
      </c>
      <c r="C199" s="1668"/>
      <c r="D199" s="259" t="s">
        <v>267</v>
      </c>
    </row>
    <row r="200" spans="1:13" ht="18" customHeight="1" x14ac:dyDescent="0.3">
      <c r="A200" s="1624">
        <v>194</v>
      </c>
      <c r="C200" s="1668"/>
      <c r="D200" s="1634" t="s">
        <v>1170</v>
      </c>
      <c r="E200" s="72">
        <v>441</v>
      </c>
    </row>
    <row r="201" spans="1:13" ht="20.100000000000001" customHeight="1" x14ac:dyDescent="0.35">
      <c r="A201" s="1624">
        <v>195</v>
      </c>
      <c r="C201" s="1668"/>
      <c r="D201" s="259" t="s">
        <v>1181</v>
      </c>
    </row>
    <row r="202" spans="1:13" ht="20.100000000000001" customHeight="1" x14ac:dyDescent="0.3">
      <c r="A202" s="1624">
        <v>196</v>
      </c>
      <c r="C202" s="1668"/>
      <c r="D202" s="1641" t="s">
        <v>1179</v>
      </c>
      <c r="E202" s="1635">
        <v>1420</v>
      </c>
      <c r="M202" s="1641"/>
    </row>
    <row r="203" spans="1:13" ht="20.100000000000001" customHeight="1" x14ac:dyDescent="0.35">
      <c r="A203" s="1624">
        <v>197</v>
      </c>
      <c r="C203" s="1668"/>
      <c r="D203" s="259" t="s">
        <v>734</v>
      </c>
      <c r="E203" s="1635"/>
      <c r="M203" s="1641"/>
    </row>
    <row r="204" spans="1:13" ht="20.100000000000001" customHeight="1" x14ac:dyDescent="0.35">
      <c r="A204" s="1624">
        <v>198</v>
      </c>
      <c r="C204" s="1668"/>
      <c r="D204" s="2017" t="s">
        <v>1167</v>
      </c>
      <c r="E204" s="1635"/>
      <c r="M204" s="1641"/>
    </row>
    <row r="205" spans="1:13" ht="45.75" customHeight="1" x14ac:dyDescent="0.3">
      <c r="A205" s="1624">
        <v>199</v>
      </c>
      <c r="C205" s="1668"/>
      <c r="D205" s="1634" t="s">
        <v>1163</v>
      </c>
      <c r="E205" s="1635">
        <v>1170</v>
      </c>
      <c r="M205" s="1641"/>
    </row>
    <row r="206" spans="1:13" ht="20.100000000000001" customHeight="1" x14ac:dyDescent="0.35">
      <c r="A206" s="1624">
        <v>200</v>
      </c>
      <c r="C206" s="1668"/>
      <c r="D206" s="259" t="s">
        <v>314</v>
      </c>
      <c r="E206" s="1635"/>
      <c r="M206" s="1641"/>
    </row>
    <row r="207" spans="1:13" ht="20.100000000000001" customHeight="1" x14ac:dyDescent="0.3">
      <c r="A207" s="1624">
        <v>201</v>
      </c>
      <c r="C207" s="1668"/>
      <c r="D207" s="1641" t="s">
        <v>1182</v>
      </c>
      <c r="E207" s="1635">
        <v>138</v>
      </c>
      <c r="M207" s="1641"/>
    </row>
    <row r="208" spans="1:13" ht="20.100000000000001" customHeight="1" x14ac:dyDescent="0.35">
      <c r="A208" s="1624">
        <v>202</v>
      </c>
      <c r="C208" s="1668"/>
      <c r="D208" s="259" t="s">
        <v>1119</v>
      </c>
    </row>
    <row r="209" spans="1:13" ht="20.100000000000001" customHeight="1" x14ac:dyDescent="0.3">
      <c r="A209" s="1624">
        <v>203</v>
      </c>
      <c r="C209" s="1668"/>
      <c r="D209" s="1634" t="s">
        <v>1176</v>
      </c>
      <c r="E209" s="1635">
        <v>610</v>
      </c>
      <c r="M209" s="1641"/>
    </row>
    <row r="210" spans="1:13" ht="20.100000000000001" customHeight="1" x14ac:dyDescent="0.35">
      <c r="A210" s="1624">
        <v>204</v>
      </c>
      <c r="C210" s="1668"/>
      <c r="D210" s="259" t="s">
        <v>389</v>
      </c>
      <c r="E210" s="1635"/>
      <c r="M210" s="1641"/>
    </row>
    <row r="211" spans="1:13" ht="18" customHeight="1" x14ac:dyDescent="0.3">
      <c r="A211" s="1624">
        <v>205</v>
      </c>
      <c r="C211" s="1668"/>
      <c r="D211" s="1634" t="s">
        <v>1198</v>
      </c>
      <c r="E211" s="1635">
        <v>350</v>
      </c>
      <c r="M211" s="1641"/>
    </row>
    <row r="212" spans="1:13" ht="20.100000000000001" customHeight="1" x14ac:dyDescent="0.35">
      <c r="A212" s="1624">
        <v>206</v>
      </c>
      <c r="C212" s="1668"/>
      <c r="D212" s="1630" t="s">
        <v>544</v>
      </c>
      <c r="E212" s="1635"/>
      <c r="M212" s="1641"/>
    </row>
    <row r="213" spans="1:13" ht="36" customHeight="1" x14ac:dyDescent="0.3">
      <c r="A213" s="1624">
        <v>207</v>
      </c>
      <c r="C213" s="1668"/>
      <c r="D213" s="1634" t="s">
        <v>1188</v>
      </c>
      <c r="E213" s="1635">
        <v>700</v>
      </c>
      <c r="M213" s="1641"/>
    </row>
    <row r="214" spans="1:13" ht="20.100000000000001" customHeight="1" x14ac:dyDescent="0.35">
      <c r="A214" s="1624">
        <v>208</v>
      </c>
      <c r="C214" s="1668"/>
      <c r="D214" s="259" t="s">
        <v>25</v>
      </c>
      <c r="E214" s="1663"/>
      <c r="M214" s="1641"/>
    </row>
    <row r="215" spans="1:13" ht="34.5" customHeight="1" x14ac:dyDescent="0.3">
      <c r="A215" s="1624">
        <v>209</v>
      </c>
      <c r="C215" s="1668"/>
      <c r="D215" s="1634" t="s">
        <v>437</v>
      </c>
      <c r="E215" s="1635">
        <v>6000</v>
      </c>
      <c r="M215" s="1641"/>
    </row>
    <row r="216" spans="1:13" ht="19.5" customHeight="1" x14ac:dyDescent="0.3">
      <c r="A216" s="1624">
        <v>210</v>
      </c>
      <c r="C216" s="1668"/>
      <c r="D216" s="1634" t="s">
        <v>992</v>
      </c>
      <c r="E216" s="1635">
        <v>2207</v>
      </c>
      <c r="M216" s="1641"/>
    </row>
    <row r="217" spans="1:13" ht="34.5" customHeight="1" x14ac:dyDescent="0.3">
      <c r="A217" s="1624">
        <v>211</v>
      </c>
      <c r="C217" s="1668"/>
      <c r="D217" s="1634" t="s">
        <v>1141</v>
      </c>
      <c r="E217" s="1635">
        <v>299</v>
      </c>
      <c r="M217" s="1641"/>
    </row>
    <row r="218" spans="1:13" ht="19.5" customHeight="1" x14ac:dyDescent="0.3">
      <c r="A218" s="1624">
        <v>212</v>
      </c>
      <c r="C218" s="1668"/>
      <c r="D218" s="1634" t="s">
        <v>1203</v>
      </c>
      <c r="E218" s="1635">
        <v>635</v>
      </c>
      <c r="M218" s="1641"/>
    </row>
    <row r="219" spans="1:13" ht="20.100000000000001" customHeight="1" x14ac:dyDescent="0.3">
      <c r="A219" s="1624">
        <v>213</v>
      </c>
      <c r="C219" s="1668"/>
      <c r="D219" s="1641" t="s">
        <v>1116</v>
      </c>
      <c r="E219" s="1635">
        <v>110</v>
      </c>
      <c r="M219" s="1641"/>
    </row>
    <row r="220" spans="1:13" ht="20.100000000000001" customHeight="1" x14ac:dyDescent="0.35">
      <c r="A220" s="1624">
        <v>214</v>
      </c>
      <c r="C220" s="1668"/>
      <c r="D220" s="259" t="s">
        <v>157</v>
      </c>
      <c r="E220" s="1635"/>
      <c r="M220" s="1641"/>
    </row>
    <row r="221" spans="1:13" ht="67.5" customHeight="1" x14ac:dyDescent="0.3">
      <c r="A221" s="1624">
        <v>215</v>
      </c>
      <c r="C221" s="1668"/>
      <c r="D221" s="1634" t="s">
        <v>1301</v>
      </c>
      <c r="E221" s="1635">
        <f>830+1067</f>
        <v>1897</v>
      </c>
      <c r="M221" s="1641"/>
    </row>
    <row r="222" spans="1:13" ht="33" customHeight="1" x14ac:dyDescent="0.3">
      <c r="A222" s="1624">
        <v>216</v>
      </c>
      <c r="C222" s="1668"/>
      <c r="D222" s="1634" t="s">
        <v>1238</v>
      </c>
      <c r="E222" s="1635">
        <v>808</v>
      </c>
      <c r="M222" s="1641"/>
    </row>
    <row r="223" spans="1:13" ht="33" customHeight="1" x14ac:dyDescent="0.3">
      <c r="A223" s="1624">
        <v>217</v>
      </c>
      <c r="C223" s="1668"/>
      <c r="D223" s="1634" t="s">
        <v>1240</v>
      </c>
      <c r="E223" s="1635">
        <f>50+650+117</f>
        <v>817</v>
      </c>
      <c r="M223" s="1641"/>
    </row>
    <row r="224" spans="1:13" ht="20.100000000000001" customHeight="1" x14ac:dyDescent="0.3">
      <c r="A224" s="1624">
        <v>218</v>
      </c>
      <c r="C224" s="1668"/>
      <c r="D224" s="1634" t="s">
        <v>1241</v>
      </c>
      <c r="E224" s="1635">
        <v>378</v>
      </c>
      <c r="M224" s="1641"/>
    </row>
    <row r="225" spans="1:256" ht="20.100000000000001" customHeight="1" x14ac:dyDescent="0.35">
      <c r="A225" s="1624">
        <v>219</v>
      </c>
      <c r="C225" s="1668"/>
      <c r="D225" s="259" t="s">
        <v>271</v>
      </c>
      <c r="E225" s="1635"/>
      <c r="M225" s="1641"/>
    </row>
    <row r="226" spans="1:256" ht="20.100000000000001" customHeight="1" x14ac:dyDescent="0.3">
      <c r="A226" s="1624">
        <v>220</v>
      </c>
      <c r="C226" s="1668"/>
      <c r="D226" s="1634" t="s">
        <v>1250</v>
      </c>
      <c r="E226" s="1636">
        <v>2000</v>
      </c>
      <c r="M226" s="1641"/>
    </row>
    <row r="227" spans="1:256" ht="20.100000000000001" customHeight="1" x14ac:dyDescent="0.3">
      <c r="A227" s="1624">
        <v>221</v>
      </c>
      <c r="C227" s="1668"/>
      <c r="D227" s="1647" t="s">
        <v>1184</v>
      </c>
      <c r="E227" s="2003">
        <f>SUM(E200:E226)</f>
        <v>19980</v>
      </c>
      <c r="M227" s="1641"/>
    </row>
    <row r="228" spans="1:256" ht="20.100000000000001" customHeight="1" x14ac:dyDescent="0.35">
      <c r="A228" s="1624">
        <v>222</v>
      </c>
      <c r="C228" s="1668"/>
      <c r="D228" s="259" t="s">
        <v>1183</v>
      </c>
      <c r="E228" s="1635"/>
      <c r="M228" s="1641"/>
    </row>
    <row r="229" spans="1:256" ht="20.100000000000001" customHeight="1" x14ac:dyDescent="0.3">
      <c r="A229" s="1624">
        <v>223</v>
      </c>
      <c r="C229" s="1668"/>
      <c r="D229" s="1634" t="s">
        <v>1114</v>
      </c>
      <c r="E229" s="2031">
        <v>-38</v>
      </c>
      <c r="M229" s="1641"/>
    </row>
    <row r="230" spans="1:256" ht="24.95" customHeight="1" x14ac:dyDescent="0.3">
      <c r="A230" s="1624">
        <v>224</v>
      </c>
      <c r="C230" s="1668"/>
      <c r="D230" s="1647" t="s">
        <v>1136</v>
      </c>
      <c r="E230" s="1667">
        <f>E229+E227</f>
        <v>19942</v>
      </c>
      <c r="M230" s="1641"/>
    </row>
    <row r="231" spans="1:256" ht="24.95" customHeight="1" thickBot="1" x14ac:dyDescent="0.35">
      <c r="A231" s="1624">
        <v>225</v>
      </c>
      <c r="B231" s="1674"/>
      <c r="C231" s="1674"/>
      <c r="D231" s="1675" t="s">
        <v>1137</v>
      </c>
      <c r="E231" s="1657">
        <f>E196+E230</f>
        <v>-75620</v>
      </c>
      <c r="F231" s="23"/>
      <c r="G231" s="23"/>
      <c r="H231" s="23"/>
      <c r="I231" s="23"/>
      <c r="J231" s="713"/>
      <c r="K231" s="23"/>
      <c r="L231" s="71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  <c r="EA231" s="23"/>
      <c r="EB231" s="23"/>
      <c r="EC231" s="23"/>
      <c r="ED231" s="23"/>
      <c r="EE231" s="23"/>
      <c r="EF231" s="23"/>
      <c r="EG231" s="23"/>
      <c r="EH231" s="23"/>
      <c r="EI231" s="23"/>
      <c r="EJ231" s="23"/>
      <c r="EK231" s="23"/>
      <c r="EL231" s="23"/>
      <c r="EM231" s="23"/>
      <c r="EN231" s="23"/>
      <c r="EO231" s="23"/>
      <c r="EP231" s="23"/>
      <c r="EQ231" s="23"/>
      <c r="ER231" s="23"/>
      <c r="ES231" s="23"/>
      <c r="ET231" s="23"/>
      <c r="EU231" s="23"/>
      <c r="EV231" s="23"/>
      <c r="EW231" s="23"/>
      <c r="EX231" s="23"/>
      <c r="EY231" s="23"/>
      <c r="EZ231" s="23"/>
      <c r="FA231" s="23"/>
      <c r="FB231" s="23"/>
      <c r="FC231" s="23"/>
      <c r="FD231" s="23"/>
      <c r="FE231" s="23"/>
      <c r="FF231" s="23"/>
      <c r="FG231" s="23"/>
      <c r="FH231" s="23"/>
      <c r="FI231" s="23"/>
      <c r="FJ231" s="23"/>
      <c r="FK231" s="23"/>
      <c r="FL231" s="23"/>
      <c r="FM231" s="23"/>
      <c r="FN231" s="23"/>
      <c r="FO231" s="23"/>
      <c r="FP231" s="23"/>
      <c r="FQ231" s="23"/>
      <c r="FR231" s="23"/>
      <c r="FS231" s="23"/>
      <c r="FT231" s="23"/>
      <c r="FU231" s="23"/>
      <c r="FV231" s="23"/>
      <c r="FW231" s="23"/>
      <c r="FX231" s="23"/>
      <c r="FY231" s="23"/>
      <c r="FZ231" s="23"/>
      <c r="GA231" s="23"/>
      <c r="GB231" s="23"/>
      <c r="GC231" s="23"/>
      <c r="GD231" s="23"/>
      <c r="GE231" s="23"/>
      <c r="GF231" s="23"/>
      <c r="GG231" s="23"/>
      <c r="GH231" s="23"/>
      <c r="GI231" s="23"/>
      <c r="GJ231" s="23"/>
      <c r="GK231" s="23"/>
      <c r="GL231" s="23"/>
      <c r="GM231" s="23"/>
      <c r="GN231" s="23"/>
      <c r="GO231" s="23"/>
      <c r="GP231" s="23"/>
      <c r="GQ231" s="23"/>
      <c r="GR231" s="23"/>
      <c r="GS231" s="23"/>
      <c r="GT231" s="23"/>
      <c r="GU231" s="23"/>
      <c r="GV231" s="23"/>
      <c r="GW231" s="23"/>
      <c r="GX231" s="23"/>
      <c r="GY231" s="23"/>
      <c r="GZ231" s="23"/>
      <c r="HA231" s="23"/>
      <c r="HB231" s="23"/>
      <c r="HC231" s="23"/>
      <c r="HD231" s="23"/>
      <c r="HE231" s="23"/>
      <c r="HF231" s="23"/>
      <c r="HG231" s="23"/>
      <c r="HH231" s="23"/>
      <c r="HI231" s="23"/>
      <c r="HJ231" s="23"/>
      <c r="HK231" s="23"/>
      <c r="HL231" s="23"/>
      <c r="HM231" s="23"/>
      <c r="HN231" s="23"/>
      <c r="HO231" s="23"/>
      <c r="HP231" s="23"/>
      <c r="HQ231" s="23"/>
      <c r="HR231" s="23"/>
      <c r="HS231" s="23"/>
      <c r="HT231" s="23"/>
      <c r="HU231" s="23"/>
      <c r="HV231" s="23"/>
      <c r="HW231" s="23"/>
      <c r="HX231" s="23"/>
      <c r="HY231" s="23"/>
      <c r="HZ231" s="23"/>
      <c r="IA231" s="23"/>
      <c r="IB231" s="23"/>
      <c r="IC231" s="23"/>
      <c r="ID231" s="23"/>
      <c r="IE231" s="23"/>
      <c r="IF231" s="23"/>
      <c r="IG231" s="23"/>
      <c r="IH231" s="23"/>
      <c r="II231" s="23"/>
      <c r="IJ231" s="23"/>
      <c r="IK231" s="23"/>
      <c r="IL231" s="23"/>
      <c r="IM231" s="23"/>
      <c r="IN231" s="23"/>
      <c r="IO231" s="23"/>
      <c r="IP231" s="23"/>
      <c r="IQ231" s="23"/>
      <c r="IR231" s="23"/>
      <c r="IS231" s="23"/>
      <c r="IT231" s="23"/>
      <c r="IU231" s="23"/>
      <c r="IV231" s="23"/>
    </row>
    <row r="232" spans="1:256" ht="24.95" customHeight="1" thickTop="1" x14ac:dyDescent="0.35">
      <c r="A232" s="1624">
        <v>226</v>
      </c>
      <c r="B232" s="2006"/>
      <c r="C232" s="1313" t="s">
        <v>139</v>
      </c>
      <c r="D232" s="259" t="s">
        <v>1289</v>
      </c>
      <c r="E232" s="1765"/>
      <c r="F232" s="23"/>
      <c r="G232" s="23"/>
      <c r="H232" s="23"/>
      <c r="I232" s="23"/>
      <c r="J232" s="713"/>
      <c r="K232" s="23"/>
      <c r="L232" s="71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  <c r="EA232" s="23"/>
      <c r="EB232" s="23"/>
      <c r="EC232" s="23"/>
      <c r="ED232" s="23"/>
      <c r="EE232" s="23"/>
      <c r="EF232" s="23"/>
      <c r="EG232" s="23"/>
      <c r="EH232" s="23"/>
      <c r="EI232" s="23"/>
      <c r="EJ232" s="23"/>
      <c r="EK232" s="23"/>
      <c r="EL232" s="23"/>
      <c r="EM232" s="23"/>
      <c r="EN232" s="23"/>
      <c r="EO232" s="23"/>
      <c r="EP232" s="23"/>
      <c r="EQ232" s="23"/>
      <c r="ER232" s="23"/>
      <c r="ES232" s="23"/>
      <c r="ET232" s="23"/>
      <c r="EU232" s="23"/>
      <c r="EV232" s="23"/>
      <c r="EW232" s="23"/>
      <c r="EX232" s="23"/>
      <c r="EY232" s="23"/>
      <c r="EZ232" s="23"/>
      <c r="FA232" s="23"/>
      <c r="FB232" s="23"/>
      <c r="FC232" s="23"/>
      <c r="FD232" s="23"/>
      <c r="FE232" s="23"/>
      <c r="FF232" s="23"/>
      <c r="FG232" s="23"/>
      <c r="FH232" s="23"/>
      <c r="FI232" s="23"/>
      <c r="FJ232" s="23"/>
      <c r="FK232" s="23"/>
      <c r="FL232" s="23"/>
      <c r="FM232" s="23"/>
      <c r="FN232" s="23"/>
      <c r="FO232" s="23"/>
      <c r="FP232" s="23"/>
      <c r="FQ232" s="23"/>
      <c r="FR232" s="23"/>
      <c r="FS232" s="23"/>
      <c r="FT232" s="23"/>
      <c r="FU232" s="23"/>
      <c r="FV232" s="23"/>
      <c r="FW232" s="23"/>
      <c r="FX232" s="23"/>
      <c r="FY232" s="23"/>
      <c r="FZ232" s="23"/>
      <c r="GA232" s="23"/>
      <c r="GB232" s="23"/>
      <c r="GC232" s="23"/>
      <c r="GD232" s="23"/>
      <c r="GE232" s="23"/>
      <c r="GF232" s="23"/>
      <c r="GG232" s="23"/>
      <c r="GH232" s="23"/>
      <c r="GI232" s="23"/>
      <c r="GJ232" s="23"/>
      <c r="GK232" s="23"/>
      <c r="GL232" s="23"/>
      <c r="GM232" s="23"/>
      <c r="GN232" s="23"/>
      <c r="GO232" s="23"/>
      <c r="GP232" s="23"/>
      <c r="GQ232" s="23"/>
      <c r="GR232" s="23"/>
      <c r="GS232" s="23"/>
      <c r="GT232" s="23"/>
      <c r="GU232" s="23"/>
      <c r="GV232" s="23"/>
      <c r="GW232" s="23"/>
      <c r="GX232" s="23"/>
      <c r="GY232" s="23"/>
      <c r="GZ232" s="23"/>
      <c r="HA232" s="23"/>
      <c r="HB232" s="23"/>
      <c r="HC232" s="23"/>
      <c r="HD232" s="23"/>
      <c r="HE232" s="23"/>
      <c r="HF232" s="23"/>
      <c r="HG232" s="23"/>
      <c r="HH232" s="23"/>
      <c r="HI232" s="23"/>
      <c r="HJ232" s="23"/>
      <c r="HK232" s="23"/>
      <c r="HL232" s="23"/>
      <c r="HM232" s="23"/>
      <c r="HN232" s="23"/>
      <c r="HO232" s="23"/>
      <c r="HP232" s="23"/>
      <c r="HQ232" s="23"/>
      <c r="HR232" s="23"/>
      <c r="HS232" s="23"/>
      <c r="HT232" s="23"/>
      <c r="HU232" s="23"/>
      <c r="HV232" s="23"/>
      <c r="HW232" s="23"/>
      <c r="HX232" s="23"/>
      <c r="HY232" s="23"/>
      <c r="HZ232" s="23"/>
      <c r="IA232" s="23"/>
      <c r="IB232" s="23"/>
      <c r="IC232" s="23"/>
      <c r="ID232" s="23"/>
      <c r="IE232" s="23"/>
      <c r="IF232" s="23"/>
      <c r="IG232" s="23"/>
      <c r="IH232" s="23"/>
      <c r="II232" s="23"/>
      <c r="IJ232" s="23"/>
      <c r="IK232" s="23"/>
      <c r="IL232" s="23"/>
      <c r="IM232" s="23"/>
      <c r="IN232" s="23"/>
      <c r="IO232" s="23"/>
      <c r="IP232" s="23"/>
      <c r="IQ232" s="23"/>
      <c r="IR232" s="23"/>
      <c r="IS232" s="23"/>
      <c r="IT232" s="23"/>
      <c r="IU232" s="23"/>
      <c r="IV232" s="23"/>
    </row>
    <row r="233" spans="1:256" ht="20.100000000000001" customHeight="1" x14ac:dyDescent="0.3">
      <c r="A233" s="1624">
        <v>227</v>
      </c>
      <c r="B233" s="2006"/>
      <c r="D233" s="1664" t="s">
        <v>1164</v>
      </c>
      <c r="E233" s="1765"/>
      <c r="F233" s="23"/>
      <c r="G233" s="23"/>
      <c r="H233" s="23"/>
      <c r="I233" s="23"/>
      <c r="J233" s="713"/>
      <c r="K233" s="23"/>
      <c r="L233" s="71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E233" s="23"/>
      <c r="CF233" s="23"/>
      <c r="CG233" s="23"/>
      <c r="CH233" s="23"/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3"/>
      <c r="CV233" s="23"/>
      <c r="CW233" s="23"/>
      <c r="CX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  <c r="EA233" s="23"/>
      <c r="EB233" s="23"/>
      <c r="EC233" s="23"/>
      <c r="ED233" s="23"/>
      <c r="EE233" s="23"/>
      <c r="EF233" s="23"/>
      <c r="EG233" s="23"/>
      <c r="EH233" s="23"/>
      <c r="EI233" s="23"/>
      <c r="EJ233" s="23"/>
      <c r="EK233" s="23"/>
      <c r="EL233" s="23"/>
      <c r="EM233" s="23"/>
      <c r="EN233" s="23"/>
      <c r="EO233" s="23"/>
      <c r="EP233" s="23"/>
      <c r="EQ233" s="23"/>
      <c r="ER233" s="23"/>
      <c r="ES233" s="23"/>
      <c r="ET233" s="23"/>
      <c r="EU233" s="23"/>
      <c r="EV233" s="23"/>
      <c r="EW233" s="23"/>
      <c r="EX233" s="23"/>
      <c r="EY233" s="23"/>
      <c r="EZ233" s="23"/>
      <c r="FA233" s="23"/>
      <c r="FB233" s="23"/>
      <c r="FC233" s="23"/>
      <c r="FD233" s="23"/>
      <c r="FE233" s="23"/>
      <c r="FF233" s="23"/>
      <c r="FG233" s="23"/>
      <c r="FH233" s="23"/>
      <c r="FI233" s="23"/>
      <c r="FJ233" s="23"/>
      <c r="FK233" s="23"/>
      <c r="FL233" s="23"/>
      <c r="FM233" s="23"/>
      <c r="FN233" s="23"/>
      <c r="FO233" s="23"/>
      <c r="FP233" s="23"/>
      <c r="FQ233" s="23"/>
      <c r="FR233" s="23"/>
      <c r="FS233" s="23"/>
      <c r="FT233" s="23"/>
      <c r="FU233" s="23"/>
      <c r="FV233" s="23"/>
      <c r="FW233" s="23"/>
      <c r="FX233" s="23"/>
      <c r="FY233" s="23"/>
      <c r="FZ233" s="23"/>
      <c r="GA233" s="23"/>
      <c r="GB233" s="23"/>
      <c r="GC233" s="23"/>
      <c r="GD233" s="23"/>
      <c r="GE233" s="23"/>
      <c r="GF233" s="23"/>
      <c r="GG233" s="23"/>
      <c r="GH233" s="23"/>
      <c r="GI233" s="23"/>
      <c r="GJ233" s="23"/>
      <c r="GK233" s="23"/>
      <c r="GL233" s="23"/>
      <c r="GM233" s="23"/>
      <c r="GN233" s="23"/>
      <c r="GO233" s="23"/>
      <c r="GP233" s="23"/>
      <c r="GQ233" s="23"/>
      <c r="GR233" s="23"/>
      <c r="GS233" s="23"/>
      <c r="GT233" s="23"/>
      <c r="GU233" s="23"/>
      <c r="GV233" s="23"/>
      <c r="GW233" s="23"/>
      <c r="GX233" s="23"/>
      <c r="GY233" s="23"/>
      <c r="GZ233" s="23"/>
      <c r="HA233" s="23"/>
      <c r="HB233" s="23"/>
      <c r="HC233" s="23"/>
      <c r="HD233" s="23"/>
      <c r="HE233" s="23"/>
      <c r="HF233" s="23"/>
      <c r="HG233" s="23"/>
      <c r="HH233" s="23"/>
      <c r="HI233" s="23"/>
      <c r="HJ233" s="23"/>
      <c r="HK233" s="23"/>
      <c r="HL233" s="23"/>
      <c r="HM233" s="23"/>
      <c r="HN233" s="23"/>
      <c r="HO233" s="23"/>
      <c r="HP233" s="23"/>
      <c r="HQ233" s="23"/>
      <c r="HR233" s="23"/>
      <c r="HS233" s="23"/>
      <c r="HT233" s="23"/>
      <c r="HU233" s="23"/>
      <c r="HV233" s="23"/>
      <c r="HW233" s="23"/>
      <c r="HX233" s="23"/>
      <c r="HY233" s="23"/>
      <c r="HZ233" s="23"/>
      <c r="IA233" s="23"/>
      <c r="IB233" s="23"/>
      <c r="IC233" s="23"/>
      <c r="ID233" s="23"/>
      <c r="IE233" s="23"/>
      <c r="IF233" s="23"/>
      <c r="IG233" s="23"/>
      <c r="IH233" s="23"/>
      <c r="II233" s="23"/>
      <c r="IJ233" s="23"/>
      <c r="IK233" s="23"/>
      <c r="IL233" s="23"/>
      <c r="IM233" s="23"/>
      <c r="IN233" s="23"/>
      <c r="IO233" s="23"/>
      <c r="IP233" s="23"/>
      <c r="IQ233" s="23"/>
      <c r="IR233" s="23"/>
      <c r="IS233" s="23"/>
      <c r="IT233" s="23"/>
      <c r="IU233" s="23"/>
      <c r="IV233" s="23"/>
    </row>
    <row r="234" spans="1:256" ht="18" customHeight="1" x14ac:dyDescent="0.35">
      <c r="A234" s="1624">
        <v>228</v>
      </c>
      <c r="B234" s="2006"/>
      <c r="C234" s="1665"/>
      <c r="D234" s="1634" t="s">
        <v>1157</v>
      </c>
      <c r="E234" s="1692">
        <f>-5591-10909-5214-4291-9620-492-3286-11778-799-486-1947-10193-2474</f>
        <v>-67080</v>
      </c>
      <c r="F234" s="23"/>
      <c r="G234" s="23"/>
      <c r="H234" s="23"/>
      <c r="I234" s="23"/>
      <c r="J234" s="713"/>
      <c r="K234" s="23"/>
      <c r="L234" s="71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E234" s="23"/>
      <c r="CF234" s="23"/>
      <c r="CG234" s="23"/>
      <c r="CH234" s="23"/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3"/>
      <c r="CV234" s="23"/>
      <c r="CW234" s="23"/>
      <c r="CX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  <c r="EA234" s="23"/>
      <c r="EB234" s="23"/>
      <c r="EC234" s="23"/>
      <c r="ED234" s="23"/>
      <c r="EE234" s="23"/>
      <c r="EF234" s="23"/>
      <c r="EG234" s="23"/>
      <c r="EH234" s="23"/>
      <c r="EI234" s="23"/>
      <c r="EJ234" s="23"/>
      <c r="EK234" s="23"/>
      <c r="EL234" s="23"/>
      <c r="EM234" s="23"/>
      <c r="EN234" s="23"/>
      <c r="EO234" s="23"/>
      <c r="EP234" s="23"/>
      <c r="EQ234" s="23"/>
      <c r="ER234" s="23"/>
      <c r="ES234" s="23"/>
      <c r="ET234" s="23"/>
      <c r="EU234" s="23"/>
      <c r="EV234" s="23"/>
      <c r="EW234" s="23"/>
      <c r="EX234" s="23"/>
      <c r="EY234" s="23"/>
      <c r="EZ234" s="23"/>
      <c r="FA234" s="23"/>
      <c r="FB234" s="23"/>
      <c r="FC234" s="23"/>
      <c r="FD234" s="23"/>
      <c r="FE234" s="23"/>
      <c r="FF234" s="23"/>
      <c r="FG234" s="23"/>
      <c r="FH234" s="23"/>
      <c r="FI234" s="23"/>
      <c r="FJ234" s="23"/>
      <c r="FK234" s="23"/>
      <c r="FL234" s="23"/>
      <c r="FM234" s="23"/>
      <c r="FN234" s="23"/>
      <c r="FO234" s="23"/>
      <c r="FP234" s="23"/>
      <c r="FQ234" s="23"/>
      <c r="FR234" s="23"/>
      <c r="FS234" s="23"/>
      <c r="FT234" s="23"/>
      <c r="FU234" s="23"/>
      <c r="FV234" s="23"/>
      <c r="FW234" s="23"/>
      <c r="FX234" s="23"/>
      <c r="FY234" s="23"/>
      <c r="FZ234" s="23"/>
      <c r="GA234" s="23"/>
      <c r="GB234" s="23"/>
      <c r="GC234" s="23"/>
      <c r="GD234" s="23"/>
      <c r="GE234" s="23"/>
      <c r="GF234" s="23"/>
      <c r="GG234" s="23"/>
      <c r="GH234" s="23"/>
      <c r="GI234" s="23"/>
      <c r="GJ234" s="23"/>
      <c r="GK234" s="23"/>
      <c r="GL234" s="23"/>
      <c r="GM234" s="23"/>
      <c r="GN234" s="23"/>
      <c r="GO234" s="23"/>
      <c r="GP234" s="23"/>
      <c r="GQ234" s="23"/>
      <c r="GR234" s="23"/>
      <c r="GS234" s="23"/>
      <c r="GT234" s="23"/>
      <c r="GU234" s="23"/>
      <c r="GV234" s="23"/>
      <c r="GW234" s="23"/>
      <c r="GX234" s="23"/>
      <c r="GY234" s="23"/>
      <c r="GZ234" s="23"/>
      <c r="HA234" s="23"/>
      <c r="HB234" s="23"/>
      <c r="HC234" s="23"/>
      <c r="HD234" s="23"/>
      <c r="HE234" s="23"/>
      <c r="HF234" s="23"/>
      <c r="HG234" s="23"/>
      <c r="HH234" s="23"/>
      <c r="HI234" s="23"/>
      <c r="HJ234" s="23"/>
      <c r="HK234" s="23"/>
      <c r="HL234" s="23"/>
      <c r="HM234" s="23"/>
      <c r="HN234" s="23"/>
      <c r="HO234" s="23"/>
      <c r="HP234" s="23"/>
      <c r="HQ234" s="23"/>
      <c r="HR234" s="23"/>
      <c r="HS234" s="23"/>
      <c r="HT234" s="23"/>
      <c r="HU234" s="23"/>
      <c r="HV234" s="23"/>
      <c r="HW234" s="23"/>
      <c r="HX234" s="23"/>
      <c r="HY234" s="23"/>
      <c r="HZ234" s="23"/>
      <c r="IA234" s="23"/>
      <c r="IB234" s="23"/>
      <c r="IC234" s="23"/>
      <c r="ID234" s="23"/>
      <c r="IE234" s="23"/>
      <c r="IF234" s="23"/>
      <c r="IG234" s="23"/>
      <c r="IH234" s="23"/>
      <c r="II234" s="23"/>
      <c r="IJ234" s="23"/>
      <c r="IK234" s="23"/>
      <c r="IL234" s="23"/>
      <c r="IM234" s="23"/>
      <c r="IN234" s="23"/>
      <c r="IO234" s="23"/>
      <c r="IP234" s="23"/>
      <c r="IQ234" s="23"/>
      <c r="IR234" s="23"/>
      <c r="IS234" s="23"/>
      <c r="IT234" s="23"/>
      <c r="IU234" s="23"/>
      <c r="IV234" s="23"/>
    </row>
    <row r="235" spans="1:256" ht="20.100000000000001" customHeight="1" x14ac:dyDescent="0.35">
      <c r="A235" s="1624">
        <v>229</v>
      </c>
      <c r="B235" s="2006"/>
      <c r="C235" s="1665"/>
      <c r="D235" s="1664" t="s">
        <v>209</v>
      </c>
      <c r="E235" s="2066">
        <f>-10290-4709-28650-3500-6364</f>
        <v>-53513</v>
      </c>
      <c r="F235" s="23"/>
      <c r="G235" s="23"/>
      <c r="H235" s="23"/>
      <c r="I235" s="23"/>
      <c r="J235" s="713"/>
      <c r="K235" s="23"/>
      <c r="L235" s="71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  <c r="EA235" s="23"/>
      <c r="EB235" s="23"/>
      <c r="EC235" s="23"/>
      <c r="ED235" s="23"/>
      <c r="EE235" s="23"/>
      <c r="EF235" s="23"/>
      <c r="EG235" s="23"/>
      <c r="EH235" s="23"/>
      <c r="EI235" s="23"/>
      <c r="EJ235" s="23"/>
      <c r="EK235" s="23"/>
      <c r="EL235" s="23"/>
      <c r="EM235" s="23"/>
      <c r="EN235" s="23"/>
      <c r="EO235" s="23"/>
      <c r="EP235" s="23"/>
      <c r="EQ235" s="23"/>
      <c r="ER235" s="23"/>
      <c r="ES235" s="23"/>
      <c r="ET235" s="23"/>
      <c r="EU235" s="23"/>
      <c r="EV235" s="23"/>
      <c r="EW235" s="23"/>
      <c r="EX235" s="23"/>
      <c r="EY235" s="23"/>
      <c r="EZ235" s="23"/>
      <c r="FA235" s="23"/>
      <c r="FB235" s="23"/>
      <c r="FC235" s="23"/>
      <c r="FD235" s="23"/>
      <c r="FE235" s="23"/>
      <c r="FF235" s="23"/>
      <c r="FG235" s="23"/>
      <c r="FH235" s="23"/>
      <c r="FI235" s="23"/>
      <c r="FJ235" s="23"/>
      <c r="FK235" s="23"/>
      <c r="FL235" s="23"/>
      <c r="FM235" s="23"/>
      <c r="FN235" s="23"/>
      <c r="FO235" s="23"/>
      <c r="FP235" s="23"/>
      <c r="FQ235" s="23"/>
      <c r="FR235" s="23"/>
      <c r="FS235" s="23"/>
      <c r="FT235" s="23"/>
      <c r="FU235" s="23"/>
      <c r="FV235" s="23"/>
      <c r="FW235" s="23"/>
      <c r="FX235" s="23"/>
      <c r="FY235" s="23"/>
      <c r="FZ235" s="23"/>
      <c r="GA235" s="23"/>
      <c r="GB235" s="23"/>
      <c r="GC235" s="23"/>
      <c r="GD235" s="23"/>
      <c r="GE235" s="23"/>
      <c r="GF235" s="23"/>
      <c r="GG235" s="23"/>
      <c r="GH235" s="23"/>
      <c r="GI235" s="23"/>
      <c r="GJ235" s="23"/>
      <c r="GK235" s="23"/>
      <c r="GL235" s="23"/>
      <c r="GM235" s="23"/>
      <c r="GN235" s="23"/>
      <c r="GO235" s="23"/>
      <c r="GP235" s="23"/>
      <c r="GQ235" s="23"/>
      <c r="GR235" s="23"/>
      <c r="GS235" s="23"/>
      <c r="GT235" s="23"/>
      <c r="GU235" s="23"/>
      <c r="GV235" s="23"/>
      <c r="GW235" s="23"/>
      <c r="GX235" s="23"/>
      <c r="GY235" s="23"/>
      <c r="GZ235" s="23"/>
      <c r="HA235" s="23"/>
      <c r="HB235" s="23"/>
      <c r="HC235" s="23"/>
      <c r="HD235" s="23"/>
      <c r="HE235" s="23"/>
      <c r="HF235" s="23"/>
      <c r="HG235" s="23"/>
      <c r="HH235" s="23"/>
      <c r="HI235" s="23"/>
      <c r="HJ235" s="23"/>
      <c r="HK235" s="23"/>
      <c r="HL235" s="23"/>
      <c r="HM235" s="23"/>
      <c r="HN235" s="23"/>
      <c r="HO235" s="23"/>
      <c r="HP235" s="23"/>
      <c r="HQ235" s="23"/>
      <c r="HR235" s="23"/>
      <c r="HS235" s="23"/>
      <c r="HT235" s="23"/>
      <c r="HU235" s="23"/>
      <c r="HV235" s="23"/>
      <c r="HW235" s="23"/>
      <c r="HX235" s="23"/>
      <c r="HY235" s="23"/>
      <c r="HZ235" s="23"/>
      <c r="IA235" s="23"/>
      <c r="IB235" s="23"/>
      <c r="IC235" s="23"/>
      <c r="ID235" s="23"/>
      <c r="IE235" s="23"/>
      <c r="IF235" s="23"/>
      <c r="IG235" s="23"/>
      <c r="IH235" s="23"/>
      <c r="II235" s="23"/>
      <c r="IJ235" s="23"/>
      <c r="IK235" s="23"/>
      <c r="IL235" s="23"/>
      <c r="IM235" s="23"/>
      <c r="IN235" s="23"/>
      <c r="IO235" s="23"/>
      <c r="IP235" s="23"/>
      <c r="IQ235" s="23"/>
      <c r="IR235" s="23"/>
      <c r="IS235" s="23"/>
      <c r="IT235" s="23"/>
      <c r="IU235" s="23"/>
      <c r="IV235" s="23"/>
    </row>
    <row r="236" spans="1:256" ht="20.100000000000001" customHeight="1" thickBot="1" x14ac:dyDescent="0.4">
      <c r="A236" s="1624">
        <v>230</v>
      </c>
      <c r="B236" s="2006"/>
      <c r="C236" s="1665"/>
      <c r="D236" s="1647" t="s">
        <v>129</v>
      </c>
      <c r="E236" s="1695">
        <f>SUM(E234:E235)</f>
        <v>-120593</v>
      </c>
      <c r="F236" s="23"/>
      <c r="G236" s="23"/>
      <c r="H236" s="23"/>
      <c r="I236" s="23"/>
      <c r="J236" s="713"/>
      <c r="K236" s="23"/>
      <c r="L236" s="71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  <c r="EA236" s="23"/>
      <c r="EB236" s="23"/>
      <c r="EC236" s="23"/>
      <c r="ED236" s="23"/>
      <c r="EE236" s="23"/>
      <c r="EF236" s="23"/>
      <c r="EG236" s="23"/>
      <c r="EH236" s="23"/>
      <c r="EI236" s="23"/>
      <c r="EJ236" s="23"/>
      <c r="EK236" s="23"/>
      <c r="EL236" s="23"/>
      <c r="EM236" s="23"/>
      <c r="EN236" s="23"/>
      <c r="EO236" s="23"/>
      <c r="EP236" s="23"/>
      <c r="EQ236" s="23"/>
      <c r="ER236" s="23"/>
      <c r="ES236" s="23"/>
      <c r="ET236" s="23"/>
      <c r="EU236" s="23"/>
      <c r="EV236" s="23"/>
      <c r="EW236" s="23"/>
      <c r="EX236" s="23"/>
      <c r="EY236" s="23"/>
      <c r="EZ236" s="23"/>
      <c r="FA236" s="23"/>
      <c r="FB236" s="23"/>
      <c r="FC236" s="23"/>
      <c r="FD236" s="23"/>
      <c r="FE236" s="23"/>
      <c r="FF236" s="23"/>
      <c r="FG236" s="23"/>
      <c r="FH236" s="23"/>
      <c r="FI236" s="23"/>
      <c r="FJ236" s="23"/>
      <c r="FK236" s="23"/>
      <c r="FL236" s="23"/>
      <c r="FM236" s="23"/>
      <c r="FN236" s="23"/>
      <c r="FO236" s="23"/>
      <c r="FP236" s="23"/>
      <c r="FQ236" s="23"/>
      <c r="FR236" s="23"/>
      <c r="FS236" s="23"/>
      <c r="FT236" s="23"/>
      <c r="FU236" s="23"/>
      <c r="FV236" s="23"/>
      <c r="FW236" s="23"/>
      <c r="FX236" s="23"/>
      <c r="FY236" s="23"/>
      <c r="FZ236" s="23"/>
      <c r="GA236" s="23"/>
      <c r="GB236" s="23"/>
      <c r="GC236" s="23"/>
      <c r="GD236" s="23"/>
      <c r="GE236" s="23"/>
      <c r="GF236" s="23"/>
      <c r="GG236" s="23"/>
      <c r="GH236" s="23"/>
      <c r="GI236" s="23"/>
      <c r="GJ236" s="23"/>
      <c r="GK236" s="23"/>
      <c r="GL236" s="23"/>
      <c r="GM236" s="23"/>
      <c r="GN236" s="23"/>
      <c r="GO236" s="23"/>
      <c r="GP236" s="23"/>
      <c r="GQ236" s="23"/>
      <c r="GR236" s="23"/>
      <c r="GS236" s="23"/>
      <c r="GT236" s="23"/>
      <c r="GU236" s="23"/>
      <c r="GV236" s="23"/>
      <c r="GW236" s="23"/>
      <c r="GX236" s="23"/>
      <c r="GY236" s="23"/>
      <c r="GZ236" s="23"/>
      <c r="HA236" s="23"/>
      <c r="HB236" s="23"/>
      <c r="HC236" s="23"/>
      <c r="HD236" s="23"/>
      <c r="HE236" s="23"/>
      <c r="HF236" s="23"/>
      <c r="HG236" s="23"/>
      <c r="HH236" s="23"/>
      <c r="HI236" s="23"/>
      <c r="HJ236" s="23"/>
      <c r="HK236" s="23"/>
      <c r="HL236" s="23"/>
      <c r="HM236" s="23"/>
      <c r="HN236" s="23"/>
      <c r="HO236" s="23"/>
      <c r="HP236" s="23"/>
      <c r="HQ236" s="23"/>
      <c r="HR236" s="23"/>
      <c r="HS236" s="23"/>
      <c r="HT236" s="23"/>
      <c r="HU236" s="23"/>
      <c r="HV236" s="23"/>
      <c r="HW236" s="23"/>
      <c r="HX236" s="23"/>
      <c r="HY236" s="23"/>
      <c r="HZ236" s="23"/>
      <c r="IA236" s="23"/>
      <c r="IB236" s="23"/>
      <c r="IC236" s="23"/>
      <c r="ID236" s="23"/>
      <c r="IE236" s="23"/>
      <c r="IF236" s="23"/>
      <c r="IG236" s="23"/>
      <c r="IH236" s="23"/>
      <c r="II236" s="23"/>
      <c r="IJ236" s="23"/>
      <c r="IK236" s="23"/>
      <c r="IL236" s="23"/>
      <c r="IM236" s="23"/>
      <c r="IN236" s="23"/>
      <c r="IO236" s="23"/>
      <c r="IP236" s="23"/>
      <c r="IQ236" s="23"/>
      <c r="IR236" s="23"/>
      <c r="IS236" s="23"/>
      <c r="IT236" s="23"/>
      <c r="IU236" s="23"/>
      <c r="IV236" s="23"/>
    </row>
    <row r="237" spans="1:256" ht="24.95" customHeight="1" thickBot="1" x14ac:dyDescent="0.35">
      <c r="A237" s="1624">
        <v>231</v>
      </c>
      <c r="B237" s="1626"/>
      <c r="C237" s="1649"/>
      <c r="D237" s="1650" t="s">
        <v>982</v>
      </c>
      <c r="E237" s="1651">
        <f>SUM(E231,E82)+E103+E236</f>
        <v>155340</v>
      </c>
      <c r="F237" s="23"/>
      <c r="G237" s="23"/>
      <c r="H237" s="23"/>
      <c r="I237" s="23"/>
      <c r="J237" s="713"/>
      <c r="K237" s="23"/>
      <c r="L237" s="71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D237" s="23"/>
      <c r="CE237" s="23"/>
      <c r="CF237" s="23"/>
      <c r="CG237" s="23"/>
      <c r="CH237" s="23"/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3"/>
      <c r="CV237" s="23"/>
      <c r="CW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  <c r="EA237" s="23"/>
      <c r="EB237" s="23"/>
      <c r="EC237" s="23"/>
      <c r="ED237" s="23"/>
      <c r="EE237" s="23"/>
      <c r="EF237" s="23"/>
      <c r="EG237" s="23"/>
      <c r="EH237" s="23"/>
      <c r="EI237" s="23"/>
      <c r="EJ237" s="23"/>
      <c r="EK237" s="23"/>
      <c r="EL237" s="23"/>
      <c r="EM237" s="23"/>
      <c r="EN237" s="23"/>
      <c r="EO237" s="23"/>
      <c r="EP237" s="23"/>
      <c r="EQ237" s="23"/>
      <c r="ER237" s="23"/>
      <c r="ES237" s="23"/>
      <c r="ET237" s="23"/>
      <c r="EU237" s="23"/>
      <c r="EV237" s="23"/>
      <c r="EW237" s="23"/>
      <c r="EX237" s="23"/>
      <c r="EY237" s="23"/>
      <c r="EZ237" s="23"/>
      <c r="FA237" s="23"/>
      <c r="FB237" s="23"/>
      <c r="FC237" s="23"/>
      <c r="FD237" s="23"/>
      <c r="FE237" s="23"/>
      <c r="FF237" s="23"/>
      <c r="FG237" s="23"/>
      <c r="FH237" s="23"/>
      <c r="FI237" s="23"/>
      <c r="FJ237" s="23"/>
      <c r="FK237" s="23"/>
      <c r="FL237" s="23"/>
      <c r="FM237" s="23"/>
      <c r="FN237" s="23"/>
      <c r="FO237" s="23"/>
      <c r="FP237" s="23"/>
      <c r="FQ237" s="23"/>
      <c r="FR237" s="23"/>
      <c r="FS237" s="23"/>
      <c r="FT237" s="23"/>
      <c r="FU237" s="23"/>
      <c r="FV237" s="23"/>
      <c r="FW237" s="23"/>
      <c r="FX237" s="23"/>
      <c r="FY237" s="23"/>
      <c r="FZ237" s="23"/>
      <c r="GA237" s="23"/>
      <c r="GB237" s="23"/>
      <c r="GC237" s="23"/>
      <c r="GD237" s="23"/>
      <c r="GE237" s="23"/>
      <c r="GF237" s="23"/>
      <c r="GG237" s="23"/>
      <c r="GH237" s="23"/>
      <c r="GI237" s="23"/>
      <c r="GJ237" s="23"/>
      <c r="GK237" s="23"/>
      <c r="GL237" s="23"/>
      <c r="GM237" s="23"/>
      <c r="GN237" s="23"/>
      <c r="GO237" s="23"/>
      <c r="GP237" s="23"/>
      <c r="GQ237" s="23"/>
      <c r="GR237" s="23"/>
      <c r="GS237" s="23"/>
      <c r="GT237" s="23"/>
      <c r="GU237" s="23"/>
      <c r="GV237" s="23"/>
      <c r="GW237" s="23"/>
      <c r="GX237" s="23"/>
      <c r="GY237" s="23"/>
      <c r="GZ237" s="23"/>
      <c r="HA237" s="23"/>
      <c r="HB237" s="23"/>
      <c r="HC237" s="23"/>
      <c r="HD237" s="23"/>
      <c r="HE237" s="23"/>
      <c r="HF237" s="23"/>
      <c r="HG237" s="23"/>
      <c r="HH237" s="23"/>
      <c r="HI237" s="23"/>
      <c r="HJ237" s="23"/>
      <c r="HK237" s="23"/>
      <c r="HL237" s="23"/>
      <c r="HM237" s="23"/>
      <c r="HN237" s="23"/>
      <c r="HO237" s="23"/>
      <c r="HP237" s="23"/>
      <c r="HQ237" s="23"/>
      <c r="HR237" s="23"/>
      <c r="HS237" s="23"/>
      <c r="HT237" s="23"/>
      <c r="HU237" s="23"/>
      <c r="HV237" s="23"/>
      <c r="HW237" s="23"/>
      <c r="HX237" s="23"/>
      <c r="HY237" s="23"/>
      <c r="HZ237" s="23"/>
      <c r="IA237" s="23"/>
      <c r="IB237" s="23"/>
      <c r="IC237" s="23"/>
      <c r="ID237" s="23"/>
      <c r="IE237" s="23"/>
      <c r="IF237" s="23"/>
      <c r="IG237" s="23"/>
      <c r="IH237" s="23"/>
      <c r="II237" s="23"/>
      <c r="IJ237" s="23"/>
      <c r="IK237" s="23"/>
      <c r="IL237" s="23"/>
      <c r="IM237" s="23"/>
      <c r="IN237" s="23"/>
      <c r="IO237" s="23"/>
      <c r="IP237" s="23"/>
      <c r="IQ237" s="23"/>
      <c r="IR237" s="23"/>
      <c r="IS237" s="23"/>
      <c r="IT237" s="23"/>
      <c r="IU237" s="23"/>
      <c r="IV237" s="23"/>
    </row>
    <row r="238" spans="1:256" ht="17.25" x14ac:dyDescent="0.3">
      <c r="D238" s="1678"/>
    </row>
    <row r="254" spans="1:5" ht="17.25" x14ac:dyDescent="0.35">
      <c r="A254" s="147"/>
      <c r="B254" s="1679"/>
      <c r="C254" s="1680"/>
      <c r="E254" s="10"/>
    </row>
    <row r="255" spans="1:5" ht="17.25" x14ac:dyDescent="0.35">
      <c r="A255" s="147"/>
      <c r="B255" s="1679"/>
      <c r="C255" s="1680"/>
      <c r="D255" s="1681"/>
      <c r="E255" s="10"/>
    </row>
    <row r="256" spans="1:5" ht="17.25" x14ac:dyDescent="0.35">
      <c r="A256" s="147"/>
      <c r="B256" s="1679"/>
      <c r="C256" s="1680"/>
      <c r="D256" s="1681"/>
      <c r="E256" s="10"/>
    </row>
    <row r="257" spans="1:5" ht="17.25" x14ac:dyDescent="0.35">
      <c r="A257" s="147"/>
      <c r="B257" s="1679"/>
      <c r="C257" s="1680"/>
      <c r="D257" s="1681"/>
      <c r="E257" s="10"/>
    </row>
    <row r="258" spans="1:5" ht="17.25" x14ac:dyDescent="0.35">
      <c r="A258" s="147"/>
      <c r="B258" s="1679"/>
      <c r="C258" s="1680"/>
      <c r="D258" s="1681"/>
      <c r="E258" s="10"/>
    </row>
    <row r="259" spans="1:5" ht="17.25" x14ac:dyDescent="0.35">
      <c r="A259" s="147"/>
      <c r="B259" s="148"/>
      <c r="C259" s="150"/>
      <c r="D259" s="1681"/>
      <c r="E259" s="2"/>
    </row>
    <row r="260" spans="1:5" x14ac:dyDescent="0.3">
      <c r="A260" s="147"/>
      <c r="C260" s="150"/>
      <c r="D260" s="481"/>
    </row>
    <row r="261" spans="1:5" x14ac:dyDescent="0.3">
      <c r="A261" s="147"/>
      <c r="C261" s="150"/>
    </row>
    <row r="262" spans="1:5" x14ac:dyDescent="0.3">
      <c r="A262" s="147"/>
      <c r="C262" s="150"/>
    </row>
    <row r="263" spans="1:5" x14ac:dyDescent="0.3">
      <c r="A263" s="147"/>
      <c r="C263" s="150"/>
    </row>
    <row r="264" spans="1:5" x14ac:dyDescent="0.3">
      <c r="A264" s="147"/>
      <c r="C264" s="150"/>
    </row>
    <row r="265" spans="1:5" x14ac:dyDescent="0.3">
      <c r="A265" s="147"/>
      <c r="C265" s="150"/>
    </row>
    <row r="266" spans="1:5" x14ac:dyDescent="0.3">
      <c r="A266" s="147"/>
      <c r="C266" s="150"/>
    </row>
    <row r="277" spans="1:16141" x14ac:dyDescent="0.3">
      <c r="B277" s="146"/>
      <c r="C277" s="260"/>
      <c r="E277" s="2"/>
    </row>
    <row r="278" spans="1:16141" s="72" customFormat="1" x14ac:dyDescent="0.3">
      <c r="A278" s="1624"/>
      <c r="B278" s="147"/>
      <c r="C278" s="126"/>
      <c r="D278" s="1682"/>
      <c r="F278" s="147"/>
      <c r="G278" s="147"/>
      <c r="H278" s="147"/>
      <c r="I278" s="147"/>
      <c r="K278" s="147"/>
      <c r="M278" s="147"/>
      <c r="N278" s="147"/>
      <c r="O278" s="147"/>
      <c r="P278" s="147"/>
      <c r="Q278" s="147"/>
      <c r="R278" s="147"/>
      <c r="S278" s="147"/>
      <c r="T278" s="147"/>
      <c r="U278" s="147"/>
      <c r="V278" s="147"/>
      <c r="W278" s="147"/>
      <c r="X278" s="147"/>
      <c r="Y278" s="147"/>
      <c r="Z278" s="147"/>
      <c r="AA278" s="147"/>
      <c r="AB278" s="147"/>
      <c r="AC278" s="147"/>
      <c r="AD278" s="147"/>
      <c r="AE278" s="147"/>
      <c r="AF278" s="147"/>
      <c r="AG278" s="147"/>
      <c r="AH278" s="147"/>
      <c r="AI278" s="147"/>
      <c r="AJ278" s="147"/>
      <c r="AK278" s="147"/>
      <c r="AL278" s="147"/>
      <c r="AM278" s="147"/>
      <c r="AN278" s="147"/>
      <c r="AO278" s="147"/>
      <c r="AP278" s="147"/>
      <c r="AQ278" s="147"/>
      <c r="AR278" s="147"/>
      <c r="AS278" s="147"/>
      <c r="AT278" s="147"/>
      <c r="AU278" s="147"/>
      <c r="AV278" s="147"/>
      <c r="AW278" s="147"/>
      <c r="AX278" s="147"/>
      <c r="AY278" s="147"/>
      <c r="AZ278" s="147"/>
      <c r="BA278" s="147"/>
      <c r="BB278" s="147"/>
      <c r="BC278" s="147"/>
      <c r="BD278" s="147"/>
      <c r="BE278" s="147"/>
      <c r="BF278" s="147"/>
      <c r="BG278" s="147"/>
      <c r="BH278" s="147"/>
      <c r="BI278" s="147"/>
      <c r="BJ278" s="147"/>
      <c r="BK278" s="147"/>
      <c r="BL278" s="147"/>
      <c r="BM278" s="147"/>
      <c r="BN278" s="147"/>
      <c r="BO278" s="147"/>
      <c r="BP278" s="147"/>
      <c r="BQ278" s="147"/>
      <c r="BR278" s="147"/>
      <c r="BS278" s="147"/>
      <c r="BT278" s="147"/>
      <c r="BU278" s="147"/>
      <c r="BV278" s="147"/>
      <c r="BW278" s="147"/>
      <c r="BX278" s="147"/>
      <c r="BY278" s="147"/>
      <c r="BZ278" s="147"/>
      <c r="CA278" s="147"/>
      <c r="CB278" s="147"/>
      <c r="CC278" s="147"/>
      <c r="CD278" s="147"/>
      <c r="CE278" s="147"/>
      <c r="CF278" s="147"/>
      <c r="CG278" s="147"/>
      <c r="CH278" s="147"/>
      <c r="CI278" s="147"/>
      <c r="CJ278" s="147"/>
      <c r="CK278" s="147"/>
      <c r="CL278" s="147"/>
      <c r="CM278" s="147"/>
      <c r="CN278" s="147"/>
      <c r="CO278" s="147"/>
      <c r="CP278" s="147"/>
      <c r="CQ278" s="147"/>
      <c r="CR278" s="147"/>
      <c r="CS278" s="147"/>
      <c r="CT278" s="147"/>
      <c r="CU278" s="147"/>
      <c r="CV278" s="147"/>
      <c r="CW278" s="147"/>
      <c r="CX278" s="147"/>
      <c r="CY278" s="147"/>
      <c r="CZ278" s="147"/>
      <c r="DA278" s="147"/>
      <c r="DB278" s="147"/>
      <c r="DC278" s="147"/>
      <c r="DD278" s="147"/>
      <c r="DE278" s="147"/>
      <c r="DF278" s="147"/>
      <c r="DG278" s="147"/>
      <c r="DH278" s="147"/>
      <c r="DI278" s="147"/>
      <c r="DJ278" s="147"/>
      <c r="DK278" s="147"/>
      <c r="DL278" s="147"/>
      <c r="DM278" s="147"/>
      <c r="DN278" s="147"/>
      <c r="DO278" s="147"/>
      <c r="DP278" s="147"/>
      <c r="DQ278" s="147"/>
      <c r="DR278" s="147"/>
      <c r="DS278" s="147"/>
      <c r="DT278" s="147"/>
      <c r="DU278" s="147"/>
      <c r="DV278" s="147"/>
      <c r="DW278" s="147"/>
      <c r="DX278" s="147"/>
      <c r="DY278" s="147"/>
      <c r="DZ278" s="147"/>
      <c r="EA278" s="147"/>
      <c r="EB278" s="147"/>
      <c r="EC278" s="147"/>
      <c r="ED278" s="147"/>
      <c r="EE278" s="147"/>
      <c r="EF278" s="147"/>
      <c r="EG278" s="147"/>
      <c r="EH278" s="147"/>
      <c r="EI278" s="147"/>
      <c r="EJ278" s="147"/>
      <c r="EK278" s="147"/>
      <c r="EL278" s="147"/>
      <c r="EM278" s="147"/>
      <c r="EN278" s="147"/>
      <c r="EO278" s="147"/>
      <c r="EP278" s="147"/>
      <c r="EQ278" s="147"/>
      <c r="ER278" s="147"/>
      <c r="ES278" s="147"/>
      <c r="ET278" s="147"/>
      <c r="EU278" s="147"/>
      <c r="EV278" s="147"/>
      <c r="EW278" s="147"/>
      <c r="EX278" s="147"/>
      <c r="EY278" s="147"/>
      <c r="EZ278" s="147"/>
      <c r="FA278" s="147"/>
      <c r="FB278" s="147"/>
      <c r="FC278" s="147"/>
      <c r="FD278" s="147"/>
      <c r="FE278" s="147"/>
      <c r="FF278" s="147"/>
      <c r="FG278" s="147"/>
      <c r="FH278" s="147"/>
      <c r="FI278" s="147"/>
      <c r="FJ278" s="147"/>
      <c r="FK278" s="147"/>
      <c r="FL278" s="147"/>
      <c r="FM278" s="147"/>
      <c r="FN278" s="147"/>
      <c r="FO278" s="147"/>
      <c r="FP278" s="147"/>
      <c r="FQ278" s="147"/>
      <c r="FR278" s="147"/>
      <c r="FS278" s="147"/>
      <c r="FT278" s="147"/>
      <c r="FU278" s="147"/>
      <c r="FV278" s="147"/>
      <c r="FW278" s="147"/>
      <c r="FX278" s="147"/>
      <c r="FY278" s="147"/>
      <c r="FZ278" s="147"/>
      <c r="GA278" s="147"/>
      <c r="GB278" s="147"/>
      <c r="GC278" s="147"/>
      <c r="GD278" s="147"/>
      <c r="GE278" s="147"/>
      <c r="GF278" s="147"/>
      <c r="GG278" s="147"/>
      <c r="GH278" s="147"/>
      <c r="GI278" s="147"/>
      <c r="GJ278" s="147"/>
      <c r="GK278" s="147"/>
      <c r="GL278" s="147"/>
      <c r="GM278" s="147"/>
      <c r="GN278" s="147"/>
      <c r="GO278" s="147"/>
      <c r="GP278" s="147"/>
      <c r="GQ278" s="147"/>
      <c r="GR278" s="147"/>
      <c r="GS278" s="147"/>
      <c r="GT278" s="147"/>
      <c r="GU278" s="147"/>
      <c r="GV278" s="147"/>
      <c r="GW278" s="147"/>
      <c r="GX278" s="147"/>
      <c r="GY278" s="147"/>
      <c r="GZ278" s="147"/>
      <c r="HA278" s="147"/>
      <c r="HB278" s="147"/>
      <c r="HC278" s="147"/>
      <c r="HD278" s="147"/>
      <c r="HE278" s="147"/>
      <c r="HF278" s="147"/>
      <c r="HG278" s="147"/>
      <c r="HH278" s="147"/>
      <c r="HI278" s="147"/>
      <c r="HJ278" s="147"/>
      <c r="HK278" s="147"/>
      <c r="HL278" s="147"/>
      <c r="HM278" s="147"/>
      <c r="HN278" s="147"/>
      <c r="HO278" s="147"/>
      <c r="HP278" s="147"/>
      <c r="HQ278" s="147"/>
      <c r="HR278" s="147"/>
      <c r="HS278" s="147"/>
      <c r="HT278" s="147"/>
      <c r="HU278" s="147"/>
      <c r="HV278" s="147"/>
      <c r="HW278" s="147"/>
      <c r="HX278" s="147"/>
      <c r="HY278" s="147"/>
      <c r="HZ278" s="147"/>
      <c r="IA278" s="147"/>
      <c r="IB278" s="147"/>
      <c r="IC278" s="147"/>
      <c r="ID278" s="147"/>
      <c r="IE278" s="147"/>
      <c r="IF278" s="147"/>
      <c r="IG278" s="147"/>
      <c r="IH278" s="147"/>
      <c r="II278" s="147"/>
      <c r="IJ278" s="147"/>
      <c r="IK278" s="147"/>
      <c r="IL278" s="147"/>
      <c r="IM278" s="147"/>
      <c r="IN278" s="147"/>
      <c r="IO278" s="147"/>
      <c r="IP278" s="147"/>
      <c r="IQ278" s="147"/>
      <c r="IR278" s="147"/>
      <c r="IS278" s="147"/>
      <c r="IT278" s="147"/>
      <c r="IU278" s="147"/>
      <c r="IV278" s="147"/>
      <c r="IW278" s="147"/>
      <c r="IX278" s="147"/>
      <c r="IY278" s="147"/>
      <c r="IZ278" s="147"/>
      <c r="JA278" s="147"/>
      <c r="JB278" s="147"/>
      <c r="JC278" s="147"/>
      <c r="JD278" s="147"/>
      <c r="JE278" s="147"/>
      <c r="JF278" s="147"/>
      <c r="JG278" s="147"/>
      <c r="JH278" s="147"/>
      <c r="JI278" s="147"/>
      <c r="JJ278" s="147"/>
      <c r="JK278" s="147"/>
      <c r="JL278" s="147"/>
      <c r="JM278" s="147"/>
      <c r="JN278" s="147"/>
      <c r="JO278" s="147"/>
      <c r="JP278" s="147"/>
      <c r="JQ278" s="147"/>
      <c r="JR278" s="147"/>
      <c r="JS278" s="147"/>
      <c r="JT278" s="147"/>
      <c r="JU278" s="147"/>
      <c r="JV278" s="147"/>
      <c r="JW278" s="147"/>
      <c r="JX278" s="147"/>
      <c r="JY278" s="147"/>
      <c r="JZ278" s="147"/>
      <c r="KA278" s="147"/>
      <c r="KB278" s="147"/>
      <c r="KC278" s="147"/>
      <c r="KD278" s="147"/>
      <c r="KE278" s="147"/>
      <c r="KF278" s="147"/>
      <c r="KG278" s="147"/>
      <c r="KH278" s="147"/>
      <c r="KI278" s="147"/>
      <c r="KJ278" s="147"/>
      <c r="KK278" s="147"/>
      <c r="KL278" s="147"/>
      <c r="KM278" s="147"/>
      <c r="KN278" s="147"/>
      <c r="KO278" s="147"/>
      <c r="KP278" s="147"/>
      <c r="KQ278" s="147"/>
      <c r="KR278" s="147"/>
      <c r="KS278" s="147"/>
      <c r="KT278" s="147"/>
      <c r="KU278" s="147"/>
      <c r="KV278" s="147"/>
      <c r="KW278" s="147"/>
      <c r="KX278" s="147"/>
      <c r="KY278" s="147"/>
      <c r="KZ278" s="147"/>
      <c r="LA278" s="147"/>
      <c r="LB278" s="147"/>
      <c r="LC278" s="147"/>
      <c r="LD278" s="147"/>
      <c r="LE278" s="147"/>
      <c r="LF278" s="147"/>
      <c r="LG278" s="147"/>
      <c r="LH278" s="147"/>
      <c r="LI278" s="147"/>
      <c r="LJ278" s="147"/>
      <c r="LK278" s="147"/>
      <c r="LL278" s="147"/>
      <c r="LM278" s="147"/>
      <c r="LN278" s="147"/>
      <c r="LO278" s="147"/>
      <c r="LP278" s="147"/>
      <c r="LQ278" s="147"/>
      <c r="LR278" s="147"/>
      <c r="LS278" s="147"/>
      <c r="LT278" s="147"/>
      <c r="LU278" s="147"/>
      <c r="LV278" s="147"/>
      <c r="LW278" s="147"/>
      <c r="LX278" s="147"/>
      <c r="LY278" s="147"/>
      <c r="LZ278" s="147"/>
      <c r="MA278" s="147"/>
      <c r="MB278" s="147"/>
      <c r="MC278" s="147"/>
      <c r="MD278" s="147"/>
      <c r="ME278" s="147"/>
      <c r="MF278" s="147"/>
      <c r="MG278" s="147"/>
      <c r="MH278" s="147"/>
      <c r="MI278" s="147"/>
      <c r="MJ278" s="147"/>
      <c r="MK278" s="147"/>
      <c r="ML278" s="147"/>
      <c r="MM278" s="147"/>
      <c r="MN278" s="147"/>
      <c r="MO278" s="147"/>
      <c r="MP278" s="147"/>
      <c r="MQ278" s="147"/>
      <c r="MR278" s="147"/>
      <c r="MS278" s="147"/>
      <c r="MT278" s="147"/>
      <c r="MU278" s="147"/>
      <c r="MV278" s="147"/>
      <c r="MW278" s="147"/>
      <c r="MX278" s="147"/>
      <c r="MY278" s="147"/>
      <c r="MZ278" s="147"/>
      <c r="NA278" s="147"/>
      <c r="NB278" s="147"/>
      <c r="NC278" s="147"/>
      <c r="ND278" s="147"/>
      <c r="NE278" s="147"/>
      <c r="NF278" s="147"/>
      <c r="NG278" s="147"/>
      <c r="NH278" s="147"/>
      <c r="NI278" s="147"/>
      <c r="NJ278" s="147"/>
      <c r="NK278" s="147"/>
      <c r="NL278" s="147"/>
      <c r="NM278" s="147"/>
      <c r="NN278" s="147"/>
      <c r="NO278" s="147"/>
      <c r="NP278" s="147"/>
      <c r="NQ278" s="147"/>
      <c r="NR278" s="147"/>
      <c r="NS278" s="147"/>
      <c r="NT278" s="147"/>
      <c r="NU278" s="147"/>
      <c r="NV278" s="147"/>
      <c r="NW278" s="147"/>
      <c r="NX278" s="147"/>
      <c r="NY278" s="147"/>
      <c r="NZ278" s="147"/>
      <c r="OA278" s="147"/>
      <c r="OB278" s="147"/>
      <c r="OC278" s="147"/>
      <c r="OD278" s="147"/>
      <c r="OE278" s="147"/>
      <c r="OF278" s="147"/>
      <c r="OG278" s="147"/>
      <c r="OH278" s="147"/>
      <c r="OI278" s="147"/>
      <c r="OJ278" s="147"/>
      <c r="OK278" s="147"/>
      <c r="OL278" s="147"/>
      <c r="OM278" s="147"/>
      <c r="ON278" s="147"/>
      <c r="OO278" s="147"/>
      <c r="OP278" s="147"/>
      <c r="OQ278" s="147"/>
      <c r="OR278" s="147"/>
      <c r="OS278" s="147"/>
      <c r="OT278" s="147"/>
      <c r="OU278" s="147"/>
      <c r="OV278" s="147"/>
      <c r="OW278" s="147"/>
      <c r="OX278" s="147"/>
      <c r="OY278" s="147"/>
      <c r="OZ278" s="147"/>
      <c r="PA278" s="147"/>
      <c r="PB278" s="147"/>
      <c r="PC278" s="147"/>
      <c r="PD278" s="147"/>
      <c r="PE278" s="147"/>
      <c r="PF278" s="147"/>
      <c r="PG278" s="147"/>
      <c r="PH278" s="147"/>
      <c r="PI278" s="147"/>
      <c r="PJ278" s="147"/>
      <c r="PK278" s="147"/>
      <c r="PL278" s="147"/>
      <c r="PM278" s="147"/>
      <c r="PN278" s="147"/>
      <c r="PO278" s="147"/>
      <c r="PP278" s="147"/>
      <c r="PQ278" s="147"/>
      <c r="PR278" s="147"/>
      <c r="PS278" s="147"/>
      <c r="PT278" s="147"/>
      <c r="PU278" s="147"/>
      <c r="PV278" s="147"/>
      <c r="PW278" s="147"/>
      <c r="PX278" s="147"/>
      <c r="PY278" s="147"/>
      <c r="PZ278" s="147"/>
      <c r="QA278" s="147"/>
      <c r="QB278" s="147"/>
      <c r="QC278" s="147"/>
      <c r="QD278" s="147"/>
      <c r="QE278" s="147"/>
      <c r="QF278" s="147"/>
      <c r="QG278" s="147"/>
      <c r="QH278" s="147"/>
      <c r="QI278" s="147"/>
      <c r="QJ278" s="147"/>
      <c r="QK278" s="147"/>
      <c r="QL278" s="147"/>
      <c r="QM278" s="147"/>
      <c r="QN278" s="147"/>
      <c r="QO278" s="147"/>
      <c r="QP278" s="147"/>
      <c r="QQ278" s="147"/>
      <c r="QR278" s="147"/>
      <c r="QS278" s="147"/>
      <c r="QT278" s="147"/>
      <c r="QU278" s="147"/>
      <c r="QV278" s="147"/>
      <c r="QW278" s="147"/>
      <c r="QX278" s="147"/>
      <c r="QY278" s="147"/>
      <c r="QZ278" s="147"/>
      <c r="RA278" s="147"/>
      <c r="RB278" s="147"/>
      <c r="RC278" s="147"/>
      <c r="RD278" s="147"/>
      <c r="RE278" s="147"/>
      <c r="RF278" s="147"/>
      <c r="RG278" s="147"/>
      <c r="RH278" s="147"/>
      <c r="RI278" s="147"/>
      <c r="RJ278" s="147"/>
      <c r="RK278" s="147"/>
      <c r="RL278" s="147"/>
      <c r="RM278" s="147"/>
      <c r="RN278" s="147"/>
      <c r="RO278" s="147"/>
      <c r="RP278" s="147"/>
      <c r="RQ278" s="147"/>
      <c r="RR278" s="147"/>
      <c r="RS278" s="147"/>
      <c r="RT278" s="147"/>
      <c r="RU278" s="147"/>
      <c r="RV278" s="147"/>
      <c r="RW278" s="147"/>
      <c r="RX278" s="147"/>
      <c r="RY278" s="147"/>
      <c r="RZ278" s="147"/>
      <c r="SA278" s="147"/>
      <c r="SB278" s="147"/>
      <c r="SC278" s="147"/>
      <c r="SD278" s="147"/>
      <c r="SE278" s="147"/>
      <c r="SF278" s="147"/>
      <c r="SG278" s="147"/>
      <c r="SH278" s="147"/>
      <c r="SI278" s="147"/>
      <c r="SJ278" s="147"/>
      <c r="SK278" s="147"/>
      <c r="SL278" s="147"/>
      <c r="SM278" s="147"/>
      <c r="SN278" s="147"/>
      <c r="SO278" s="147"/>
      <c r="SP278" s="147"/>
      <c r="SQ278" s="147"/>
      <c r="SR278" s="147"/>
      <c r="SS278" s="147"/>
      <c r="ST278" s="147"/>
      <c r="SU278" s="147"/>
      <c r="SV278" s="147"/>
      <c r="SW278" s="147"/>
      <c r="SX278" s="147"/>
      <c r="SY278" s="147"/>
      <c r="SZ278" s="147"/>
      <c r="TA278" s="147"/>
      <c r="TB278" s="147"/>
      <c r="TC278" s="147"/>
      <c r="TD278" s="147"/>
      <c r="TE278" s="147"/>
      <c r="TF278" s="147"/>
      <c r="TG278" s="147"/>
      <c r="TH278" s="147"/>
      <c r="TI278" s="147"/>
      <c r="TJ278" s="147"/>
      <c r="TK278" s="147"/>
      <c r="TL278" s="147"/>
      <c r="TM278" s="147"/>
      <c r="TN278" s="147"/>
      <c r="TO278" s="147"/>
      <c r="TP278" s="147"/>
      <c r="TQ278" s="147"/>
      <c r="TR278" s="147"/>
      <c r="TS278" s="147"/>
      <c r="TT278" s="147"/>
      <c r="TU278" s="147"/>
      <c r="TV278" s="147"/>
      <c r="TW278" s="147"/>
      <c r="TX278" s="147"/>
      <c r="TY278" s="147"/>
      <c r="TZ278" s="147"/>
      <c r="UA278" s="147"/>
      <c r="UB278" s="147"/>
      <c r="UC278" s="147"/>
      <c r="UD278" s="147"/>
      <c r="UE278" s="147"/>
      <c r="UF278" s="147"/>
      <c r="UG278" s="147"/>
      <c r="UH278" s="147"/>
      <c r="UI278" s="147"/>
      <c r="UJ278" s="147"/>
      <c r="UK278" s="147"/>
      <c r="UL278" s="147"/>
      <c r="UM278" s="147"/>
      <c r="UN278" s="147"/>
      <c r="UO278" s="147"/>
      <c r="UP278" s="147"/>
      <c r="UQ278" s="147"/>
      <c r="UR278" s="147"/>
      <c r="US278" s="147"/>
      <c r="UT278" s="147"/>
      <c r="UU278" s="147"/>
      <c r="UV278" s="147"/>
      <c r="UW278" s="147"/>
      <c r="UX278" s="147"/>
      <c r="UY278" s="147"/>
      <c r="UZ278" s="147"/>
      <c r="VA278" s="147"/>
      <c r="VB278" s="147"/>
      <c r="VC278" s="147"/>
      <c r="VD278" s="147"/>
      <c r="VE278" s="147"/>
      <c r="VF278" s="147"/>
      <c r="VG278" s="147"/>
      <c r="VH278" s="147"/>
      <c r="VI278" s="147"/>
      <c r="VJ278" s="147"/>
      <c r="VK278" s="147"/>
      <c r="VL278" s="147"/>
      <c r="VM278" s="147"/>
      <c r="VN278" s="147"/>
      <c r="VO278" s="147"/>
      <c r="VP278" s="147"/>
      <c r="VQ278" s="147"/>
      <c r="VR278" s="147"/>
      <c r="VS278" s="147"/>
      <c r="VT278" s="147"/>
      <c r="VU278" s="147"/>
      <c r="VV278" s="147"/>
      <c r="VW278" s="147"/>
      <c r="VX278" s="147"/>
      <c r="VY278" s="147"/>
      <c r="VZ278" s="147"/>
      <c r="WA278" s="147"/>
      <c r="WB278" s="147"/>
      <c r="WC278" s="147"/>
      <c r="WD278" s="147"/>
      <c r="WE278" s="147"/>
      <c r="WF278" s="147"/>
      <c r="WG278" s="147"/>
      <c r="WH278" s="147"/>
      <c r="WI278" s="147"/>
      <c r="WJ278" s="147"/>
      <c r="WK278" s="147"/>
      <c r="WL278" s="147"/>
      <c r="WM278" s="147"/>
      <c r="WN278" s="147"/>
      <c r="WO278" s="147"/>
      <c r="WP278" s="147"/>
      <c r="WQ278" s="147"/>
      <c r="WR278" s="147"/>
      <c r="WS278" s="147"/>
      <c r="WT278" s="147"/>
      <c r="WU278" s="147"/>
      <c r="WV278" s="147"/>
      <c r="WW278" s="147"/>
      <c r="WX278" s="147"/>
      <c r="WY278" s="147"/>
      <c r="WZ278" s="147"/>
      <c r="XA278" s="147"/>
      <c r="XB278" s="147"/>
      <c r="XC278" s="147"/>
      <c r="XD278" s="147"/>
      <c r="XE278" s="147"/>
      <c r="XF278" s="147"/>
      <c r="XG278" s="147"/>
      <c r="XH278" s="147"/>
      <c r="XI278" s="147"/>
      <c r="XJ278" s="147"/>
      <c r="XK278" s="147"/>
      <c r="XL278" s="147"/>
      <c r="XM278" s="147"/>
      <c r="XN278" s="147"/>
      <c r="XO278" s="147"/>
      <c r="XP278" s="147"/>
      <c r="XQ278" s="147"/>
      <c r="XR278" s="147"/>
      <c r="XS278" s="147"/>
      <c r="XT278" s="147"/>
      <c r="XU278" s="147"/>
      <c r="XV278" s="147"/>
      <c r="XW278" s="147"/>
      <c r="XX278" s="147"/>
      <c r="XY278" s="147"/>
      <c r="XZ278" s="147"/>
      <c r="YA278" s="147"/>
      <c r="YB278" s="147"/>
      <c r="YC278" s="147"/>
      <c r="YD278" s="147"/>
      <c r="YE278" s="147"/>
      <c r="YF278" s="147"/>
      <c r="YG278" s="147"/>
      <c r="YH278" s="147"/>
      <c r="YI278" s="147"/>
      <c r="YJ278" s="147"/>
      <c r="YK278" s="147"/>
      <c r="YL278" s="147"/>
      <c r="YM278" s="147"/>
      <c r="YN278" s="147"/>
      <c r="YO278" s="147"/>
      <c r="YP278" s="147"/>
      <c r="YQ278" s="147"/>
      <c r="YR278" s="147"/>
      <c r="YS278" s="147"/>
      <c r="YT278" s="147"/>
      <c r="YU278" s="147"/>
      <c r="YV278" s="147"/>
      <c r="YW278" s="147"/>
      <c r="YX278" s="147"/>
      <c r="YY278" s="147"/>
      <c r="YZ278" s="147"/>
      <c r="ZA278" s="147"/>
      <c r="ZB278" s="147"/>
      <c r="ZC278" s="147"/>
      <c r="ZD278" s="147"/>
      <c r="ZE278" s="147"/>
      <c r="ZF278" s="147"/>
      <c r="ZG278" s="147"/>
      <c r="ZH278" s="147"/>
      <c r="ZI278" s="147"/>
      <c r="ZJ278" s="147"/>
      <c r="ZK278" s="147"/>
      <c r="ZL278" s="147"/>
      <c r="ZM278" s="147"/>
      <c r="ZN278" s="147"/>
      <c r="ZO278" s="147"/>
      <c r="ZP278" s="147"/>
      <c r="ZQ278" s="147"/>
      <c r="ZR278" s="147"/>
      <c r="ZS278" s="147"/>
      <c r="ZT278" s="147"/>
      <c r="ZU278" s="147"/>
      <c r="ZV278" s="147"/>
      <c r="ZW278" s="147"/>
      <c r="ZX278" s="147"/>
      <c r="ZY278" s="147"/>
      <c r="ZZ278" s="147"/>
      <c r="AAA278" s="147"/>
      <c r="AAB278" s="147"/>
      <c r="AAC278" s="147"/>
      <c r="AAD278" s="147"/>
      <c r="AAE278" s="147"/>
      <c r="AAF278" s="147"/>
      <c r="AAG278" s="147"/>
      <c r="AAH278" s="147"/>
      <c r="AAI278" s="147"/>
      <c r="AAJ278" s="147"/>
      <c r="AAK278" s="147"/>
      <c r="AAL278" s="147"/>
      <c r="AAM278" s="147"/>
      <c r="AAN278" s="147"/>
      <c r="AAO278" s="147"/>
      <c r="AAP278" s="147"/>
      <c r="AAQ278" s="147"/>
      <c r="AAR278" s="147"/>
      <c r="AAS278" s="147"/>
      <c r="AAT278" s="147"/>
      <c r="AAU278" s="147"/>
      <c r="AAV278" s="147"/>
      <c r="AAW278" s="147"/>
      <c r="AAX278" s="147"/>
      <c r="AAY278" s="147"/>
      <c r="AAZ278" s="147"/>
      <c r="ABA278" s="147"/>
      <c r="ABB278" s="147"/>
      <c r="ABC278" s="147"/>
      <c r="ABD278" s="147"/>
      <c r="ABE278" s="147"/>
      <c r="ABF278" s="147"/>
      <c r="ABG278" s="147"/>
      <c r="ABH278" s="147"/>
      <c r="ABI278" s="147"/>
      <c r="ABJ278" s="147"/>
      <c r="ABK278" s="147"/>
      <c r="ABL278" s="147"/>
      <c r="ABM278" s="147"/>
      <c r="ABN278" s="147"/>
      <c r="ABO278" s="147"/>
      <c r="ABP278" s="147"/>
      <c r="ABQ278" s="147"/>
      <c r="ABR278" s="147"/>
      <c r="ABS278" s="147"/>
      <c r="ABT278" s="147"/>
      <c r="ABU278" s="147"/>
      <c r="ABV278" s="147"/>
      <c r="ABW278" s="147"/>
      <c r="ABX278" s="147"/>
      <c r="ABY278" s="147"/>
      <c r="ABZ278" s="147"/>
      <c r="ACA278" s="147"/>
      <c r="ACB278" s="147"/>
      <c r="ACC278" s="147"/>
      <c r="ACD278" s="147"/>
      <c r="ACE278" s="147"/>
      <c r="ACF278" s="147"/>
      <c r="ACG278" s="147"/>
      <c r="ACH278" s="147"/>
      <c r="ACI278" s="147"/>
      <c r="ACJ278" s="147"/>
      <c r="ACK278" s="147"/>
      <c r="ACL278" s="147"/>
      <c r="ACM278" s="147"/>
      <c r="ACN278" s="147"/>
      <c r="ACO278" s="147"/>
      <c r="ACP278" s="147"/>
      <c r="ACQ278" s="147"/>
      <c r="ACR278" s="147"/>
      <c r="ACS278" s="147"/>
      <c r="ACT278" s="147"/>
      <c r="ACU278" s="147"/>
      <c r="ACV278" s="147"/>
      <c r="ACW278" s="147"/>
      <c r="ACX278" s="147"/>
      <c r="ACY278" s="147"/>
      <c r="ACZ278" s="147"/>
      <c r="ADA278" s="147"/>
      <c r="ADB278" s="147"/>
      <c r="ADC278" s="147"/>
      <c r="ADD278" s="147"/>
      <c r="ADE278" s="147"/>
      <c r="ADF278" s="147"/>
      <c r="ADG278" s="147"/>
      <c r="ADH278" s="147"/>
      <c r="ADI278" s="147"/>
      <c r="ADJ278" s="147"/>
      <c r="ADK278" s="147"/>
      <c r="ADL278" s="147"/>
      <c r="ADM278" s="147"/>
      <c r="ADN278" s="147"/>
      <c r="ADO278" s="147"/>
      <c r="ADP278" s="147"/>
      <c r="ADQ278" s="147"/>
      <c r="ADR278" s="147"/>
      <c r="ADS278" s="147"/>
      <c r="ADT278" s="147"/>
      <c r="ADU278" s="147"/>
      <c r="ADV278" s="147"/>
      <c r="ADW278" s="147"/>
      <c r="ADX278" s="147"/>
      <c r="ADY278" s="147"/>
      <c r="ADZ278" s="147"/>
      <c r="AEA278" s="147"/>
      <c r="AEB278" s="147"/>
      <c r="AEC278" s="147"/>
      <c r="AED278" s="147"/>
      <c r="AEE278" s="147"/>
      <c r="AEF278" s="147"/>
      <c r="AEG278" s="147"/>
      <c r="AEH278" s="147"/>
      <c r="AEI278" s="147"/>
      <c r="AEJ278" s="147"/>
      <c r="AEK278" s="147"/>
      <c r="AEL278" s="147"/>
      <c r="AEM278" s="147"/>
      <c r="AEN278" s="147"/>
      <c r="AEO278" s="147"/>
      <c r="AEP278" s="147"/>
      <c r="AEQ278" s="147"/>
      <c r="AER278" s="147"/>
      <c r="AES278" s="147"/>
      <c r="AET278" s="147"/>
      <c r="AEU278" s="147"/>
      <c r="AEV278" s="147"/>
      <c r="AEW278" s="147"/>
      <c r="AEX278" s="147"/>
      <c r="AEY278" s="147"/>
      <c r="AEZ278" s="147"/>
      <c r="AFA278" s="147"/>
      <c r="AFB278" s="147"/>
      <c r="AFC278" s="147"/>
      <c r="AFD278" s="147"/>
      <c r="AFE278" s="147"/>
      <c r="AFF278" s="147"/>
      <c r="AFG278" s="147"/>
      <c r="AFH278" s="147"/>
      <c r="AFI278" s="147"/>
      <c r="AFJ278" s="147"/>
      <c r="AFK278" s="147"/>
      <c r="AFL278" s="147"/>
      <c r="AFM278" s="147"/>
      <c r="AFN278" s="147"/>
      <c r="AFO278" s="147"/>
      <c r="AFP278" s="147"/>
      <c r="AFQ278" s="147"/>
      <c r="AFR278" s="147"/>
      <c r="AFS278" s="147"/>
      <c r="AFT278" s="147"/>
      <c r="AFU278" s="147"/>
      <c r="AFV278" s="147"/>
      <c r="AFW278" s="147"/>
      <c r="AFX278" s="147"/>
      <c r="AFY278" s="147"/>
      <c r="AFZ278" s="147"/>
      <c r="AGA278" s="147"/>
      <c r="AGB278" s="147"/>
      <c r="AGC278" s="147"/>
      <c r="AGD278" s="147"/>
      <c r="AGE278" s="147"/>
      <c r="AGF278" s="147"/>
      <c r="AGG278" s="147"/>
      <c r="AGH278" s="147"/>
      <c r="AGI278" s="147"/>
      <c r="AGJ278" s="147"/>
      <c r="AGK278" s="147"/>
      <c r="AGL278" s="147"/>
      <c r="AGM278" s="147"/>
      <c r="AGN278" s="147"/>
      <c r="AGO278" s="147"/>
      <c r="AGP278" s="147"/>
      <c r="AGQ278" s="147"/>
      <c r="AGR278" s="147"/>
      <c r="AGS278" s="147"/>
      <c r="AGT278" s="147"/>
      <c r="AGU278" s="147"/>
      <c r="AGV278" s="147"/>
      <c r="AGW278" s="147"/>
      <c r="AGX278" s="147"/>
      <c r="AGY278" s="147"/>
      <c r="AGZ278" s="147"/>
      <c r="AHA278" s="147"/>
      <c r="AHB278" s="147"/>
      <c r="AHC278" s="147"/>
      <c r="AHD278" s="147"/>
      <c r="AHE278" s="147"/>
      <c r="AHF278" s="147"/>
      <c r="AHG278" s="147"/>
      <c r="AHH278" s="147"/>
      <c r="AHI278" s="147"/>
      <c r="AHJ278" s="147"/>
      <c r="AHK278" s="147"/>
      <c r="AHL278" s="147"/>
      <c r="AHM278" s="147"/>
      <c r="AHN278" s="147"/>
      <c r="AHO278" s="147"/>
      <c r="AHP278" s="147"/>
      <c r="AHQ278" s="147"/>
      <c r="AHR278" s="147"/>
      <c r="AHS278" s="147"/>
      <c r="AHT278" s="147"/>
      <c r="AHU278" s="147"/>
      <c r="AHV278" s="147"/>
      <c r="AHW278" s="147"/>
      <c r="AHX278" s="147"/>
      <c r="AHY278" s="147"/>
      <c r="AHZ278" s="147"/>
      <c r="AIA278" s="147"/>
      <c r="AIB278" s="147"/>
      <c r="AIC278" s="147"/>
      <c r="AID278" s="147"/>
      <c r="AIE278" s="147"/>
      <c r="AIF278" s="147"/>
      <c r="AIG278" s="147"/>
      <c r="AIH278" s="147"/>
      <c r="AII278" s="147"/>
      <c r="AIJ278" s="147"/>
      <c r="AIK278" s="147"/>
      <c r="AIL278" s="147"/>
      <c r="AIM278" s="147"/>
      <c r="AIN278" s="147"/>
      <c r="AIO278" s="147"/>
      <c r="AIP278" s="147"/>
      <c r="AIQ278" s="147"/>
      <c r="AIR278" s="147"/>
      <c r="AIS278" s="147"/>
      <c r="AIT278" s="147"/>
      <c r="AIU278" s="147"/>
      <c r="AIV278" s="147"/>
      <c r="AIW278" s="147"/>
      <c r="AIX278" s="147"/>
      <c r="AIY278" s="147"/>
      <c r="AIZ278" s="147"/>
      <c r="AJA278" s="147"/>
      <c r="AJB278" s="147"/>
      <c r="AJC278" s="147"/>
      <c r="AJD278" s="147"/>
      <c r="AJE278" s="147"/>
      <c r="AJF278" s="147"/>
      <c r="AJG278" s="147"/>
      <c r="AJH278" s="147"/>
      <c r="AJI278" s="147"/>
      <c r="AJJ278" s="147"/>
      <c r="AJK278" s="147"/>
      <c r="AJL278" s="147"/>
      <c r="AJM278" s="147"/>
      <c r="AJN278" s="147"/>
      <c r="AJO278" s="147"/>
      <c r="AJP278" s="147"/>
      <c r="AJQ278" s="147"/>
      <c r="AJR278" s="147"/>
      <c r="AJS278" s="147"/>
      <c r="AJT278" s="147"/>
      <c r="AJU278" s="147"/>
      <c r="AJV278" s="147"/>
      <c r="AJW278" s="147"/>
      <c r="AJX278" s="147"/>
      <c r="AJY278" s="147"/>
      <c r="AJZ278" s="147"/>
      <c r="AKA278" s="147"/>
      <c r="AKB278" s="147"/>
      <c r="AKC278" s="147"/>
      <c r="AKD278" s="147"/>
      <c r="AKE278" s="147"/>
      <c r="AKF278" s="147"/>
      <c r="AKG278" s="147"/>
      <c r="AKH278" s="147"/>
      <c r="AKI278" s="147"/>
      <c r="AKJ278" s="147"/>
      <c r="AKK278" s="147"/>
      <c r="AKL278" s="147"/>
      <c r="AKM278" s="147"/>
      <c r="AKN278" s="147"/>
      <c r="AKO278" s="147"/>
      <c r="AKP278" s="147"/>
      <c r="AKQ278" s="147"/>
      <c r="AKR278" s="147"/>
      <c r="AKS278" s="147"/>
      <c r="AKT278" s="147"/>
      <c r="AKU278" s="147"/>
      <c r="AKV278" s="147"/>
      <c r="AKW278" s="147"/>
      <c r="AKX278" s="147"/>
      <c r="AKY278" s="147"/>
      <c r="AKZ278" s="147"/>
      <c r="ALA278" s="147"/>
      <c r="ALB278" s="147"/>
      <c r="ALC278" s="147"/>
      <c r="ALD278" s="147"/>
      <c r="ALE278" s="147"/>
      <c r="ALF278" s="147"/>
      <c r="ALG278" s="147"/>
      <c r="ALH278" s="147"/>
      <c r="ALI278" s="147"/>
      <c r="ALJ278" s="147"/>
      <c r="ALK278" s="147"/>
      <c r="ALL278" s="147"/>
      <c r="ALM278" s="147"/>
      <c r="ALN278" s="147"/>
      <c r="ALO278" s="147"/>
      <c r="ALP278" s="147"/>
      <c r="ALQ278" s="147"/>
      <c r="ALR278" s="147"/>
      <c r="ALS278" s="147"/>
      <c r="ALT278" s="147"/>
      <c r="ALU278" s="147"/>
      <c r="ALV278" s="147"/>
      <c r="ALW278" s="147"/>
      <c r="ALX278" s="147"/>
      <c r="ALY278" s="147"/>
      <c r="ALZ278" s="147"/>
      <c r="AMA278" s="147"/>
      <c r="AMB278" s="147"/>
      <c r="AMC278" s="147"/>
      <c r="AMD278" s="147"/>
      <c r="AME278" s="147"/>
      <c r="AMF278" s="147"/>
      <c r="AMG278" s="147"/>
      <c r="AMH278" s="147"/>
      <c r="AMI278" s="147"/>
      <c r="AMJ278" s="147"/>
      <c r="AMK278" s="147"/>
      <c r="AML278" s="147"/>
      <c r="AMM278" s="147"/>
      <c r="AMN278" s="147"/>
      <c r="AMO278" s="147"/>
      <c r="AMP278" s="147"/>
      <c r="AMQ278" s="147"/>
      <c r="AMR278" s="147"/>
      <c r="AMS278" s="147"/>
      <c r="AMT278" s="147"/>
      <c r="AMU278" s="147"/>
      <c r="AMV278" s="147"/>
      <c r="AMW278" s="147"/>
      <c r="AMX278" s="147"/>
      <c r="AMY278" s="147"/>
      <c r="AMZ278" s="147"/>
      <c r="ANA278" s="147"/>
      <c r="ANB278" s="147"/>
      <c r="ANC278" s="147"/>
      <c r="AND278" s="147"/>
      <c r="ANE278" s="147"/>
      <c r="ANF278" s="147"/>
      <c r="ANG278" s="147"/>
      <c r="ANH278" s="147"/>
      <c r="ANI278" s="147"/>
      <c r="ANJ278" s="147"/>
      <c r="ANK278" s="147"/>
      <c r="ANL278" s="147"/>
      <c r="ANM278" s="147"/>
      <c r="ANN278" s="147"/>
      <c r="ANO278" s="147"/>
      <c r="ANP278" s="147"/>
      <c r="ANQ278" s="147"/>
      <c r="ANR278" s="147"/>
      <c r="ANS278" s="147"/>
      <c r="ANT278" s="147"/>
      <c r="ANU278" s="147"/>
      <c r="ANV278" s="147"/>
      <c r="ANW278" s="147"/>
      <c r="ANX278" s="147"/>
      <c r="ANY278" s="147"/>
      <c r="ANZ278" s="147"/>
      <c r="AOA278" s="147"/>
      <c r="AOB278" s="147"/>
      <c r="AOC278" s="147"/>
      <c r="AOD278" s="147"/>
      <c r="AOE278" s="147"/>
      <c r="AOF278" s="147"/>
      <c r="AOG278" s="147"/>
      <c r="AOH278" s="147"/>
      <c r="AOI278" s="147"/>
      <c r="AOJ278" s="147"/>
      <c r="AOK278" s="147"/>
      <c r="AOL278" s="147"/>
      <c r="AOM278" s="147"/>
      <c r="AON278" s="147"/>
      <c r="AOO278" s="147"/>
      <c r="AOP278" s="147"/>
      <c r="AOQ278" s="147"/>
      <c r="AOR278" s="147"/>
      <c r="AOS278" s="147"/>
      <c r="AOT278" s="147"/>
      <c r="AOU278" s="147"/>
      <c r="AOV278" s="147"/>
      <c r="AOW278" s="147"/>
      <c r="AOX278" s="147"/>
      <c r="AOY278" s="147"/>
      <c r="AOZ278" s="147"/>
      <c r="APA278" s="147"/>
      <c r="APB278" s="147"/>
      <c r="APC278" s="147"/>
      <c r="APD278" s="147"/>
      <c r="APE278" s="147"/>
      <c r="APF278" s="147"/>
      <c r="APG278" s="147"/>
      <c r="APH278" s="147"/>
      <c r="API278" s="147"/>
      <c r="APJ278" s="147"/>
      <c r="APK278" s="147"/>
      <c r="APL278" s="147"/>
      <c r="APM278" s="147"/>
      <c r="APN278" s="147"/>
      <c r="APO278" s="147"/>
      <c r="APP278" s="147"/>
      <c r="APQ278" s="147"/>
      <c r="APR278" s="147"/>
      <c r="APS278" s="147"/>
      <c r="APT278" s="147"/>
      <c r="APU278" s="147"/>
      <c r="APV278" s="147"/>
      <c r="APW278" s="147"/>
      <c r="APX278" s="147"/>
      <c r="APY278" s="147"/>
      <c r="APZ278" s="147"/>
      <c r="AQA278" s="147"/>
      <c r="AQB278" s="147"/>
      <c r="AQC278" s="147"/>
      <c r="AQD278" s="147"/>
      <c r="AQE278" s="147"/>
      <c r="AQF278" s="147"/>
      <c r="AQG278" s="147"/>
      <c r="AQH278" s="147"/>
      <c r="AQI278" s="147"/>
      <c r="AQJ278" s="147"/>
      <c r="AQK278" s="147"/>
      <c r="AQL278" s="147"/>
      <c r="AQM278" s="147"/>
      <c r="AQN278" s="147"/>
      <c r="AQO278" s="147"/>
      <c r="AQP278" s="147"/>
      <c r="AQQ278" s="147"/>
      <c r="AQR278" s="147"/>
      <c r="AQS278" s="147"/>
      <c r="AQT278" s="147"/>
      <c r="AQU278" s="147"/>
      <c r="AQV278" s="147"/>
      <c r="AQW278" s="147"/>
      <c r="AQX278" s="147"/>
      <c r="AQY278" s="147"/>
      <c r="AQZ278" s="147"/>
      <c r="ARA278" s="147"/>
      <c r="ARB278" s="147"/>
      <c r="ARC278" s="147"/>
      <c r="ARD278" s="147"/>
      <c r="ARE278" s="147"/>
      <c r="ARF278" s="147"/>
      <c r="ARG278" s="147"/>
      <c r="ARH278" s="147"/>
      <c r="ARI278" s="147"/>
      <c r="ARJ278" s="147"/>
      <c r="ARK278" s="147"/>
      <c r="ARL278" s="147"/>
      <c r="ARM278" s="147"/>
      <c r="ARN278" s="147"/>
      <c r="ARO278" s="147"/>
      <c r="ARP278" s="147"/>
      <c r="ARQ278" s="147"/>
      <c r="ARR278" s="147"/>
      <c r="ARS278" s="147"/>
      <c r="ART278" s="147"/>
      <c r="ARU278" s="147"/>
      <c r="ARV278" s="147"/>
      <c r="ARW278" s="147"/>
      <c r="ARX278" s="147"/>
      <c r="ARY278" s="147"/>
      <c r="ARZ278" s="147"/>
      <c r="ASA278" s="147"/>
      <c r="ASB278" s="147"/>
      <c r="ASC278" s="147"/>
      <c r="ASD278" s="147"/>
      <c r="ASE278" s="147"/>
      <c r="ASF278" s="147"/>
      <c r="ASG278" s="147"/>
      <c r="ASH278" s="147"/>
      <c r="ASI278" s="147"/>
      <c r="ASJ278" s="147"/>
      <c r="ASK278" s="147"/>
      <c r="ASL278" s="147"/>
      <c r="ASM278" s="147"/>
      <c r="ASN278" s="147"/>
      <c r="ASO278" s="147"/>
      <c r="ASP278" s="147"/>
      <c r="ASQ278" s="147"/>
      <c r="ASR278" s="147"/>
      <c r="ASS278" s="147"/>
      <c r="AST278" s="147"/>
      <c r="ASU278" s="147"/>
      <c r="ASV278" s="147"/>
      <c r="ASW278" s="147"/>
      <c r="ASX278" s="147"/>
      <c r="ASY278" s="147"/>
      <c r="ASZ278" s="147"/>
      <c r="ATA278" s="147"/>
      <c r="ATB278" s="147"/>
      <c r="ATC278" s="147"/>
      <c r="ATD278" s="147"/>
      <c r="ATE278" s="147"/>
      <c r="ATF278" s="147"/>
      <c r="ATG278" s="147"/>
      <c r="ATH278" s="147"/>
      <c r="ATI278" s="147"/>
      <c r="ATJ278" s="147"/>
      <c r="ATK278" s="147"/>
      <c r="ATL278" s="147"/>
      <c r="ATM278" s="147"/>
      <c r="ATN278" s="147"/>
      <c r="ATO278" s="147"/>
      <c r="ATP278" s="147"/>
      <c r="ATQ278" s="147"/>
      <c r="ATR278" s="147"/>
      <c r="ATS278" s="147"/>
      <c r="ATT278" s="147"/>
      <c r="ATU278" s="147"/>
      <c r="ATV278" s="147"/>
      <c r="ATW278" s="147"/>
      <c r="ATX278" s="147"/>
      <c r="ATY278" s="147"/>
      <c r="ATZ278" s="147"/>
      <c r="AUA278" s="147"/>
      <c r="AUB278" s="147"/>
      <c r="AUC278" s="147"/>
      <c r="AUD278" s="147"/>
      <c r="AUE278" s="147"/>
      <c r="AUF278" s="147"/>
      <c r="AUG278" s="147"/>
      <c r="AUH278" s="147"/>
      <c r="AUI278" s="147"/>
      <c r="AUJ278" s="147"/>
      <c r="AUK278" s="147"/>
      <c r="AUL278" s="147"/>
      <c r="AUM278" s="147"/>
      <c r="AUN278" s="147"/>
      <c r="AUO278" s="147"/>
      <c r="AUP278" s="147"/>
      <c r="AUQ278" s="147"/>
      <c r="AUR278" s="147"/>
      <c r="AUS278" s="147"/>
      <c r="AUT278" s="147"/>
      <c r="AUU278" s="147"/>
      <c r="AUV278" s="147"/>
      <c r="AUW278" s="147"/>
      <c r="AUX278" s="147"/>
      <c r="AUY278" s="147"/>
      <c r="AUZ278" s="147"/>
      <c r="AVA278" s="147"/>
      <c r="AVB278" s="147"/>
      <c r="AVC278" s="147"/>
      <c r="AVD278" s="147"/>
      <c r="AVE278" s="147"/>
      <c r="AVF278" s="147"/>
      <c r="AVG278" s="147"/>
      <c r="AVH278" s="147"/>
      <c r="AVI278" s="147"/>
      <c r="AVJ278" s="147"/>
      <c r="AVK278" s="147"/>
      <c r="AVL278" s="147"/>
      <c r="AVM278" s="147"/>
      <c r="AVN278" s="147"/>
      <c r="AVO278" s="147"/>
      <c r="AVP278" s="147"/>
      <c r="AVQ278" s="147"/>
      <c r="AVR278" s="147"/>
      <c r="AVS278" s="147"/>
      <c r="AVT278" s="147"/>
      <c r="AVU278" s="147"/>
      <c r="AVV278" s="147"/>
      <c r="AVW278" s="147"/>
      <c r="AVX278" s="147"/>
      <c r="AVY278" s="147"/>
      <c r="AVZ278" s="147"/>
      <c r="AWA278" s="147"/>
      <c r="AWB278" s="147"/>
      <c r="AWC278" s="147"/>
      <c r="AWD278" s="147"/>
      <c r="AWE278" s="147"/>
      <c r="AWF278" s="147"/>
      <c r="AWG278" s="147"/>
      <c r="AWH278" s="147"/>
      <c r="AWI278" s="147"/>
      <c r="AWJ278" s="147"/>
      <c r="AWK278" s="147"/>
      <c r="AWL278" s="147"/>
      <c r="AWM278" s="147"/>
      <c r="AWN278" s="147"/>
      <c r="AWO278" s="147"/>
      <c r="AWP278" s="147"/>
      <c r="AWQ278" s="147"/>
      <c r="AWR278" s="147"/>
      <c r="AWS278" s="147"/>
      <c r="AWT278" s="147"/>
      <c r="AWU278" s="147"/>
      <c r="AWV278" s="147"/>
      <c r="AWW278" s="147"/>
      <c r="AWX278" s="147"/>
      <c r="AWY278" s="147"/>
      <c r="AWZ278" s="147"/>
      <c r="AXA278" s="147"/>
      <c r="AXB278" s="147"/>
      <c r="AXC278" s="147"/>
      <c r="AXD278" s="147"/>
      <c r="AXE278" s="147"/>
      <c r="AXF278" s="147"/>
      <c r="AXG278" s="147"/>
      <c r="AXH278" s="147"/>
      <c r="AXI278" s="147"/>
      <c r="AXJ278" s="147"/>
      <c r="AXK278" s="147"/>
      <c r="AXL278" s="147"/>
      <c r="AXM278" s="147"/>
      <c r="AXN278" s="147"/>
      <c r="AXO278" s="147"/>
      <c r="AXP278" s="147"/>
      <c r="AXQ278" s="147"/>
      <c r="AXR278" s="147"/>
      <c r="AXS278" s="147"/>
      <c r="AXT278" s="147"/>
      <c r="AXU278" s="147"/>
      <c r="AXV278" s="147"/>
      <c r="AXW278" s="147"/>
      <c r="AXX278" s="147"/>
      <c r="AXY278" s="147"/>
      <c r="AXZ278" s="147"/>
      <c r="AYA278" s="147"/>
      <c r="AYB278" s="147"/>
      <c r="AYC278" s="147"/>
      <c r="AYD278" s="147"/>
      <c r="AYE278" s="147"/>
      <c r="AYF278" s="147"/>
      <c r="AYG278" s="147"/>
      <c r="AYH278" s="147"/>
      <c r="AYI278" s="147"/>
      <c r="AYJ278" s="147"/>
      <c r="AYK278" s="147"/>
      <c r="AYL278" s="147"/>
      <c r="AYM278" s="147"/>
      <c r="AYN278" s="147"/>
      <c r="AYO278" s="147"/>
      <c r="AYP278" s="147"/>
      <c r="AYQ278" s="147"/>
      <c r="AYR278" s="147"/>
      <c r="AYS278" s="147"/>
      <c r="AYT278" s="147"/>
      <c r="AYU278" s="147"/>
      <c r="AYV278" s="147"/>
      <c r="AYW278" s="147"/>
      <c r="AYX278" s="147"/>
      <c r="AYY278" s="147"/>
      <c r="AYZ278" s="147"/>
      <c r="AZA278" s="147"/>
      <c r="AZB278" s="147"/>
      <c r="AZC278" s="147"/>
      <c r="AZD278" s="147"/>
      <c r="AZE278" s="147"/>
      <c r="AZF278" s="147"/>
      <c r="AZG278" s="147"/>
      <c r="AZH278" s="147"/>
      <c r="AZI278" s="147"/>
      <c r="AZJ278" s="147"/>
      <c r="AZK278" s="147"/>
      <c r="AZL278" s="147"/>
      <c r="AZM278" s="147"/>
      <c r="AZN278" s="147"/>
      <c r="AZO278" s="147"/>
      <c r="AZP278" s="147"/>
      <c r="AZQ278" s="147"/>
      <c r="AZR278" s="147"/>
      <c r="AZS278" s="147"/>
      <c r="AZT278" s="147"/>
      <c r="AZU278" s="147"/>
      <c r="AZV278" s="147"/>
      <c r="AZW278" s="147"/>
      <c r="AZX278" s="147"/>
      <c r="AZY278" s="147"/>
      <c r="AZZ278" s="147"/>
      <c r="BAA278" s="147"/>
      <c r="BAB278" s="147"/>
      <c r="BAC278" s="147"/>
      <c r="BAD278" s="147"/>
      <c r="BAE278" s="147"/>
      <c r="BAF278" s="147"/>
      <c r="BAG278" s="147"/>
      <c r="BAH278" s="147"/>
      <c r="BAI278" s="147"/>
      <c r="BAJ278" s="147"/>
      <c r="BAK278" s="147"/>
      <c r="BAL278" s="147"/>
      <c r="BAM278" s="147"/>
      <c r="BAN278" s="147"/>
      <c r="BAO278" s="147"/>
      <c r="BAP278" s="147"/>
      <c r="BAQ278" s="147"/>
      <c r="BAR278" s="147"/>
      <c r="BAS278" s="147"/>
      <c r="BAT278" s="147"/>
      <c r="BAU278" s="147"/>
      <c r="BAV278" s="147"/>
      <c r="BAW278" s="147"/>
      <c r="BAX278" s="147"/>
      <c r="BAY278" s="147"/>
      <c r="BAZ278" s="147"/>
      <c r="BBA278" s="147"/>
      <c r="BBB278" s="147"/>
      <c r="BBC278" s="147"/>
      <c r="BBD278" s="147"/>
      <c r="BBE278" s="147"/>
      <c r="BBF278" s="147"/>
      <c r="BBG278" s="147"/>
      <c r="BBH278" s="147"/>
      <c r="BBI278" s="147"/>
      <c r="BBJ278" s="147"/>
      <c r="BBK278" s="147"/>
      <c r="BBL278" s="147"/>
      <c r="BBM278" s="147"/>
      <c r="BBN278" s="147"/>
      <c r="BBO278" s="147"/>
      <c r="BBP278" s="147"/>
      <c r="BBQ278" s="147"/>
      <c r="BBR278" s="147"/>
      <c r="BBS278" s="147"/>
      <c r="BBT278" s="147"/>
      <c r="BBU278" s="147"/>
      <c r="BBV278" s="147"/>
      <c r="BBW278" s="147"/>
      <c r="BBX278" s="147"/>
      <c r="BBY278" s="147"/>
      <c r="BBZ278" s="147"/>
      <c r="BCA278" s="147"/>
      <c r="BCB278" s="147"/>
      <c r="BCC278" s="147"/>
      <c r="BCD278" s="147"/>
      <c r="BCE278" s="147"/>
      <c r="BCF278" s="147"/>
      <c r="BCG278" s="147"/>
      <c r="BCH278" s="147"/>
      <c r="BCI278" s="147"/>
      <c r="BCJ278" s="147"/>
      <c r="BCK278" s="147"/>
      <c r="BCL278" s="147"/>
      <c r="BCM278" s="147"/>
      <c r="BCN278" s="147"/>
      <c r="BCO278" s="147"/>
      <c r="BCP278" s="147"/>
      <c r="BCQ278" s="147"/>
      <c r="BCR278" s="147"/>
      <c r="BCS278" s="147"/>
      <c r="BCT278" s="147"/>
      <c r="BCU278" s="147"/>
      <c r="BCV278" s="147"/>
      <c r="BCW278" s="147"/>
      <c r="BCX278" s="147"/>
      <c r="BCY278" s="147"/>
      <c r="BCZ278" s="147"/>
      <c r="BDA278" s="147"/>
      <c r="BDB278" s="147"/>
      <c r="BDC278" s="147"/>
      <c r="BDD278" s="147"/>
      <c r="BDE278" s="147"/>
      <c r="BDF278" s="147"/>
      <c r="BDG278" s="147"/>
      <c r="BDH278" s="147"/>
      <c r="BDI278" s="147"/>
      <c r="BDJ278" s="147"/>
      <c r="BDK278" s="147"/>
      <c r="BDL278" s="147"/>
      <c r="BDM278" s="147"/>
      <c r="BDN278" s="147"/>
      <c r="BDO278" s="147"/>
      <c r="BDP278" s="147"/>
      <c r="BDQ278" s="147"/>
      <c r="BDR278" s="147"/>
      <c r="BDS278" s="147"/>
      <c r="BDT278" s="147"/>
      <c r="BDU278" s="147"/>
      <c r="BDV278" s="147"/>
      <c r="BDW278" s="147"/>
      <c r="BDX278" s="147"/>
      <c r="BDY278" s="147"/>
      <c r="BDZ278" s="147"/>
      <c r="BEA278" s="147"/>
      <c r="BEB278" s="147"/>
      <c r="BEC278" s="147"/>
      <c r="BED278" s="147"/>
      <c r="BEE278" s="147"/>
      <c r="BEF278" s="147"/>
      <c r="BEG278" s="147"/>
      <c r="BEH278" s="147"/>
      <c r="BEI278" s="147"/>
      <c r="BEJ278" s="147"/>
      <c r="BEK278" s="147"/>
      <c r="BEL278" s="147"/>
      <c r="BEM278" s="147"/>
      <c r="BEN278" s="147"/>
      <c r="BEO278" s="147"/>
      <c r="BEP278" s="147"/>
      <c r="BEQ278" s="147"/>
      <c r="BER278" s="147"/>
      <c r="BES278" s="147"/>
      <c r="BET278" s="147"/>
      <c r="BEU278" s="147"/>
      <c r="BEV278" s="147"/>
      <c r="BEW278" s="147"/>
      <c r="BEX278" s="147"/>
      <c r="BEY278" s="147"/>
      <c r="BEZ278" s="147"/>
      <c r="BFA278" s="147"/>
      <c r="BFB278" s="147"/>
      <c r="BFC278" s="147"/>
      <c r="BFD278" s="147"/>
      <c r="BFE278" s="147"/>
      <c r="BFF278" s="147"/>
      <c r="BFG278" s="147"/>
      <c r="BFH278" s="147"/>
      <c r="BFI278" s="147"/>
      <c r="BFJ278" s="147"/>
      <c r="BFK278" s="147"/>
      <c r="BFL278" s="147"/>
      <c r="BFM278" s="147"/>
      <c r="BFN278" s="147"/>
      <c r="BFO278" s="147"/>
      <c r="BFP278" s="147"/>
      <c r="BFQ278" s="147"/>
      <c r="BFR278" s="147"/>
      <c r="BFS278" s="147"/>
      <c r="BFT278" s="147"/>
      <c r="BFU278" s="147"/>
      <c r="BFV278" s="147"/>
      <c r="BFW278" s="147"/>
      <c r="BFX278" s="147"/>
      <c r="BFY278" s="147"/>
      <c r="BFZ278" s="147"/>
      <c r="BGA278" s="147"/>
      <c r="BGB278" s="147"/>
      <c r="BGC278" s="147"/>
      <c r="BGD278" s="147"/>
      <c r="BGE278" s="147"/>
      <c r="BGF278" s="147"/>
      <c r="BGG278" s="147"/>
      <c r="BGH278" s="147"/>
      <c r="BGI278" s="147"/>
      <c r="BGJ278" s="147"/>
      <c r="BGK278" s="147"/>
      <c r="BGL278" s="147"/>
      <c r="BGM278" s="147"/>
      <c r="BGN278" s="147"/>
      <c r="BGO278" s="147"/>
      <c r="BGP278" s="147"/>
      <c r="BGQ278" s="147"/>
      <c r="BGR278" s="147"/>
      <c r="BGS278" s="147"/>
      <c r="BGT278" s="147"/>
      <c r="BGU278" s="147"/>
      <c r="BGV278" s="147"/>
      <c r="BGW278" s="147"/>
      <c r="BGX278" s="147"/>
      <c r="BGY278" s="147"/>
      <c r="BGZ278" s="147"/>
      <c r="BHA278" s="147"/>
      <c r="BHB278" s="147"/>
      <c r="BHC278" s="147"/>
      <c r="BHD278" s="147"/>
      <c r="BHE278" s="147"/>
      <c r="BHF278" s="147"/>
      <c r="BHG278" s="147"/>
      <c r="BHH278" s="147"/>
      <c r="BHI278" s="147"/>
      <c r="BHJ278" s="147"/>
      <c r="BHK278" s="147"/>
      <c r="BHL278" s="147"/>
      <c r="BHM278" s="147"/>
      <c r="BHN278" s="147"/>
      <c r="BHO278" s="147"/>
      <c r="BHP278" s="147"/>
      <c r="BHQ278" s="147"/>
      <c r="BHR278" s="147"/>
      <c r="BHS278" s="147"/>
      <c r="BHT278" s="147"/>
      <c r="BHU278" s="147"/>
      <c r="BHV278" s="147"/>
      <c r="BHW278" s="147"/>
      <c r="BHX278" s="147"/>
      <c r="BHY278" s="147"/>
      <c r="BHZ278" s="147"/>
      <c r="BIA278" s="147"/>
      <c r="BIB278" s="147"/>
      <c r="BIC278" s="147"/>
      <c r="BID278" s="147"/>
      <c r="BIE278" s="147"/>
      <c r="BIF278" s="147"/>
      <c r="BIG278" s="147"/>
      <c r="BIH278" s="147"/>
      <c r="BII278" s="147"/>
      <c r="BIJ278" s="147"/>
      <c r="BIK278" s="147"/>
      <c r="BIL278" s="147"/>
      <c r="BIM278" s="147"/>
      <c r="BIN278" s="147"/>
      <c r="BIO278" s="147"/>
      <c r="BIP278" s="147"/>
      <c r="BIQ278" s="147"/>
      <c r="BIR278" s="147"/>
      <c r="BIS278" s="147"/>
      <c r="BIT278" s="147"/>
      <c r="BIU278" s="147"/>
      <c r="BIV278" s="147"/>
      <c r="BIW278" s="147"/>
      <c r="BIX278" s="147"/>
      <c r="BIY278" s="147"/>
      <c r="BIZ278" s="147"/>
      <c r="BJA278" s="147"/>
      <c r="BJB278" s="147"/>
      <c r="BJC278" s="147"/>
      <c r="BJD278" s="147"/>
      <c r="BJE278" s="147"/>
      <c r="BJF278" s="147"/>
      <c r="BJG278" s="147"/>
      <c r="BJH278" s="147"/>
      <c r="BJI278" s="147"/>
      <c r="BJJ278" s="147"/>
      <c r="BJK278" s="147"/>
      <c r="BJL278" s="147"/>
      <c r="BJM278" s="147"/>
      <c r="BJN278" s="147"/>
      <c r="BJO278" s="147"/>
      <c r="BJP278" s="147"/>
      <c r="BJQ278" s="147"/>
      <c r="BJR278" s="147"/>
      <c r="BJS278" s="147"/>
      <c r="BJT278" s="147"/>
      <c r="BJU278" s="147"/>
      <c r="BJV278" s="147"/>
      <c r="BJW278" s="147"/>
      <c r="BJX278" s="147"/>
      <c r="BJY278" s="147"/>
      <c r="BJZ278" s="147"/>
      <c r="BKA278" s="147"/>
      <c r="BKB278" s="147"/>
      <c r="BKC278" s="147"/>
      <c r="BKD278" s="147"/>
      <c r="BKE278" s="147"/>
      <c r="BKF278" s="147"/>
      <c r="BKG278" s="147"/>
      <c r="BKH278" s="147"/>
      <c r="BKI278" s="147"/>
      <c r="BKJ278" s="147"/>
      <c r="BKK278" s="147"/>
      <c r="BKL278" s="147"/>
      <c r="BKM278" s="147"/>
      <c r="BKN278" s="147"/>
      <c r="BKO278" s="147"/>
      <c r="BKP278" s="147"/>
      <c r="BKQ278" s="147"/>
      <c r="BKR278" s="147"/>
      <c r="BKS278" s="147"/>
      <c r="BKT278" s="147"/>
      <c r="BKU278" s="147"/>
      <c r="BKV278" s="147"/>
      <c r="BKW278" s="147"/>
      <c r="BKX278" s="147"/>
      <c r="BKY278" s="147"/>
      <c r="BKZ278" s="147"/>
      <c r="BLA278" s="147"/>
      <c r="BLB278" s="147"/>
      <c r="BLC278" s="147"/>
      <c r="BLD278" s="147"/>
      <c r="BLE278" s="147"/>
      <c r="BLF278" s="147"/>
      <c r="BLG278" s="147"/>
      <c r="BLH278" s="147"/>
      <c r="BLI278" s="147"/>
      <c r="BLJ278" s="147"/>
      <c r="BLK278" s="147"/>
      <c r="BLL278" s="147"/>
      <c r="BLM278" s="147"/>
      <c r="BLN278" s="147"/>
      <c r="BLO278" s="147"/>
      <c r="BLP278" s="147"/>
      <c r="BLQ278" s="147"/>
      <c r="BLR278" s="147"/>
      <c r="BLS278" s="147"/>
      <c r="BLT278" s="147"/>
      <c r="BLU278" s="147"/>
      <c r="BLV278" s="147"/>
      <c r="BLW278" s="147"/>
      <c r="BLX278" s="147"/>
      <c r="BLY278" s="147"/>
      <c r="BLZ278" s="147"/>
      <c r="BMA278" s="147"/>
      <c r="BMB278" s="147"/>
      <c r="BMC278" s="147"/>
      <c r="BMD278" s="147"/>
      <c r="BME278" s="147"/>
      <c r="BMF278" s="147"/>
      <c r="BMG278" s="147"/>
      <c r="BMH278" s="147"/>
      <c r="BMI278" s="147"/>
      <c r="BMJ278" s="147"/>
      <c r="BMK278" s="147"/>
      <c r="BML278" s="147"/>
      <c r="BMM278" s="147"/>
      <c r="BMN278" s="147"/>
      <c r="BMO278" s="147"/>
      <c r="BMP278" s="147"/>
      <c r="BMQ278" s="147"/>
      <c r="BMR278" s="147"/>
      <c r="BMS278" s="147"/>
      <c r="BMT278" s="147"/>
      <c r="BMU278" s="147"/>
      <c r="BMV278" s="147"/>
      <c r="BMW278" s="147"/>
      <c r="BMX278" s="147"/>
      <c r="BMY278" s="147"/>
      <c r="BMZ278" s="147"/>
      <c r="BNA278" s="147"/>
      <c r="BNB278" s="147"/>
      <c r="BNC278" s="147"/>
      <c r="BND278" s="147"/>
      <c r="BNE278" s="147"/>
      <c r="BNF278" s="147"/>
      <c r="BNG278" s="147"/>
      <c r="BNH278" s="147"/>
      <c r="BNI278" s="147"/>
      <c r="BNJ278" s="147"/>
      <c r="BNK278" s="147"/>
      <c r="BNL278" s="147"/>
      <c r="BNM278" s="147"/>
      <c r="BNN278" s="147"/>
      <c r="BNO278" s="147"/>
      <c r="BNP278" s="147"/>
      <c r="BNQ278" s="147"/>
      <c r="BNR278" s="147"/>
      <c r="BNS278" s="147"/>
      <c r="BNT278" s="147"/>
      <c r="BNU278" s="147"/>
      <c r="BNV278" s="147"/>
      <c r="BNW278" s="147"/>
      <c r="BNX278" s="147"/>
      <c r="BNY278" s="147"/>
      <c r="BNZ278" s="147"/>
      <c r="BOA278" s="147"/>
      <c r="BOB278" s="147"/>
      <c r="BOC278" s="147"/>
      <c r="BOD278" s="147"/>
      <c r="BOE278" s="147"/>
      <c r="BOF278" s="147"/>
      <c r="BOG278" s="147"/>
      <c r="BOH278" s="147"/>
      <c r="BOI278" s="147"/>
      <c r="BOJ278" s="147"/>
      <c r="BOK278" s="147"/>
      <c r="BOL278" s="147"/>
      <c r="BOM278" s="147"/>
      <c r="BON278" s="147"/>
      <c r="BOO278" s="147"/>
      <c r="BOP278" s="147"/>
      <c r="BOQ278" s="147"/>
      <c r="BOR278" s="147"/>
      <c r="BOS278" s="147"/>
      <c r="BOT278" s="147"/>
      <c r="BOU278" s="147"/>
      <c r="BOV278" s="147"/>
      <c r="BOW278" s="147"/>
      <c r="BOX278" s="147"/>
      <c r="BOY278" s="147"/>
      <c r="BOZ278" s="147"/>
      <c r="BPA278" s="147"/>
      <c r="BPB278" s="147"/>
      <c r="BPC278" s="147"/>
      <c r="BPD278" s="147"/>
      <c r="BPE278" s="147"/>
      <c r="BPF278" s="147"/>
      <c r="BPG278" s="147"/>
      <c r="BPH278" s="147"/>
      <c r="BPI278" s="147"/>
      <c r="BPJ278" s="147"/>
      <c r="BPK278" s="147"/>
      <c r="BPL278" s="147"/>
      <c r="BPM278" s="147"/>
      <c r="BPN278" s="147"/>
      <c r="BPO278" s="147"/>
      <c r="BPP278" s="147"/>
      <c r="BPQ278" s="147"/>
      <c r="BPR278" s="147"/>
      <c r="BPS278" s="147"/>
      <c r="BPT278" s="147"/>
      <c r="BPU278" s="147"/>
      <c r="BPV278" s="147"/>
      <c r="BPW278" s="147"/>
      <c r="BPX278" s="147"/>
      <c r="BPY278" s="147"/>
      <c r="BPZ278" s="147"/>
      <c r="BQA278" s="147"/>
      <c r="BQB278" s="147"/>
      <c r="BQC278" s="147"/>
      <c r="BQD278" s="147"/>
      <c r="BQE278" s="147"/>
      <c r="BQF278" s="147"/>
      <c r="BQG278" s="147"/>
      <c r="BQH278" s="147"/>
      <c r="BQI278" s="147"/>
      <c r="BQJ278" s="147"/>
      <c r="BQK278" s="147"/>
      <c r="BQL278" s="147"/>
      <c r="BQM278" s="147"/>
      <c r="BQN278" s="147"/>
      <c r="BQO278" s="147"/>
      <c r="BQP278" s="147"/>
      <c r="BQQ278" s="147"/>
      <c r="BQR278" s="147"/>
      <c r="BQS278" s="147"/>
      <c r="BQT278" s="147"/>
      <c r="BQU278" s="147"/>
      <c r="BQV278" s="147"/>
      <c r="BQW278" s="147"/>
      <c r="BQX278" s="147"/>
      <c r="BQY278" s="147"/>
      <c r="BQZ278" s="147"/>
      <c r="BRA278" s="147"/>
      <c r="BRB278" s="147"/>
      <c r="BRC278" s="147"/>
      <c r="BRD278" s="147"/>
      <c r="BRE278" s="147"/>
      <c r="BRF278" s="147"/>
      <c r="BRG278" s="147"/>
      <c r="BRH278" s="147"/>
      <c r="BRI278" s="147"/>
      <c r="BRJ278" s="147"/>
      <c r="BRK278" s="147"/>
      <c r="BRL278" s="147"/>
      <c r="BRM278" s="147"/>
      <c r="BRN278" s="147"/>
      <c r="BRO278" s="147"/>
      <c r="BRP278" s="147"/>
      <c r="BRQ278" s="147"/>
      <c r="BRR278" s="147"/>
      <c r="BRS278" s="147"/>
      <c r="BRT278" s="147"/>
      <c r="BRU278" s="147"/>
      <c r="BRV278" s="147"/>
      <c r="BRW278" s="147"/>
      <c r="BRX278" s="147"/>
      <c r="BRY278" s="147"/>
      <c r="BRZ278" s="147"/>
      <c r="BSA278" s="147"/>
      <c r="BSB278" s="147"/>
      <c r="BSC278" s="147"/>
      <c r="BSD278" s="147"/>
      <c r="BSE278" s="147"/>
      <c r="BSF278" s="147"/>
      <c r="BSG278" s="147"/>
      <c r="BSH278" s="147"/>
      <c r="BSI278" s="147"/>
      <c r="BSJ278" s="147"/>
      <c r="BSK278" s="147"/>
      <c r="BSL278" s="147"/>
      <c r="BSM278" s="147"/>
      <c r="BSN278" s="147"/>
      <c r="BSO278" s="147"/>
      <c r="BSP278" s="147"/>
      <c r="BSQ278" s="147"/>
      <c r="BSR278" s="147"/>
      <c r="BSS278" s="147"/>
      <c r="BST278" s="147"/>
      <c r="BSU278" s="147"/>
      <c r="BSV278" s="147"/>
      <c r="BSW278" s="147"/>
      <c r="BSX278" s="147"/>
      <c r="BSY278" s="147"/>
      <c r="BSZ278" s="147"/>
      <c r="BTA278" s="147"/>
      <c r="BTB278" s="147"/>
      <c r="BTC278" s="147"/>
      <c r="BTD278" s="147"/>
      <c r="BTE278" s="147"/>
      <c r="BTF278" s="147"/>
      <c r="BTG278" s="147"/>
      <c r="BTH278" s="147"/>
      <c r="BTI278" s="147"/>
      <c r="BTJ278" s="147"/>
      <c r="BTK278" s="147"/>
      <c r="BTL278" s="147"/>
      <c r="BTM278" s="147"/>
      <c r="BTN278" s="147"/>
      <c r="BTO278" s="147"/>
      <c r="BTP278" s="147"/>
      <c r="BTQ278" s="147"/>
      <c r="BTR278" s="147"/>
      <c r="BTS278" s="147"/>
      <c r="BTT278" s="147"/>
      <c r="BTU278" s="147"/>
      <c r="BTV278" s="147"/>
      <c r="BTW278" s="147"/>
      <c r="BTX278" s="147"/>
      <c r="BTY278" s="147"/>
      <c r="BTZ278" s="147"/>
      <c r="BUA278" s="147"/>
      <c r="BUB278" s="147"/>
      <c r="BUC278" s="147"/>
      <c r="BUD278" s="147"/>
      <c r="BUE278" s="147"/>
      <c r="BUF278" s="147"/>
      <c r="BUG278" s="147"/>
      <c r="BUH278" s="147"/>
      <c r="BUI278" s="147"/>
      <c r="BUJ278" s="147"/>
      <c r="BUK278" s="147"/>
      <c r="BUL278" s="147"/>
      <c r="BUM278" s="147"/>
      <c r="BUN278" s="147"/>
      <c r="BUO278" s="147"/>
      <c r="BUP278" s="147"/>
      <c r="BUQ278" s="147"/>
      <c r="BUR278" s="147"/>
      <c r="BUS278" s="147"/>
      <c r="BUT278" s="147"/>
      <c r="BUU278" s="147"/>
      <c r="BUV278" s="147"/>
      <c r="BUW278" s="147"/>
      <c r="BUX278" s="147"/>
      <c r="BUY278" s="147"/>
      <c r="BUZ278" s="147"/>
      <c r="BVA278" s="147"/>
      <c r="BVB278" s="147"/>
      <c r="BVC278" s="147"/>
      <c r="BVD278" s="147"/>
      <c r="BVE278" s="147"/>
      <c r="BVF278" s="147"/>
      <c r="BVG278" s="147"/>
      <c r="BVH278" s="147"/>
      <c r="BVI278" s="147"/>
      <c r="BVJ278" s="147"/>
      <c r="BVK278" s="147"/>
      <c r="BVL278" s="147"/>
      <c r="BVM278" s="147"/>
      <c r="BVN278" s="147"/>
      <c r="BVO278" s="147"/>
      <c r="BVP278" s="147"/>
      <c r="BVQ278" s="147"/>
      <c r="BVR278" s="147"/>
      <c r="BVS278" s="147"/>
      <c r="BVT278" s="147"/>
      <c r="BVU278" s="147"/>
      <c r="BVV278" s="147"/>
      <c r="BVW278" s="147"/>
      <c r="BVX278" s="147"/>
      <c r="BVY278" s="147"/>
      <c r="BVZ278" s="147"/>
      <c r="BWA278" s="147"/>
      <c r="BWB278" s="147"/>
      <c r="BWC278" s="147"/>
      <c r="BWD278" s="147"/>
      <c r="BWE278" s="147"/>
      <c r="BWF278" s="147"/>
      <c r="BWG278" s="147"/>
      <c r="BWH278" s="147"/>
      <c r="BWI278" s="147"/>
      <c r="BWJ278" s="147"/>
      <c r="BWK278" s="147"/>
      <c r="BWL278" s="147"/>
      <c r="BWM278" s="147"/>
      <c r="BWN278" s="147"/>
      <c r="BWO278" s="147"/>
      <c r="BWP278" s="147"/>
      <c r="BWQ278" s="147"/>
      <c r="BWR278" s="147"/>
      <c r="BWS278" s="147"/>
      <c r="BWT278" s="147"/>
      <c r="BWU278" s="147"/>
      <c r="BWV278" s="147"/>
      <c r="BWW278" s="147"/>
      <c r="BWX278" s="147"/>
      <c r="BWY278" s="147"/>
      <c r="BWZ278" s="147"/>
      <c r="BXA278" s="147"/>
      <c r="BXB278" s="147"/>
      <c r="BXC278" s="147"/>
      <c r="BXD278" s="147"/>
      <c r="BXE278" s="147"/>
      <c r="BXF278" s="147"/>
      <c r="BXG278" s="147"/>
      <c r="BXH278" s="147"/>
      <c r="BXI278" s="147"/>
      <c r="BXJ278" s="147"/>
      <c r="BXK278" s="147"/>
      <c r="BXL278" s="147"/>
      <c r="BXM278" s="147"/>
      <c r="BXN278" s="147"/>
      <c r="BXO278" s="147"/>
      <c r="BXP278" s="147"/>
      <c r="BXQ278" s="147"/>
      <c r="BXR278" s="147"/>
      <c r="BXS278" s="147"/>
      <c r="BXT278" s="147"/>
      <c r="BXU278" s="147"/>
      <c r="BXV278" s="147"/>
      <c r="BXW278" s="147"/>
      <c r="BXX278" s="147"/>
      <c r="BXY278" s="147"/>
      <c r="BXZ278" s="147"/>
      <c r="BYA278" s="147"/>
      <c r="BYB278" s="147"/>
      <c r="BYC278" s="147"/>
      <c r="BYD278" s="147"/>
      <c r="BYE278" s="147"/>
      <c r="BYF278" s="147"/>
      <c r="BYG278" s="147"/>
      <c r="BYH278" s="147"/>
      <c r="BYI278" s="147"/>
      <c r="BYJ278" s="147"/>
      <c r="BYK278" s="147"/>
      <c r="BYL278" s="147"/>
      <c r="BYM278" s="147"/>
      <c r="BYN278" s="147"/>
      <c r="BYO278" s="147"/>
      <c r="BYP278" s="147"/>
      <c r="BYQ278" s="147"/>
      <c r="BYR278" s="147"/>
      <c r="BYS278" s="147"/>
      <c r="BYT278" s="147"/>
      <c r="BYU278" s="147"/>
      <c r="BYV278" s="147"/>
      <c r="BYW278" s="147"/>
      <c r="BYX278" s="147"/>
      <c r="BYY278" s="147"/>
      <c r="BYZ278" s="147"/>
      <c r="BZA278" s="147"/>
      <c r="BZB278" s="147"/>
      <c r="BZC278" s="147"/>
      <c r="BZD278" s="147"/>
      <c r="BZE278" s="147"/>
      <c r="BZF278" s="147"/>
      <c r="BZG278" s="147"/>
      <c r="BZH278" s="147"/>
      <c r="BZI278" s="147"/>
      <c r="BZJ278" s="147"/>
      <c r="BZK278" s="147"/>
      <c r="BZL278" s="147"/>
      <c r="BZM278" s="147"/>
      <c r="BZN278" s="147"/>
      <c r="BZO278" s="147"/>
      <c r="BZP278" s="147"/>
      <c r="BZQ278" s="147"/>
      <c r="BZR278" s="147"/>
      <c r="BZS278" s="147"/>
      <c r="BZT278" s="147"/>
      <c r="BZU278" s="147"/>
      <c r="BZV278" s="147"/>
      <c r="BZW278" s="147"/>
      <c r="BZX278" s="147"/>
      <c r="BZY278" s="147"/>
      <c r="BZZ278" s="147"/>
      <c r="CAA278" s="147"/>
      <c r="CAB278" s="147"/>
      <c r="CAC278" s="147"/>
      <c r="CAD278" s="147"/>
      <c r="CAE278" s="147"/>
      <c r="CAF278" s="147"/>
      <c r="CAG278" s="147"/>
      <c r="CAH278" s="147"/>
      <c r="CAI278" s="147"/>
      <c r="CAJ278" s="147"/>
      <c r="CAK278" s="147"/>
      <c r="CAL278" s="147"/>
      <c r="CAM278" s="147"/>
      <c r="CAN278" s="147"/>
      <c r="CAO278" s="147"/>
      <c r="CAP278" s="147"/>
      <c r="CAQ278" s="147"/>
      <c r="CAR278" s="147"/>
      <c r="CAS278" s="147"/>
      <c r="CAT278" s="147"/>
      <c r="CAU278" s="147"/>
      <c r="CAV278" s="147"/>
      <c r="CAW278" s="147"/>
      <c r="CAX278" s="147"/>
      <c r="CAY278" s="147"/>
      <c r="CAZ278" s="147"/>
      <c r="CBA278" s="147"/>
      <c r="CBB278" s="147"/>
      <c r="CBC278" s="147"/>
      <c r="CBD278" s="147"/>
      <c r="CBE278" s="147"/>
      <c r="CBF278" s="147"/>
      <c r="CBG278" s="147"/>
      <c r="CBH278" s="147"/>
      <c r="CBI278" s="147"/>
      <c r="CBJ278" s="147"/>
      <c r="CBK278" s="147"/>
      <c r="CBL278" s="147"/>
      <c r="CBM278" s="147"/>
      <c r="CBN278" s="147"/>
      <c r="CBO278" s="147"/>
      <c r="CBP278" s="147"/>
      <c r="CBQ278" s="147"/>
      <c r="CBR278" s="147"/>
      <c r="CBS278" s="147"/>
      <c r="CBT278" s="147"/>
      <c r="CBU278" s="147"/>
      <c r="CBV278" s="147"/>
      <c r="CBW278" s="147"/>
      <c r="CBX278" s="147"/>
      <c r="CBY278" s="147"/>
      <c r="CBZ278" s="147"/>
      <c r="CCA278" s="147"/>
      <c r="CCB278" s="147"/>
      <c r="CCC278" s="147"/>
      <c r="CCD278" s="147"/>
      <c r="CCE278" s="147"/>
      <c r="CCF278" s="147"/>
      <c r="CCG278" s="147"/>
      <c r="CCH278" s="147"/>
      <c r="CCI278" s="147"/>
      <c r="CCJ278" s="147"/>
      <c r="CCK278" s="147"/>
      <c r="CCL278" s="147"/>
      <c r="CCM278" s="147"/>
      <c r="CCN278" s="147"/>
      <c r="CCO278" s="147"/>
      <c r="CCP278" s="147"/>
      <c r="CCQ278" s="147"/>
      <c r="CCR278" s="147"/>
      <c r="CCS278" s="147"/>
      <c r="CCT278" s="147"/>
      <c r="CCU278" s="147"/>
      <c r="CCV278" s="147"/>
      <c r="CCW278" s="147"/>
      <c r="CCX278" s="147"/>
      <c r="CCY278" s="147"/>
      <c r="CCZ278" s="147"/>
      <c r="CDA278" s="147"/>
      <c r="CDB278" s="147"/>
      <c r="CDC278" s="147"/>
      <c r="CDD278" s="147"/>
      <c r="CDE278" s="147"/>
      <c r="CDF278" s="147"/>
      <c r="CDG278" s="147"/>
      <c r="CDH278" s="147"/>
      <c r="CDI278" s="147"/>
      <c r="CDJ278" s="147"/>
      <c r="CDK278" s="147"/>
      <c r="CDL278" s="147"/>
      <c r="CDM278" s="147"/>
      <c r="CDN278" s="147"/>
      <c r="CDO278" s="147"/>
      <c r="CDP278" s="147"/>
      <c r="CDQ278" s="147"/>
      <c r="CDR278" s="147"/>
      <c r="CDS278" s="147"/>
      <c r="CDT278" s="147"/>
      <c r="CDU278" s="147"/>
      <c r="CDV278" s="147"/>
      <c r="CDW278" s="147"/>
      <c r="CDX278" s="147"/>
      <c r="CDY278" s="147"/>
      <c r="CDZ278" s="147"/>
      <c r="CEA278" s="147"/>
      <c r="CEB278" s="147"/>
      <c r="CEC278" s="147"/>
      <c r="CED278" s="147"/>
      <c r="CEE278" s="147"/>
      <c r="CEF278" s="147"/>
      <c r="CEG278" s="147"/>
      <c r="CEH278" s="147"/>
      <c r="CEI278" s="147"/>
      <c r="CEJ278" s="147"/>
      <c r="CEK278" s="147"/>
      <c r="CEL278" s="147"/>
      <c r="CEM278" s="147"/>
      <c r="CEN278" s="147"/>
      <c r="CEO278" s="147"/>
      <c r="CEP278" s="147"/>
      <c r="CEQ278" s="147"/>
      <c r="CER278" s="147"/>
      <c r="CES278" s="147"/>
      <c r="CET278" s="147"/>
      <c r="CEU278" s="147"/>
      <c r="CEV278" s="147"/>
      <c r="CEW278" s="147"/>
      <c r="CEX278" s="147"/>
      <c r="CEY278" s="147"/>
      <c r="CEZ278" s="147"/>
      <c r="CFA278" s="147"/>
      <c r="CFB278" s="147"/>
      <c r="CFC278" s="147"/>
      <c r="CFD278" s="147"/>
      <c r="CFE278" s="147"/>
      <c r="CFF278" s="147"/>
      <c r="CFG278" s="147"/>
      <c r="CFH278" s="147"/>
      <c r="CFI278" s="147"/>
      <c r="CFJ278" s="147"/>
      <c r="CFK278" s="147"/>
      <c r="CFL278" s="147"/>
      <c r="CFM278" s="147"/>
      <c r="CFN278" s="147"/>
      <c r="CFO278" s="147"/>
      <c r="CFP278" s="147"/>
      <c r="CFQ278" s="147"/>
      <c r="CFR278" s="147"/>
      <c r="CFS278" s="147"/>
      <c r="CFT278" s="147"/>
      <c r="CFU278" s="147"/>
      <c r="CFV278" s="147"/>
      <c r="CFW278" s="147"/>
      <c r="CFX278" s="147"/>
      <c r="CFY278" s="147"/>
      <c r="CFZ278" s="147"/>
      <c r="CGA278" s="147"/>
      <c r="CGB278" s="147"/>
      <c r="CGC278" s="147"/>
      <c r="CGD278" s="147"/>
      <c r="CGE278" s="147"/>
      <c r="CGF278" s="147"/>
      <c r="CGG278" s="147"/>
      <c r="CGH278" s="147"/>
      <c r="CGI278" s="147"/>
      <c r="CGJ278" s="147"/>
      <c r="CGK278" s="147"/>
      <c r="CGL278" s="147"/>
      <c r="CGM278" s="147"/>
      <c r="CGN278" s="147"/>
      <c r="CGO278" s="147"/>
      <c r="CGP278" s="147"/>
      <c r="CGQ278" s="147"/>
      <c r="CGR278" s="147"/>
      <c r="CGS278" s="147"/>
      <c r="CGT278" s="147"/>
      <c r="CGU278" s="147"/>
      <c r="CGV278" s="147"/>
      <c r="CGW278" s="147"/>
      <c r="CGX278" s="147"/>
      <c r="CGY278" s="147"/>
      <c r="CGZ278" s="147"/>
      <c r="CHA278" s="147"/>
      <c r="CHB278" s="147"/>
      <c r="CHC278" s="147"/>
      <c r="CHD278" s="147"/>
      <c r="CHE278" s="147"/>
      <c r="CHF278" s="147"/>
      <c r="CHG278" s="147"/>
      <c r="CHH278" s="147"/>
      <c r="CHI278" s="147"/>
      <c r="CHJ278" s="147"/>
      <c r="CHK278" s="147"/>
      <c r="CHL278" s="147"/>
      <c r="CHM278" s="147"/>
      <c r="CHN278" s="147"/>
      <c r="CHO278" s="147"/>
      <c r="CHP278" s="147"/>
      <c r="CHQ278" s="147"/>
      <c r="CHR278" s="147"/>
      <c r="CHS278" s="147"/>
      <c r="CHT278" s="147"/>
      <c r="CHU278" s="147"/>
      <c r="CHV278" s="147"/>
      <c r="CHW278" s="147"/>
      <c r="CHX278" s="147"/>
      <c r="CHY278" s="147"/>
      <c r="CHZ278" s="147"/>
      <c r="CIA278" s="147"/>
      <c r="CIB278" s="147"/>
      <c r="CIC278" s="147"/>
      <c r="CID278" s="147"/>
      <c r="CIE278" s="147"/>
      <c r="CIF278" s="147"/>
      <c r="CIG278" s="147"/>
      <c r="CIH278" s="147"/>
      <c r="CII278" s="147"/>
      <c r="CIJ278" s="147"/>
      <c r="CIK278" s="147"/>
      <c r="CIL278" s="147"/>
      <c r="CIM278" s="147"/>
      <c r="CIN278" s="147"/>
      <c r="CIO278" s="147"/>
      <c r="CIP278" s="147"/>
      <c r="CIQ278" s="147"/>
      <c r="CIR278" s="147"/>
      <c r="CIS278" s="147"/>
      <c r="CIT278" s="147"/>
      <c r="CIU278" s="147"/>
      <c r="CIV278" s="147"/>
      <c r="CIW278" s="147"/>
      <c r="CIX278" s="147"/>
      <c r="CIY278" s="147"/>
      <c r="CIZ278" s="147"/>
      <c r="CJA278" s="147"/>
      <c r="CJB278" s="147"/>
      <c r="CJC278" s="147"/>
      <c r="CJD278" s="147"/>
      <c r="CJE278" s="147"/>
      <c r="CJF278" s="147"/>
      <c r="CJG278" s="147"/>
      <c r="CJH278" s="147"/>
      <c r="CJI278" s="147"/>
      <c r="CJJ278" s="147"/>
      <c r="CJK278" s="147"/>
      <c r="CJL278" s="147"/>
      <c r="CJM278" s="147"/>
      <c r="CJN278" s="147"/>
      <c r="CJO278" s="147"/>
      <c r="CJP278" s="147"/>
      <c r="CJQ278" s="147"/>
      <c r="CJR278" s="147"/>
      <c r="CJS278" s="147"/>
      <c r="CJT278" s="147"/>
      <c r="CJU278" s="147"/>
      <c r="CJV278" s="147"/>
      <c r="CJW278" s="147"/>
      <c r="CJX278" s="147"/>
      <c r="CJY278" s="147"/>
      <c r="CJZ278" s="147"/>
      <c r="CKA278" s="147"/>
      <c r="CKB278" s="147"/>
      <c r="CKC278" s="147"/>
      <c r="CKD278" s="147"/>
      <c r="CKE278" s="147"/>
      <c r="CKF278" s="147"/>
      <c r="CKG278" s="147"/>
      <c r="CKH278" s="147"/>
      <c r="CKI278" s="147"/>
      <c r="CKJ278" s="147"/>
      <c r="CKK278" s="147"/>
      <c r="CKL278" s="147"/>
      <c r="CKM278" s="147"/>
      <c r="CKN278" s="147"/>
      <c r="CKO278" s="147"/>
      <c r="CKP278" s="147"/>
      <c r="CKQ278" s="147"/>
      <c r="CKR278" s="147"/>
      <c r="CKS278" s="147"/>
      <c r="CKT278" s="147"/>
      <c r="CKU278" s="147"/>
      <c r="CKV278" s="147"/>
      <c r="CKW278" s="147"/>
      <c r="CKX278" s="147"/>
      <c r="CKY278" s="147"/>
      <c r="CKZ278" s="147"/>
      <c r="CLA278" s="147"/>
      <c r="CLB278" s="147"/>
      <c r="CLC278" s="147"/>
      <c r="CLD278" s="147"/>
      <c r="CLE278" s="147"/>
      <c r="CLF278" s="147"/>
      <c r="CLG278" s="147"/>
      <c r="CLH278" s="147"/>
      <c r="CLI278" s="147"/>
      <c r="CLJ278" s="147"/>
      <c r="CLK278" s="147"/>
      <c r="CLL278" s="147"/>
      <c r="CLM278" s="147"/>
      <c r="CLN278" s="147"/>
      <c r="CLO278" s="147"/>
      <c r="CLP278" s="147"/>
      <c r="CLQ278" s="147"/>
      <c r="CLR278" s="147"/>
      <c r="CLS278" s="147"/>
      <c r="CLT278" s="147"/>
      <c r="CLU278" s="147"/>
      <c r="CLV278" s="147"/>
      <c r="CLW278" s="147"/>
      <c r="CLX278" s="147"/>
      <c r="CLY278" s="147"/>
      <c r="CLZ278" s="147"/>
      <c r="CMA278" s="147"/>
      <c r="CMB278" s="147"/>
      <c r="CMC278" s="147"/>
      <c r="CMD278" s="147"/>
      <c r="CME278" s="147"/>
      <c r="CMF278" s="147"/>
      <c r="CMG278" s="147"/>
      <c r="CMH278" s="147"/>
      <c r="CMI278" s="147"/>
      <c r="CMJ278" s="147"/>
      <c r="CMK278" s="147"/>
      <c r="CML278" s="147"/>
      <c r="CMM278" s="147"/>
      <c r="CMN278" s="147"/>
      <c r="CMO278" s="147"/>
      <c r="CMP278" s="147"/>
      <c r="CMQ278" s="147"/>
      <c r="CMR278" s="147"/>
      <c r="CMS278" s="147"/>
      <c r="CMT278" s="147"/>
      <c r="CMU278" s="147"/>
      <c r="CMV278" s="147"/>
      <c r="CMW278" s="147"/>
      <c r="CMX278" s="147"/>
      <c r="CMY278" s="147"/>
      <c r="CMZ278" s="147"/>
      <c r="CNA278" s="147"/>
      <c r="CNB278" s="147"/>
      <c r="CNC278" s="147"/>
      <c r="CND278" s="147"/>
      <c r="CNE278" s="147"/>
      <c r="CNF278" s="147"/>
      <c r="CNG278" s="147"/>
      <c r="CNH278" s="147"/>
      <c r="CNI278" s="147"/>
      <c r="CNJ278" s="147"/>
      <c r="CNK278" s="147"/>
      <c r="CNL278" s="147"/>
      <c r="CNM278" s="147"/>
      <c r="CNN278" s="147"/>
      <c r="CNO278" s="147"/>
      <c r="CNP278" s="147"/>
      <c r="CNQ278" s="147"/>
      <c r="CNR278" s="147"/>
      <c r="CNS278" s="147"/>
      <c r="CNT278" s="147"/>
      <c r="CNU278" s="147"/>
      <c r="CNV278" s="147"/>
      <c r="CNW278" s="147"/>
      <c r="CNX278" s="147"/>
      <c r="CNY278" s="147"/>
      <c r="CNZ278" s="147"/>
      <c r="COA278" s="147"/>
      <c r="COB278" s="147"/>
      <c r="COC278" s="147"/>
      <c r="COD278" s="147"/>
      <c r="COE278" s="147"/>
      <c r="COF278" s="147"/>
      <c r="COG278" s="147"/>
      <c r="COH278" s="147"/>
      <c r="COI278" s="147"/>
      <c r="COJ278" s="147"/>
      <c r="COK278" s="147"/>
      <c r="COL278" s="147"/>
      <c r="COM278" s="147"/>
      <c r="CON278" s="147"/>
      <c r="COO278" s="147"/>
      <c r="COP278" s="147"/>
      <c r="COQ278" s="147"/>
      <c r="COR278" s="147"/>
      <c r="COS278" s="147"/>
      <c r="COT278" s="147"/>
      <c r="COU278" s="147"/>
      <c r="COV278" s="147"/>
      <c r="COW278" s="147"/>
      <c r="COX278" s="147"/>
      <c r="COY278" s="147"/>
      <c r="COZ278" s="147"/>
      <c r="CPA278" s="147"/>
      <c r="CPB278" s="147"/>
      <c r="CPC278" s="147"/>
      <c r="CPD278" s="147"/>
      <c r="CPE278" s="147"/>
      <c r="CPF278" s="147"/>
      <c r="CPG278" s="147"/>
      <c r="CPH278" s="147"/>
      <c r="CPI278" s="147"/>
      <c r="CPJ278" s="147"/>
      <c r="CPK278" s="147"/>
      <c r="CPL278" s="147"/>
      <c r="CPM278" s="147"/>
      <c r="CPN278" s="147"/>
      <c r="CPO278" s="147"/>
      <c r="CPP278" s="147"/>
      <c r="CPQ278" s="147"/>
      <c r="CPR278" s="147"/>
      <c r="CPS278" s="147"/>
      <c r="CPT278" s="147"/>
      <c r="CPU278" s="147"/>
      <c r="CPV278" s="147"/>
      <c r="CPW278" s="147"/>
      <c r="CPX278" s="147"/>
      <c r="CPY278" s="147"/>
      <c r="CPZ278" s="147"/>
      <c r="CQA278" s="147"/>
      <c r="CQB278" s="147"/>
      <c r="CQC278" s="147"/>
      <c r="CQD278" s="147"/>
      <c r="CQE278" s="147"/>
      <c r="CQF278" s="147"/>
      <c r="CQG278" s="147"/>
      <c r="CQH278" s="147"/>
      <c r="CQI278" s="147"/>
      <c r="CQJ278" s="147"/>
      <c r="CQK278" s="147"/>
      <c r="CQL278" s="147"/>
      <c r="CQM278" s="147"/>
      <c r="CQN278" s="147"/>
      <c r="CQO278" s="147"/>
      <c r="CQP278" s="147"/>
      <c r="CQQ278" s="147"/>
      <c r="CQR278" s="147"/>
      <c r="CQS278" s="147"/>
      <c r="CQT278" s="147"/>
      <c r="CQU278" s="147"/>
      <c r="CQV278" s="147"/>
      <c r="CQW278" s="147"/>
      <c r="CQX278" s="147"/>
      <c r="CQY278" s="147"/>
      <c r="CQZ278" s="147"/>
      <c r="CRA278" s="147"/>
      <c r="CRB278" s="147"/>
      <c r="CRC278" s="147"/>
      <c r="CRD278" s="147"/>
      <c r="CRE278" s="147"/>
      <c r="CRF278" s="147"/>
      <c r="CRG278" s="147"/>
      <c r="CRH278" s="147"/>
      <c r="CRI278" s="147"/>
      <c r="CRJ278" s="147"/>
      <c r="CRK278" s="147"/>
      <c r="CRL278" s="147"/>
      <c r="CRM278" s="147"/>
      <c r="CRN278" s="147"/>
      <c r="CRO278" s="147"/>
      <c r="CRP278" s="147"/>
      <c r="CRQ278" s="147"/>
      <c r="CRR278" s="147"/>
      <c r="CRS278" s="147"/>
      <c r="CRT278" s="147"/>
      <c r="CRU278" s="147"/>
      <c r="CRV278" s="147"/>
      <c r="CRW278" s="147"/>
      <c r="CRX278" s="147"/>
      <c r="CRY278" s="147"/>
      <c r="CRZ278" s="147"/>
      <c r="CSA278" s="147"/>
      <c r="CSB278" s="147"/>
      <c r="CSC278" s="147"/>
      <c r="CSD278" s="147"/>
      <c r="CSE278" s="147"/>
      <c r="CSF278" s="147"/>
      <c r="CSG278" s="147"/>
      <c r="CSH278" s="147"/>
      <c r="CSI278" s="147"/>
      <c r="CSJ278" s="147"/>
      <c r="CSK278" s="147"/>
      <c r="CSL278" s="147"/>
      <c r="CSM278" s="147"/>
      <c r="CSN278" s="147"/>
      <c r="CSO278" s="147"/>
      <c r="CSP278" s="147"/>
      <c r="CSQ278" s="147"/>
      <c r="CSR278" s="147"/>
      <c r="CSS278" s="147"/>
      <c r="CST278" s="147"/>
      <c r="CSU278" s="147"/>
      <c r="CSV278" s="147"/>
      <c r="CSW278" s="147"/>
      <c r="CSX278" s="147"/>
      <c r="CSY278" s="147"/>
      <c r="CSZ278" s="147"/>
      <c r="CTA278" s="147"/>
      <c r="CTB278" s="147"/>
      <c r="CTC278" s="147"/>
      <c r="CTD278" s="147"/>
      <c r="CTE278" s="147"/>
      <c r="CTF278" s="147"/>
      <c r="CTG278" s="147"/>
      <c r="CTH278" s="147"/>
      <c r="CTI278" s="147"/>
      <c r="CTJ278" s="147"/>
      <c r="CTK278" s="147"/>
      <c r="CTL278" s="147"/>
      <c r="CTM278" s="147"/>
      <c r="CTN278" s="147"/>
      <c r="CTO278" s="147"/>
      <c r="CTP278" s="147"/>
      <c r="CTQ278" s="147"/>
      <c r="CTR278" s="147"/>
      <c r="CTS278" s="147"/>
      <c r="CTT278" s="147"/>
      <c r="CTU278" s="147"/>
      <c r="CTV278" s="147"/>
      <c r="CTW278" s="147"/>
      <c r="CTX278" s="147"/>
      <c r="CTY278" s="147"/>
      <c r="CTZ278" s="147"/>
      <c r="CUA278" s="147"/>
      <c r="CUB278" s="147"/>
      <c r="CUC278" s="147"/>
      <c r="CUD278" s="147"/>
      <c r="CUE278" s="147"/>
      <c r="CUF278" s="147"/>
      <c r="CUG278" s="147"/>
      <c r="CUH278" s="147"/>
      <c r="CUI278" s="147"/>
      <c r="CUJ278" s="147"/>
      <c r="CUK278" s="147"/>
      <c r="CUL278" s="147"/>
      <c r="CUM278" s="147"/>
      <c r="CUN278" s="147"/>
      <c r="CUO278" s="147"/>
      <c r="CUP278" s="147"/>
      <c r="CUQ278" s="147"/>
      <c r="CUR278" s="147"/>
      <c r="CUS278" s="147"/>
      <c r="CUT278" s="147"/>
      <c r="CUU278" s="147"/>
      <c r="CUV278" s="147"/>
      <c r="CUW278" s="147"/>
      <c r="CUX278" s="147"/>
      <c r="CUY278" s="147"/>
      <c r="CUZ278" s="147"/>
      <c r="CVA278" s="147"/>
      <c r="CVB278" s="147"/>
      <c r="CVC278" s="147"/>
      <c r="CVD278" s="147"/>
      <c r="CVE278" s="147"/>
      <c r="CVF278" s="147"/>
      <c r="CVG278" s="147"/>
      <c r="CVH278" s="147"/>
      <c r="CVI278" s="147"/>
      <c r="CVJ278" s="147"/>
      <c r="CVK278" s="147"/>
      <c r="CVL278" s="147"/>
      <c r="CVM278" s="147"/>
      <c r="CVN278" s="147"/>
      <c r="CVO278" s="147"/>
      <c r="CVP278" s="147"/>
      <c r="CVQ278" s="147"/>
      <c r="CVR278" s="147"/>
      <c r="CVS278" s="147"/>
      <c r="CVT278" s="147"/>
      <c r="CVU278" s="147"/>
      <c r="CVV278" s="147"/>
      <c r="CVW278" s="147"/>
      <c r="CVX278" s="147"/>
      <c r="CVY278" s="147"/>
      <c r="CVZ278" s="147"/>
      <c r="CWA278" s="147"/>
      <c r="CWB278" s="147"/>
      <c r="CWC278" s="147"/>
      <c r="CWD278" s="147"/>
      <c r="CWE278" s="147"/>
      <c r="CWF278" s="147"/>
      <c r="CWG278" s="147"/>
      <c r="CWH278" s="147"/>
      <c r="CWI278" s="147"/>
      <c r="CWJ278" s="147"/>
      <c r="CWK278" s="147"/>
      <c r="CWL278" s="147"/>
      <c r="CWM278" s="147"/>
      <c r="CWN278" s="147"/>
      <c r="CWO278" s="147"/>
      <c r="CWP278" s="147"/>
      <c r="CWQ278" s="147"/>
      <c r="CWR278" s="147"/>
      <c r="CWS278" s="147"/>
      <c r="CWT278" s="147"/>
      <c r="CWU278" s="147"/>
      <c r="CWV278" s="147"/>
      <c r="CWW278" s="147"/>
      <c r="CWX278" s="147"/>
      <c r="CWY278" s="147"/>
      <c r="CWZ278" s="147"/>
      <c r="CXA278" s="147"/>
      <c r="CXB278" s="147"/>
      <c r="CXC278" s="147"/>
      <c r="CXD278" s="147"/>
      <c r="CXE278" s="147"/>
      <c r="CXF278" s="147"/>
      <c r="CXG278" s="147"/>
      <c r="CXH278" s="147"/>
      <c r="CXI278" s="147"/>
      <c r="CXJ278" s="147"/>
      <c r="CXK278" s="147"/>
      <c r="CXL278" s="147"/>
      <c r="CXM278" s="147"/>
      <c r="CXN278" s="147"/>
      <c r="CXO278" s="147"/>
      <c r="CXP278" s="147"/>
      <c r="CXQ278" s="147"/>
      <c r="CXR278" s="147"/>
      <c r="CXS278" s="147"/>
      <c r="CXT278" s="147"/>
      <c r="CXU278" s="147"/>
      <c r="CXV278" s="147"/>
      <c r="CXW278" s="147"/>
      <c r="CXX278" s="147"/>
      <c r="CXY278" s="147"/>
      <c r="CXZ278" s="147"/>
      <c r="CYA278" s="147"/>
      <c r="CYB278" s="147"/>
      <c r="CYC278" s="147"/>
      <c r="CYD278" s="147"/>
      <c r="CYE278" s="147"/>
      <c r="CYF278" s="147"/>
      <c r="CYG278" s="147"/>
      <c r="CYH278" s="147"/>
      <c r="CYI278" s="147"/>
      <c r="CYJ278" s="147"/>
      <c r="CYK278" s="147"/>
      <c r="CYL278" s="147"/>
      <c r="CYM278" s="147"/>
      <c r="CYN278" s="147"/>
      <c r="CYO278" s="147"/>
      <c r="CYP278" s="147"/>
      <c r="CYQ278" s="147"/>
      <c r="CYR278" s="147"/>
      <c r="CYS278" s="147"/>
      <c r="CYT278" s="147"/>
      <c r="CYU278" s="147"/>
      <c r="CYV278" s="147"/>
      <c r="CYW278" s="147"/>
      <c r="CYX278" s="147"/>
      <c r="CYY278" s="147"/>
      <c r="CYZ278" s="147"/>
      <c r="CZA278" s="147"/>
      <c r="CZB278" s="147"/>
      <c r="CZC278" s="147"/>
      <c r="CZD278" s="147"/>
      <c r="CZE278" s="147"/>
      <c r="CZF278" s="147"/>
      <c r="CZG278" s="147"/>
      <c r="CZH278" s="147"/>
      <c r="CZI278" s="147"/>
      <c r="CZJ278" s="147"/>
      <c r="CZK278" s="147"/>
      <c r="CZL278" s="147"/>
      <c r="CZM278" s="147"/>
      <c r="CZN278" s="147"/>
      <c r="CZO278" s="147"/>
      <c r="CZP278" s="147"/>
      <c r="CZQ278" s="147"/>
      <c r="CZR278" s="147"/>
      <c r="CZS278" s="147"/>
      <c r="CZT278" s="147"/>
      <c r="CZU278" s="147"/>
      <c r="CZV278" s="147"/>
      <c r="CZW278" s="147"/>
      <c r="CZX278" s="147"/>
      <c r="CZY278" s="147"/>
      <c r="CZZ278" s="147"/>
      <c r="DAA278" s="147"/>
      <c r="DAB278" s="147"/>
      <c r="DAC278" s="147"/>
      <c r="DAD278" s="147"/>
      <c r="DAE278" s="147"/>
      <c r="DAF278" s="147"/>
      <c r="DAG278" s="147"/>
      <c r="DAH278" s="147"/>
      <c r="DAI278" s="147"/>
      <c r="DAJ278" s="147"/>
      <c r="DAK278" s="147"/>
      <c r="DAL278" s="147"/>
      <c r="DAM278" s="147"/>
      <c r="DAN278" s="147"/>
      <c r="DAO278" s="147"/>
      <c r="DAP278" s="147"/>
      <c r="DAQ278" s="147"/>
      <c r="DAR278" s="147"/>
      <c r="DAS278" s="147"/>
      <c r="DAT278" s="147"/>
      <c r="DAU278" s="147"/>
      <c r="DAV278" s="147"/>
      <c r="DAW278" s="147"/>
      <c r="DAX278" s="147"/>
      <c r="DAY278" s="147"/>
      <c r="DAZ278" s="147"/>
      <c r="DBA278" s="147"/>
      <c r="DBB278" s="147"/>
      <c r="DBC278" s="147"/>
      <c r="DBD278" s="147"/>
      <c r="DBE278" s="147"/>
      <c r="DBF278" s="147"/>
      <c r="DBG278" s="147"/>
      <c r="DBH278" s="147"/>
      <c r="DBI278" s="147"/>
      <c r="DBJ278" s="147"/>
      <c r="DBK278" s="147"/>
      <c r="DBL278" s="147"/>
      <c r="DBM278" s="147"/>
      <c r="DBN278" s="147"/>
      <c r="DBO278" s="147"/>
      <c r="DBP278" s="147"/>
      <c r="DBQ278" s="147"/>
      <c r="DBR278" s="147"/>
      <c r="DBS278" s="147"/>
      <c r="DBT278" s="147"/>
      <c r="DBU278" s="147"/>
      <c r="DBV278" s="147"/>
      <c r="DBW278" s="147"/>
      <c r="DBX278" s="147"/>
      <c r="DBY278" s="147"/>
      <c r="DBZ278" s="147"/>
      <c r="DCA278" s="147"/>
      <c r="DCB278" s="147"/>
      <c r="DCC278" s="147"/>
      <c r="DCD278" s="147"/>
      <c r="DCE278" s="147"/>
      <c r="DCF278" s="147"/>
      <c r="DCG278" s="147"/>
      <c r="DCH278" s="147"/>
      <c r="DCI278" s="147"/>
      <c r="DCJ278" s="147"/>
      <c r="DCK278" s="147"/>
      <c r="DCL278" s="147"/>
      <c r="DCM278" s="147"/>
      <c r="DCN278" s="147"/>
      <c r="DCO278" s="147"/>
      <c r="DCP278" s="147"/>
      <c r="DCQ278" s="147"/>
      <c r="DCR278" s="147"/>
      <c r="DCS278" s="147"/>
      <c r="DCT278" s="147"/>
      <c r="DCU278" s="147"/>
      <c r="DCV278" s="147"/>
      <c r="DCW278" s="147"/>
      <c r="DCX278" s="147"/>
      <c r="DCY278" s="147"/>
      <c r="DCZ278" s="147"/>
      <c r="DDA278" s="147"/>
      <c r="DDB278" s="147"/>
      <c r="DDC278" s="147"/>
      <c r="DDD278" s="147"/>
      <c r="DDE278" s="147"/>
      <c r="DDF278" s="147"/>
      <c r="DDG278" s="147"/>
      <c r="DDH278" s="147"/>
      <c r="DDI278" s="147"/>
      <c r="DDJ278" s="147"/>
      <c r="DDK278" s="147"/>
      <c r="DDL278" s="147"/>
      <c r="DDM278" s="147"/>
      <c r="DDN278" s="147"/>
      <c r="DDO278" s="147"/>
      <c r="DDP278" s="147"/>
      <c r="DDQ278" s="147"/>
      <c r="DDR278" s="147"/>
      <c r="DDS278" s="147"/>
      <c r="DDT278" s="147"/>
      <c r="DDU278" s="147"/>
      <c r="DDV278" s="147"/>
      <c r="DDW278" s="147"/>
      <c r="DDX278" s="147"/>
      <c r="DDY278" s="147"/>
      <c r="DDZ278" s="147"/>
      <c r="DEA278" s="147"/>
      <c r="DEB278" s="147"/>
      <c r="DEC278" s="147"/>
      <c r="DED278" s="147"/>
      <c r="DEE278" s="147"/>
      <c r="DEF278" s="147"/>
      <c r="DEG278" s="147"/>
      <c r="DEH278" s="147"/>
      <c r="DEI278" s="147"/>
      <c r="DEJ278" s="147"/>
      <c r="DEK278" s="147"/>
      <c r="DEL278" s="147"/>
      <c r="DEM278" s="147"/>
      <c r="DEN278" s="147"/>
      <c r="DEO278" s="147"/>
      <c r="DEP278" s="147"/>
      <c r="DEQ278" s="147"/>
      <c r="DER278" s="147"/>
      <c r="DES278" s="147"/>
      <c r="DET278" s="147"/>
      <c r="DEU278" s="147"/>
      <c r="DEV278" s="147"/>
      <c r="DEW278" s="147"/>
      <c r="DEX278" s="147"/>
      <c r="DEY278" s="147"/>
      <c r="DEZ278" s="147"/>
      <c r="DFA278" s="147"/>
      <c r="DFB278" s="147"/>
      <c r="DFC278" s="147"/>
      <c r="DFD278" s="147"/>
      <c r="DFE278" s="147"/>
      <c r="DFF278" s="147"/>
      <c r="DFG278" s="147"/>
      <c r="DFH278" s="147"/>
      <c r="DFI278" s="147"/>
      <c r="DFJ278" s="147"/>
      <c r="DFK278" s="147"/>
      <c r="DFL278" s="147"/>
      <c r="DFM278" s="147"/>
      <c r="DFN278" s="147"/>
      <c r="DFO278" s="147"/>
      <c r="DFP278" s="147"/>
      <c r="DFQ278" s="147"/>
      <c r="DFR278" s="147"/>
      <c r="DFS278" s="147"/>
      <c r="DFT278" s="147"/>
      <c r="DFU278" s="147"/>
      <c r="DFV278" s="147"/>
      <c r="DFW278" s="147"/>
      <c r="DFX278" s="147"/>
      <c r="DFY278" s="147"/>
      <c r="DFZ278" s="147"/>
      <c r="DGA278" s="147"/>
      <c r="DGB278" s="147"/>
      <c r="DGC278" s="147"/>
      <c r="DGD278" s="147"/>
      <c r="DGE278" s="147"/>
      <c r="DGF278" s="147"/>
      <c r="DGG278" s="147"/>
      <c r="DGH278" s="147"/>
      <c r="DGI278" s="147"/>
      <c r="DGJ278" s="147"/>
      <c r="DGK278" s="147"/>
      <c r="DGL278" s="147"/>
      <c r="DGM278" s="147"/>
      <c r="DGN278" s="147"/>
      <c r="DGO278" s="147"/>
      <c r="DGP278" s="147"/>
      <c r="DGQ278" s="147"/>
      <c r="DGR278" s="147"/>
      <c r="DGS278" s="147"/>
      <c r="DGT278" s="147"/>
      <c r="DGU278" s="147"/>
      <c r="DGV278" s="147"/>
      <c r="DGW278" s="147"/>
      <c r="DGX278" s="147"/>
      <c r="DGY278" s="147"/>
      <c r="DGZ278" s="147"/>
      <c r="DHA278" s="147"/>
      <c r="DHB278" s="147"/>
      <c r="DHC278" s="147"/>
      <c r="DHD278" s="147"/>
      <c r="DHE278" s="147"/>
      <c r="DHF278" s="147"/>
      <c r="DHG278" s="147"/>
      <c r="DHH278" s="147"/>
      <c r="DHI278" s="147"/>
      <c r="DHJ278" s="147"/>
      <c r="DHK278" s="147"/>
      <c r="DHL278" s="147"/>
      <c r="DHM278" s="147"/>
      <c r="DHN278" s="147"/>
      <c r="DHO278" s="147"/>
      <c r="DHP278" s="147"/>
      <c r="DHQ278" s="147"/>
      <c r="DHR278" s="147"/>
      <c r="DHS278" s="147"/>
      <c r="DHT278" s="147"/>
      <c r="DHU278" s="147"/>
      <c r="DHV278" s="147"/>
      <c r="DHW278" s="147"/>
      <c r="DHX278" s="147"/>
      <c r="DHY278" s="147"/>
      <c r="DHZ278" s="147"/>
      <c r="DIA278" s="147"/>
      <c r="DIB278" s="147"/>
      <c r="DIC278" s="147"/>
      <c r="DID278" s="147"/>
      <c r="DIE278" s="147"/>
      <c r="DIF278" s="147"/>
      <c r="DIG278" s="147"/>
      <c r="DIH278" s="147"/>
      <c r="DII278" s="147"/>
      <c r="DIJ278" s="147"/>
      <c r="DIK278" s="147"/>
      <c r="DIL278" s="147"/>
      <c r="DIM278" s="147"/>
      <c r="DIN278" s="147"/>
      <c r="DIO278" s="147"/>
      <c r="DIP278" s="147"/>
      <c r="DIQ278" s="147"/>
      <c r="DIR278" s="147"/>
      <c r="DIS278" s="147"/>
      <c r="DIT278" s="147"/>
      <c r="DIU278" s="147"/>
      <c r="DIV278" s="147"/>
      <c r="DIW278" s="147"/>
      <c r="DIX278" s="147"/>
      <c r="DIY278" s="147"/>
      <c r="DIZ278" s="147"/>
      <c r="DJA278" s="147"/>
      <c r="DJB278" s="147"/>
      <c r="DJC278" s="147"/>
      <c r="DJD278" s="147"/>
      <c r="DJE278" s="147"/>
      <c r="DJF278" s="147"/>
      <c r="DJG278" s="147"/>
      <c r="DJH278" s="147"/>
      <c r="DJI278" s="147"/>
      <c r="DJJ278" s="147"/>
      <c r="DJK278" s="147"/>
      <c r="DJL278" s="147"/>
      <c r="DJM278" s="147"/>
      <c r="DJN278" s="147"/>
      <c r="DJO278" s="147"/>
      <c r="DJP278" s="147"/>
      <c r="DJQ278" s="147"/>
      <c r="DJR278" s="147"/>
      <c r="DJS278" s="147"/>
      <c r="DJT278" s="147"/>
      <c r="DJU278" s="147"/>
      <c r="DJV278" s="147"/>
      <c r="DJW278" s="147"/>
      <c r="DJX278" s="147"/>
      <c r="DJY278" s="147"/>
      <c r="DJZ278" s="147"/>
      <c r="DKA278" s="147"/>
      <c r="DKB278" s="147"/>
      <c r="DKC278" s="147"/>
      <c r="DKD278" s="147"/>
      <c r="DKE278" s="147"/>
      <c r="DKF278" s="147"/>
      <c r="DKG278" s="147"/>
      <c r="DKH278" s="147"/>
      <c r="DKI278" s="147"/>
      <c r="DKJ278" s="147"/>
      <c r="DKK278" s="147"/>
      <c r="DKL278" s="147"/>
      <c r="DKM278" s="147"/>
      <c r="DKN278" s="147"/>
      <c r="DKO278" s="147"/>
      <c r="DKP278" s="147"/>
      <c r="DKQ278" s="147"/>
      <c r="DKR278" s="147"/>
      <c r="DKS278" s="147"/>
      <c r="DKT278" s="147"/>
      <c r="DKU278" s="147"/>
      <c r="DKV278" s="147"/>
      <c r="DKW278" s="147"/>
      <c r="DKX278" s="147"/>
      <c r="DKY278" s="147"/>
      <c r="DKZ278" s="147"/>
      <c r="DLA278" s="147"/>
      <c r="DLB278" s="147"/>
      <c r="DLC278" s="147"/>
      <c r="DLD278" s="147"/>
      <c r="DLE278" s="147"/>
      <c r="DLF278" s="147"/>
      <c r="DLG278" s="147"/>
      <c r="DLH278" s="147"/>
      <c r="DLI278" s="147"/>
      <c r="DLJ278" s="147"/>
      <c r="DLK278" s="147"/>
      <c r="DLL278" s="147"/>
      <c r="DLM278" s="147"/>
      <c r="DLN278" s="147"/>
      <c r="DLO278" s="147"/>
      <c r="DLP278" s="147"/>
      <c r="DLQ278" s="147"/>
      <c r="DLR278" s="147"/>
      <c r="DLS278" s="147"/>
      <c r="DLT278" s="147"/>
      <c r="DLU278" s="147"/>
      <c r="DLV278" s="147"/>
      <c r="DLW278" s="147"/>
      <c r="DLX278" s="147"/>
      <c r="DLY278" s="147"/>
      <c r="DLZ278" s="147"/>
      <c r="DMA278" s="147"/>
      <c r="DMB278" s="147"/>
      <c r="DMC278" s="147"/>
      <c r="DMD278" s="147"/>
      <c r="DME278" s="147"/>
      <c r="DMF278" s="147"/>
      <c r="DMG278" s="147"/>
      <c r="DMH278" s="147"/>
      <c r="DMI278" s="147"/>
      <c r="DMJ278" s="147"/>
      <c r="DMK278" s="147"/>
      <c r="DML278" s="147"/>
      <c r="DMM278" s="147"/>
      <c r="DMN278" s="147"/>
      <c r="DMO278" s="147"/>
      <c r="DMP278" s="147"/>
      <c r="DMQ278" s="147"/>
      <c r="DMR278" s="147"/>
      <c r="DMS278" s="147"/>
      <c r="DMT278" s="147"/>
      <c r="DMU278" s="147"/>
      <c r="DMV278" s="147"/>
      <c r="DMW278" s="147"/>
      <c r="DMX278" s="147"/>
      <c r="DMY278" s="147"/>
      <c r="DMZ278" s="147"/>
      <c r="DNA278" s="147"/>
      <c r="DNB278" s="147"/>
      <c r="DNC278" s="147"/>
      <c r="DND278" s="147"/>
      <c r="DNE278" s="147"/>
      <c r="DNF278" s="147"/>
      <c r="DNG278" s="147"/>
      <c r="DNH278" s="147"/>
      <c r="DNI278" s="147"/>
      <c r="DNJ278" s="147"/>
      <c r="DNK278" s="147"/>
      <c r="DNL278" s="147"/>
      <c r="DNM278" s="147"/>
      <c r="DNN278" s="147"/>
      <c r="DNO278" s="147"/>
      <c r="DNP278" s="147"/>
      <c r="DNQ278" s="147"/>
      <c r="DNR278" s="147"/>
      <c r="DNS278" s="147"/>
      <c r="DNT278" s="147"/>
      <c r="DNU278" s="147"/>
      <c r="DNV278" s="147"/>
      <c r="DNW278" s="147"/>
      <c r="DNX278" s="147"/>
      <c r="DNY278" s="147"/>
      <c r="DNZ278" s="147"/>
      <c r="DOA278" s="147"/>
      <c r="DOB278" s="147"/>
      <c r="DOC278" s="147"/>
      <c r="DOD278" s="147"/>
      <c r="DOE278" s="147"/>
      <c r="DOF278" s="147"/>
      <c r="DOG278" s="147"/>
      <c r="DOH278" s="147"/>
      <c r="DOI278" s="147"/>
      <c r="DOJ278" s="147"/>
      <c r="DOK278" s="147"/>
      <c r="DOL278" s="147"/>
      <c r="DOM278" s="147"/>
      <c r="DON278" s="147"/>
      <c r="DOO278" s="147"/>
      <c r="DOP278" s="147"/>
      <c r="DOQ278" s="147"/>
      <c r="DOR278" s="147"/>
      <c r="DOS278" s="147"/>
      <c r="DOT278" s="147"/>
      <c r="DOU278" s="147"/>
      <c r="DOV278" s="147"/>
      <c r="DOW278" s="147"/>
      <c r="DOX278" s="147"/>
      <c r="DOY278" s="147"/>
      <c r="DOZ278" s="147"/>
      <c r="DPA278" s="147"/>
      <c r="DPB278" s="147"/>
      <c r="DPC278" s="147"/>
      <c r="DPD278" s="147"/>
      <c r="DPE278" s="147"/>
      <c r="DPF278" s="147"/>
      <c r="DPG278" s="147"/>
      <c r="DPH278" s="147"/>
      <c r="DPI278" s="147"/>
      <c r="DPJ278" s="147"/>
      <c r="DPK278" s="147"/>
      <c r="DPL278" s="147"/>
      <c r="DPM278" s="147"/>
      <c r="DPN278" s="147"/>
      <c r="DPO278" s="147"/>
      <c r="DPP278" s="147"/>
      <c r="DPQ278" s="147"/>
      <c r="DPR278" s="147"/>
      <c r="DPS278" s="147"/>
      <c r="DPT278" s="147"/>
      <c r="DPU278" s="147"/>
      <c r="DPV278" s="147"/>
      <c r="DPW278" s="147"/>
      <c r="DPX278" s="147"/>
      <c r="DPY278" s="147"/>
      <c r="DPZ278" s="147"/>
      <c r="DQA278" s="147"/>
      <c r="DQB278" s="147"/>
      <c r="DQC278" s="147"/>
      <c r="DQD278" s="147"/>
      <c r="DQE278" s="147"/>
      <c r="DQF278" s="147"/>
      <c r="DQG278" s="147"/>
      <c r="DQH278" s="147"/>
      <c r="DQI278" s="147"/>
      <c r="DQJ278" s="147"/>
      <c r="DQK278" s="147"/>
      <c r="DQL278" s="147"/>
      <c r="DQM278" s="147"/>
      <c r="DQN278" s="147"/>
      <c r="DQO278" s="147"/>
      <c r="DQP278" s="147"/>
      <c r="DQQ278" s="147"/>
      <c r="DQR278" s="147"/>
      <c r="DQS278" s="147"/>
      <c r="DQT278" s="147"/>
      <c r="DQU278" s="147"/>
      <c r="DQV278" s="147"/>
      <c r="DQW278" s="147"/>
      <c r="DQX278" s="147"/>
      <c r="DQY278" s="147"/>
      <c r="DQZ278" s="147"/>
      <c r="DRA278" s="147"/>
      <c r="DRB278" s="147"/>
      <c r="DRC278" s="147"/>
      <c r="DRD278" s="147"/>
      <c r="DRE278" s="147"/>
      <c r="DRF278" s="147"/>
      <c r="DRG278" s="147"/>
      <c r="DRH278" s="147"/>
      <c r="DRI278" s="147"/>
      <c r="DRJ278" s="147"/>
      <c r="DRK278" s="147"/>
      <c r="DRL278" s="147"/>
      <c r="DRM278" s="147"/>
      <c r="DRN278" s="147"/>
      <c r="DRO278" s="147"/>
      <c r="DRP278" s="147"/>
      <c r="DRQ278" s="147"/>
      <c r="DRR278" s="147"/>
      <c r="DRS278" s="147"/>
      <c r="DRT278" s="147"/>
      <c r="DRU278" s="147"/>
      <c r="DRV278" s="147"/>
      <c r="DRW278" s="147"/>
      <c r="DRX278" s="147"/>
      <c r="DRY278" s="147"/>
      <c r="DRZ278" s="147"/>
      <c r="DSA278" s="147"/>
      <c r="DSB278" s="147"/>
      <c r="DSC278" s="147"/>
      <c r="DSD278" s="147"/>
      <c r="DSE278" s="147"/>
      <c r="DSF278" s="147"/>
      <c r="DSG278" s="147"/>
      <c r="DSH278" s="147"/>
      <c r="DSI278" s="147"/>
      <c r="DSJ278" s="147"/>
      <c r="DSK278" s="147"/>
      <c r="DSL278" s="147"/>
      <c r="DSM278" s="147"/>
      <c r="DSN278" s="147"/>
      <c r="DSO278" s="147"/>
      <c r="DSP278" s="147"/>
      <c r="DSQ278" s="147"/>
      <c r="DSR278" s="147"/>
      <c r="DSS278" s="147"/>
      <c r="DST278" s="147"/>
      <c r="DSU278" s="147"/>
      <c r="DSV278" s="147"/>
      <c r="DSW278" s="147"/>
      <c r="DSX278" s="147"/>
      <c r="DSY278" s="147"/>
      <c r="DSZ278" s="147"/>
      <c r="DTA278" s="147"/>
      <c r="DTB278" s="147"/>
      <c r="DTC278" s="147"/>
      <c r="DTD278" s="147"/>
      <c r="DTE278" s="147"/>
      <c r="DTF278" s="147"/>
      <c r="DTG278" s="147"/>
      <c r="DTH278" s="147"/>
      <c r="DTI278" s="147"/>
      <c r="DTJ278" s="147"/>
      <c r="DTK278" s="147"/>
      <c r="DTL278" s="147"/>
      <c r="DTM278" s="147"/>
      <c r="DTN278" s="147"/>
      <c r="DTO278" s="147"/>
      <c r="DTP278" s="147"/>
      <c r="DTQ278" s="147"/>
      <c r="DTR278" s="147"/>
      <c r="DTS278" s="147"/>
      <c r="DTT278" s="147"/>
      <c r="DTU278" s="147"/>
      <c r="DTV278" s="147"/>
      <c r="DTW278" s="147"/>
      <c r="DTX278" s="147"/>
      <c r="DTY278" s="147"/>
      <c r="DTZ278" s="147"/>
      <c r="DUA278" s="147"/>
      <c r="DUB278" s="147"/>
      <c r="DUC278" s="147"/>
      <c r="DUD278" s="147"/>
      <c r="DUE278" s="147"/>
      <c r="DUF278" s="147"/>
      <c r="DUG278" s="147"/>
      <c r="DUH278" s="147"/>
      <c r="DUI278" s="147"/>
      <c r="DUJ278" s="147"/>
      <c r="DUK278" s="147"/>
      <c r="DUL278" s="147"/>
      <c r="DUM278" s="147"/>
      <c r="DUN278" s="147"/>
      <c r="DUO278" s="147"/>
      <c r="DUP278" s="147"/>
      <c r="DUQ278" s="147"/>
      <c r="DUR278" s="147"/>
      <c r="DUS278" s="147"/>
      <c r="DUT278" s="147"/>
      <c r="DUU278" s="147"/>
      <c r="DUV278" s="147"/>
      <c r="DUW278" s="147"/>
      <c r="DUX278" s="147"/>
      <c r="DUY278" s="147"/>
      <c r="DUZ278" s="147"/>
      <c r="DVA278" s="147"/>
      <c r="DVB278" s="147"/>
      <c r="DVC278" s="147"/>
      <c r="DVD278" s="147"/>
      <c r="DVE278" s="147"/>
      <c r="DVF278" s="147"/>
      <c r="DVG278" s="147"/>
      <c r="DVH278" s="147"/>
      <c r="DVI278" s="147"/>
      <c r="DVJ278" s="147"/>
      <c r="DVK278" s="147"/>
      <c r="DVL278" s="147"/>
      <c r="DVM278" s="147"/>
      <c r="DVN278" s="147"/>
      <c r="DVO278" s="147"/>
      <c r="DVP278" s="147"/>
      <c r="DVQ278" s="147"/>
      <c r="DVR278" s="147"/>
      <c r="DVS278" s="147"/>
      <c r="DVT278" s="147"/>
      <c r="DVU278" s="147"/>
      <c r="DVV278" s="147"/>
      <c r="DVW278" s="147"/>
      <c r="DVX278" s="147"/>
      <c r="DVY278" s="147"/>
      <c r="DVZ278" s="147"/>
      <c r="DWA278" s="147"/>
      <c r="DWB278" s="147"/>
      <c r="DWC278" s="147"/>
      <c r="DWD278" s="147"/>
      <c r="DWE278" s="147"/>
      <c r="DWF278" s="147"/>
      <c r="DWG278" s="147"/>
      <c r="DWH278" s="147"/>
      <c r="DWI278" s="147"/>
      <c r="DWJ278" s="147"/>
      <c r="DWK278" s="147"/>
      <c r="DWL278" s="147"/>
      <c r="DWM278" s="147"/>
      <c r="DWN278" s="147"/>
      <c r="DWO278" s="147"/>
      <c r="DWP278" s="147"/>
      <c r="DWQ278" s="147"/>
      <c r="DWR278" s="147"/>
      <c r="DWS278" s="147"/>
      <c r="DWT278" s="147"/>
      <c r="DWU278" s="147"/>
      <c r="DWV278" s="147"/>
      <c r="DWW278" s="147"/>
      <c r="DWX278" s="147"/>
      <c r="DWY278" s="147"/>
      <c r="DWZ278" s="147"/>
      <c r="DXA278" s="147"/>
      <c r="DXB278" s="147"/>
      <c r="DXC278" s="147"/>
      <c r="DXD278" s="147"/>
      <c r="DXE278" s="147"/>
      <c r="DXF278" s="147"/>
      <c r="DXG278" s="147"/>
      <c r="DXH278" s="147"/>
      <c r="DXI278" s="147"/>
      <c r="DXJ278" s="147"/>
      <c r="DXK278" s="147"/>
      <c r="DXL278" s="147"/>
      <c r="DXM278" s="147"/>
      <c r="DXN278" s="147"/>
      <c r="DXO278" s="147"/>
      <c r="DXP278" s="147"/>
      <c r="DXQ278" s="147"/>
      <c r="DXR278" s="147"/>
      <c r="DXS278" s="147"/>
      <c r="DXT278" s="147"/>
      <c r="DXU278" s="147"/>
      <c r="DXV278" s="147"/>
      <c r="DXW278" s="147"/>
      <c r="DXX278" s="147"/>
      <c r="DXY278" s="147"/>
      <c r="DXZ278" s="147"/>
      <c r="DYA278" s="147"/>
      <c r="DYB278" s="147"/>
      <c r="DYC278" s="147"/>
      <c r="DYD278" s="147"/>
      <c r="DYE278" s="147"/>
      <c r="DYF278" s="147"/>
      <c r="DYG278" s="147"/>
      <c r="DYH278" s="147"/>
      <c r="DYI278" s="147"/>
      <c r="DYJ278" s="147"/>
      <c r="DYK278" s="147"/>
      <c r="DYL278" s="147"/>
      <c r="DYM278" s="147"/>
      <c r="DYN278" s="147"/>
      <c r="DYO278" s="147"/>
      <c r="DYP278" s="147"/>
      <c r="DYQ278" s="147"/>
      <c r="DYR278" s="147"/>
      <c r="DYS278" s="147"/>
      <c r="DYT278" s="147"/>
      <c r="DYU278" s="147"/>
      <c r="DYV278" s="147"/>
      <c r="DYW278" s="147"/>
      <c r="DYX278" s="147"/>
      <c r="DYY278" s="147"/>
      <c r="DYZ278" s="147"/>
      <c r="DZA278" s="147"/>
      <c r="DZB278" s="147"/>
      <c r="DZC278" s="147"/>
      <c r="DZD278" s="147"/>
      <c r="DZE278" s="147"/>
      <c r="DZF278" s="147"/>
      <c r="DZG278" s="147"/>
      <c r="DZH278" s="147"/>
      <c r="DZI278" s="147"/>
      <c r="DZJ278" s="147"/>
      <c r="DZK278" s="147"/>
      <c r="DZL278" s="147"/>
      <c r="DZM278" s="147"/>
      <c r="DZN278" s="147"/>
      <c r="DZO278" s="147"/>
      <c r="DZP278" s="147"/>
      <c r="DZQ278" s="147"/>
      <c r="DZR278" s="147"/>
      <c r="DZS278" s="147"/>
      <c r="DZT278" s="147"/>
      <c r="DZU278" s="147"/>
      <c r="DZV278" s="147"/>
      <c r="DZW278" s="147"/>
      <c r="DZX278" s="147"/>
      <c r="DZY278" s="147"/>
      <c r="DZZ278" s="147"/>
      <c r="EAA278" s="147"/>
      <c r="EAB278" s="147"/>
      <c r="EAC278" s="147"/>
      <c r="EAD278" s="147"/>
      <c r="EAE278" s="147"/>
      <c r="EAF278" s="147"/>
      <c r="EAG278" s="147"/>
      <c r="EAH278" s="147"/>
      <c r="EAI278" s="147"/>
      <c r="EAJ278" s="147"/>
      <c r="EAK278" s="147"/>
      <c r="EAL278" s="147"/>
      <c r="EAM278" s="147"/>
      <c r="EAN278" s="147"/>
      <c r="EAO278" s="147"/>
      <c r="EAP278" s="147"/>
      <c r="EAQ278" s="147"/>
      <c r="EAR278" s="147"/>
      <c r="EAS278" s="147"/>
      <c r="EAT278" s="147"/>
      <c r="EAU278" s="147"/>
      <c r="EAV278" s="147"/>
      <c r="EAW278" s="147"/>
      <c r="EAX278" s="147"/>
      <c r="EAY278" s="147"/>
      <c r="EAZ278" s="147"/>
      <c r="EBA278" s="147"/>
      <c r="EBB278" s="147"/>
      <c r="EBC278" s="147"/>
      <c r="EBD278" s="147"/>
      <c r="EBE278" s="147"/>
      <c r="EBF278" s="147"/>
      <c r="EBG278" s="147"/>
      <c r="EBH278" s="147"/>
      <c r="EBI278" s="147"/>
      <c r="EBJ278" s="147"/>
      <c r="EBK278" s="147"/>
      <c r="EBL278" s="147"/>
      <c r="EBM278" s="147"/>
      <c r="EBN278" s="147"/>
      <c r="EBO278" s="147"/>
      <c r="EBP278" s="147"/>
      <c r="EBQ278" s="147"/>
      <c r="EBR278" s="147"/>
      <c r="EBS278" s="147"/>
      <c r="EBT278" s="147"/>
      <c r="EBU278" s="147"/>
      <c r="EBV278" s="147"/>
      <c r="EBW278" s="147"/>
      <c r="EBX278" s="147"/>
      <c r="EBY278" s="147"/>
      <c r="EBZ278" s="147"/>
      <c r="ECA278" s="147"/>
      <c r="ECB278" s="147"/>
      <c r="ECC278" s="147"/>
      <c r="ECD278" s="147"/>
      <c r="ECE278" s="147"/>
      <c r="ECF278" s="147"/>
      <c r="ECG278" s="147"/>
      <c r="ECH278" s="147"/>
      <c r="ECI278" s="147"/>
      <c r="ECJ278" s="147"/>
      <c r="ECK278" s="147"/>
      <c r="ECL278" s="147"/>
      <c r="ECM278" s="147"/>
      <c r="ECN278" s="147"/>
      <c r="ECO278" s="147"/>
      <c r="ECP278" s="147"/>
      <c r="ECQ278" s="147"/>
      <c r="ECR278" s="147"/>
      <c r="ECS278" s="147"/>
      <c r="ECT278" s="147"/>
      <c r="ECU278" s="147"/>
      <c r="ECV278" s="147"/>
      <c r="ECW278" s="147"/>
      <c r="ECX278" s="147"/>
      <c r="ECY278" s="147"/>
      <c r="ECZ278" s="147"/>
      <c r="EDA278" s="147"/>
      <c r="EDB278" s="147"/>
      <c r="EDC278" s="147"/>
      <c r="EDD278" s="147"/>
      <c r="EDE278" s="147"/>
      <c r="EDF278" s="147"/>
      <c r="EDG278" s="147"/>
      <c r="EDH278" s="147"/>
      <c r="EDI278" s="147"/>
      <c r="EDJ278" s="147"/>
      <c r="EDK278" s="147"/>
      <c r="EDL278" s="147"/>
      <c r="EDM278" s="147"/>
      <c r="EDN278" s="147"/>
      <c r="EDO278" s="147"/>
      <c r="EDP278" s="147"/>
      <c r="EDQ278" s="147"/>
      <c r="EDR278" s="147"/>
      <c r="EDS278" s="147"/>
      <c r="EDT278" s="147"/>
      <c r="EDU278" s="147"/>
      <c r="EDV278" s="147"/>
      <c r="EDW278" s="147"/>
      <c r="EDX278" s="147"/>
      <c r="EDY278" s="147"/>
      <c r="EDZ278" s="147"/>
      <c r="EEA278" s="147"/>
      <c r="EEB278" s="147"/>
      <c r="EEC278" s="147"/>
      <c r="EED278" s="147"/>
      <c r="EEE278" s="147"/>
      <c r="EEF278" s="147"/>
      <c r="EEG278" s="147"/>
      <c r="EEH278" s="147"/>
      <c r="EEI278" s="147"/>
      <c r="EEJ278" s="147"/>
      <c r="EEK278" s="147"/>
      <c r="EEL278" s="147"/>
      <c r="EEM278" s="147"/>
      <c r="EEN278" s="147"/>
      <c r="EEO278" s="147"/>
      <c r="EEP278" s="147"/>
      <c r="EEQ278" s="147"/>
      <c r="EER278" s="147"/>
      <c r="EES278" s="147"/>
      <c r="EET278" s="147"/>
      <c r="EEU278" s="147"/>
      <c r="EEV278" s="147"/>
      <c r="EEW278" s="147"/>
      <c r="EEX278" s="147"/>
      <c r="EEY278" s="147"/>
      <c r="EEZ278" s="147"/>
      <c r="EFA278" s="147"/>
      <c r="EFB278" s="147"/>
      <c r="EFC278" s="147"/>
      <c r="EFD278" s="147"/>
      <c r="EFE278" s="147"/>
      <c r="EFF278" s="147"/>
      <c r="EFG278" s="147"/>
      <c r="EFH278" s="147"/>
      <c r="EFI278" s="147"/>
      <c r="EFJ278" s="147"/>
      <c r="EFK278" s="147"/>
      <c r="EFL278" s="147"/>
      <c r="EFM278" s="147"/>
      <c r="EFN278" s="147"/>
      <c r="EFO278" s="147"/>
      <c r="EFP278" s="147"/>
      <c r="EFQ278" s="147"/>
      <c r="EFR278" s="147"/>
      <c r="EFS278" s="147"/>
      <c r="EFT278" s="147"/>
      <c r="EFU278" s="147"/>
      <c r="EFV278" s="147"/>
      <c r="EFW278" s="147"/>
      <c r="EFX278" s="147"/>
      <c r="EFY278" s="147"/>
      <c r="EFZ278" s="147"/>
      <c r="EGA278" s="147"/>
      <c r="EGB278" s="147"/>
      <c r="EGC278" s="147"/>
      <c r="EGD278" s="147"/>
      <c r="EGE278" s="147"/>
      <c r="EGF278" s="147"/>
      <c r="EGG278" s="147"/>
      <c r="EGH278" s="147"/>
      <c r="EGI278" s="147"/>
      <c r="EGJ278" s="147"/>
      <c r="EGK278" s="147"/>
      <c r="EGL278" s="147"/>
      <c r="EGM278" s="147"/>
      <c r="EGN278" s="147"/>
      <c r="EGO278" s="147"/>
      <c r="EGP278" s="147"/>
      <c r="EGQ278" s="147"/>
      <c r="EGR278" s="147"/>
      <c r="EGS278" s="147"/>
      <c r="EGT278" s="147"/>
      <c r="EGU278" s="147"/>
      <c r="EGV278" s="147"/>
      <c r="EGW278" s="147"/>
      <c r="EGX278" s="147"/>
      <c r="EGY278" s="147"/>
      <c r="EGZ278" s="147"/>
      <c r="EHA278" s="147"/>
      <c r="EHB278" s="147"/>
      <c r="EHC278" s="147"/>
      <c r="EHD278" s="147"/>
      <c r="EHE278" s="147"/>
      <c r="EHF278" s="147"/>
      <c r="EHG278" s="147"/>
      <c r="EHH278" s="147"/>
      <c r="EHI278" s="147"/>
      <c r="EHJ278" s="147"/>
      <c r="EHK278" s="147"/>
      <c r="EHL278" s="147"/>
      <c r="EHM278" s="147"/>
      <c r="EHN278" s="147"/>
      <c r="EHO278" s="147"/>
      <c r="EHP278" s="147"/>
      <c r="EHQ278" s="147"/>
      <c r="EHR278" s="147"/>
      <c r="EHS278" s="147"/>
      <c r="EHT278" s="147"/>
      <c r="EHU278" s="147"/>
      <c r="EHV278" s="147"/>
      <c r="EHW278" s="147"/>
      <c r="EHX278" s="147"/>
      <c r="EHY278" s="147"/>
      <c r="EHZ278" s="147"/>
      <c r="EIA278" s="147"/>
      <c r="EIB278" s="147"/>
      <c r="EIC278" s="147"/>
      <c r="EID278" s="147"/>
      <c r="EIE278" s="147"/>
      <c r="EIF278" s="147"/>
      <c r="EIG278" s="147"/>
      <c r="EIH278" s="147"/>
      <c r="EII278" s="147"/>
      <c r="EIJ278" s="147"/>
      <c r="EIK278" s="147"/>
      <c r="EIL278" s="147"/>
      <c r="EIM278" s="147"/>
      <c r="EIN278" s="147"/>
      <c r="EIO278" s="147"/>
      <c r="EIP278" s="147"/>
      <c r="EIQ278" s="147"/>
      <c r="EIR278" s="147"/>
      <c r="EIS278" s="147"/>
      <c r="EIT278" s="147"/>
      <c r="EIU278" s="147"/>
      <c r="EIV278" s="147"/>
      <c r="EIW278" s="147"/>
      <c r="EIX278" s="147"/>
      <c r="EIY278" s="147"/>
      <c r="EIZ278" s="147"/>
      <c r="EJA278" s="147"/>
      <c r="EJB278" s="147"/>
      <c r="EJC278" s="147"/>
      <c r="EJD278" s="147"/>
      <c r="EJE278" s="147"/>
      <c r="EJF278" s="147"/>
      <c r="EJG278" s="147"/>
      <c r="EJH278" s="147"/>
      <c r="EJI278" s="147"/>
      <c r="EJJ278" s="147"/>
      <c r="EJK278" s="147"/>
      <c r="EJL278" s="147"/>
      <c r="EJM278" s="147"/>
      <c r="EJN278" s="147"/>
      <c r="EJO278" s="147"/>
      <c r="EJP278" s="147"/>
      <c r="EJQ278" s="147"/>
      <c r="EJR278" s="147"/>
      <c r="EJS278" s="147"/>
      <c r="EJT278" s="147"/>
      <c r="EJU278" s="147"/>
      <c r="EJV278" s="147"/>
      <c r="EJW278" s="147"/>
      <c r="EJX278" s="147"/>
      <c r="EJY278" s="147"/>
      <c r="EJZ278" s="147"/>
      <c r="EKA278" s="147"/>
      <c r="EKB278" s="147"/>
      <c r="EKC278" s="147"/>
      <c r="EKD278" s="147"/>
      <c r="EKE278" s="147"/>
      <c r="EKF278" s="147"/>
      <c r="EKG278" s="147"/>
      <c r="EKH278" s="147"/>
      <c r="EKI278" s="147"/>
      <c r="EKJ278" s="147"/>
      <c r="EKK278" s="147"/>
      <c r="EKL278" s="147"/>
      <c r="EKM278" s="147"/>
      <c r="EKN278" s="147"/>
      <c r="EKO278" s="147"/>
      <c r="EKP278" s="147"/>
      <c r="EKQ278" s="147"/>
      <c r="EKR278" s="147"/>
      <c r="EKS278" s="147"/>
      <c r="EKT278" s="147"/>
      <c r="EKU278" s="147"/>
      <c r="EKV278" s="147"/>
      <c r="EKW278" s="147"/>
      <c r="EKX278" s="147"/>
      <c r="EKY278" s="147"/>
      <c r="EKZ278" s="147"/>
      <c r="ELA278" s="147"/>
      <c r="ELB278" s="147"/>
      <c r="ELC278" s="147"/>
      <c r="ELD278" s="147"/>
      <c r="ELE278" s="147"/>
      <c r="ELF278" s="147"/>
      <c r="ELG278" s="147"/>
      <c r="ELH278" s="147"/>
      <c r="ELI278" s="147"/>
      <c r="ELJ278" s="147"/>
      <c r="ELK278" s="147"/>
      <c r="ELL278" s="147"/>
      <c r="ELM278" s="147"/>
      <c r="ELN278" s="147"/>
      <c r="ELO278" s="147"/>
      <c r="ELP278" s="147"/>
      <c r="ELQ278" s="147"/>
      <c r="ELR278" s="147"/>
      <c r="ELS278" s="147"/>
      <c r="ELT278" s="147"/>
      <c r="ELU278" s="147"/>
      <c r="ELV278" s="147"/>
      <c r="ELW278" s="147"/>
      <c r="ELX278" s="147"/>
      <c r="ELY278" s="147"/>
      <c r="ELZ278" s="147"/>
      <c r="EMA278" s="147"/>
      <c r="EMB278" s="147"/>
      <c r="EMC278" s="147"/>
      <c r="EMD278" s="147"/>
      <c r="EME278" s="147"/>
      <c r="EMF278" s="147"/>
      <c r="EMG278" s="147"/>
      <c r="EMH278" s="147"/>
      <c r="EMI278" s="147"/>
      <c r="EMJ278" s="147"/>
      <c r="EMK278" s="147"/>
      <c r="EML278" s="147"/>
      <c r="EMM278" s="147"/>
      <c r="EMN278" s="147"/>
      <c r="EMO278" s="147"/>
      <c r="EMP278" s="147"/>
      <c r="EMQ278" s="147"/>
      <c r="EMR278" s="147"/>
      <c r="EMS278" s="147"/>
      <c r="EMT278" s="147"/>
      <c r="EMU278" s="147"/>
      <c r="EMV278" s="147"/>
      <c r="EMW278" s="147"/>
      <c r="EMX278" s="147"/>
      <c r="EMY278" s="147"/>
      <c r="EMZ278" s="147"/>
      <c r="ENA278" s="147"/>
      <c r="ENB278" s="147"/>
      <c r="ENC278" s="147"/>
      <c r="END278" s="147"/>
      <c r="ENE278" s="147"/>
      <c r="ENF278" s="147"/>
      <c r="ENG278" s="147"/>
      <c r="ENH278" s="147"/>
      <c r="ENI278" s="147"/>
      <c r="ENJ278" s="147"/>
      <c r="ENK278" s="147"/>
      <c r="ENL278" s="147"/>
      <c r="ENM278" s="147"/>
      <c r="ENN278" s="147"/>
      <c r="ENO278" s="147"/>
      <c r="ENP278" s="147"/>
      <c r="ENQ278" s="147"/>
      <c r="ENR278" s="147"/>
      <c r="ENS278" s="147"/>
      <c r="ENT278" s="147"/>
      <c r="ENU278" s="147"/>
      <c r="ENV278" s="147"/>
      <c r="ENW278" s="147"/>
      <c r="ENX278" s="147"/>
      <c r="ENY278" s="147"/>
      <c r="ENZ278" s="147"/>
      <c r="EOA278" s="147"/>
      <c r="EOB278" s="147"/>
      <c r="EOC278" s="147"/>
      <c r="EOD278" s="147"/>
      <c r="EOE278" s="147"/>
      <c r="EOF278" s="147"/>
      <c r="EOG278" s="147"/>
      <c r="EOH278" s="147"/>
      <c r="EOI278" s="147"/>
      <c r="EOJ278" s="147"/>
      <c r="EOK278" s="147"/>
      <c r="EOL278" s="147"/>
      <c r="EOM278" s="147"/>
      <c r="EON278" s="147"/>
      <c r="EOO278" s="147"/>
      <c r="EOP278" s="147"/>
      <c r="EOQ278" s="147"/>
      <c r="EOR278" s="147"/>
      <c r="EOS278" s="147"/>
      <c r="EOT278" s="147"/>
      <c r="EOU278" s="147"/>
      <c r="EOV278" s="147"/>
      <c r="EOW278" s="147"/>
      <c r="EOX278" s="147"/>
      <c r="EOY278" s="147"/>
      <c r="EOZ278" s="147"/>
      <c r="EPA278" s="147"/>
      <c r="EPB278" s="147"/>
      <c r="EPC278" s="147"/>
      <c r="EPD278" s="147"/>
      <c r="EPE278" s="147"/>
      <c r="EPF278" s="147"/>
      <c r="EPG278" s="147"/>
      <c r="EPH278" s="147"/>
      <c r="EPI278" s="147"/>
      <c r="EPJ278" s="147"/>
      <c r="EPK278" s="147"/>
      <c r="EPL278" s="147"/>
      <c r="EPM278" s="147"/>
      <c r="EPN278" s="147"/>
      <c r="EPO278" s="147"/>
      <c r="EPP278" s="147"/>
      <c r="EPQ278" s="147"/>
      <c r="EPR278" s="147"/>
      <c r="EPS278" s="147"/>
      <c r="EPT278" s="147"/>
      <c r="EPU278" s="147"/>
      <c r="EPV278" s="147"/>
      <c r="EPW278" s="147"/>
      <c r="EPX278" s="147"/>
      <c r="EPY278" s="147"/>
      <c r="EPZ278" s="147"/>
      <c r="EQA278" s="147"/>
      <c r="EQB278" s="147"/>
      <c r="EQC278" s="147"/>
      <c r="EQD278" s="147"/>
      <c r="EQE278" s="147"/>
      <c r="EQF278" s="147"/>
      <c r="EQG278" s="147"/>
      <c r="EQH278" s="147"/>
      <c r="EQI278" s="147"/>
      <c r="EQJ278" s="147"/>
      <c r="EQK278" s="147"/>
      <c r="EQL278" s="147"/>
      <c r="EQM278" s="147"/>
      <c r="EQN278" s="147"/>
      <c r="EQO278" s="147"/>
      <c r="EQP278" s="147"/>
      <c r="EQQ278" s="147"/>
      <c r="EQR278" s="147"/>
      <c r="EQS278" s="147"/>
      <c r="EQT278" s="147"/>
      <c r="EQU278" s="147"/>
      <c r="EQV278" s="147"/>
      <c r="EQW278" s="147"/>
      <c r="EQX278" s="147"/>
      <c r="EQY278" s="147"/>
      <c r="EQZ278" s="147"/>
      <c r="ERA278" s="147"/>
      <c r="ERB278" s="147"/>
      <c r="ERC278" s="147"/>
      <c r="ERD278" s="147"/>
      <c r="ERE278" s="147"/>
      <c r="ERF278" s="147"/>
      <c r="ERG278" s="147"/>
      <c r="ERH278" s="147"/>
      <c r="ERI278" s="147"/>
      <c r="ERJ278" s="147"/>
      <c r="ERK278" s="147"/>
      <c r="ERL278" s="147"/>
      <c r="ERM278" s="147"/>
      <c r="ERN278" s="147"/>
      <c r="ERO278" s="147"/>
      <c r="ERP278" s="147"/>
      <c r="ERQ278" s="147"/>
      <c r="ERR278" s="147"/>
      <c r="ERS278" s="147"/>
      <c r="ERT278" s="147"/>
      <c r="ERU278" s="147"/>
      <c r="ERV278" s="147"/>
      <c r="ERW278" s="147"/>
      <c r="ERX278" s="147"/>
      <c r="ERY278" s="147"/>
      <c r="ERZ278" s="147"/>
      <c r="ESA278" s="147"/>
      <c r="ESB278" s="147"/>
      <c r="ESC278" s="147"/>
      <c r="ESD278" s="147"/>
      <c r="ESE278" s="147"/>
      <c r="ESF278" s="147"/>
      <c r="ESG278" s="147"/>
      <c r="ESH278" s="147"/>
      <c r="ESI278" s="147"/>
      <c r="ESJ278" s="147"/>
      <c r="ESK278" s="147"/>
      <c r="ESL278" s="147"/>
      <c r="ESM278" s="147"/>
      <c r="ESN278" s="147"/>
      <c r="ESO278" s="147"/>
      <c r="ESP278" s="147"/>
      <c r="ESQ278" s="147"/>
      <c r="ESR278" s="147"/>
      <c r="ESS278" s="147"/>
      <c r="EST278" s="147"/>
      <c r="ESU278" s="147"/>
      <c r="ESV278" s="147"/>
      <c r="ESW278" s="147"/>
      <c r="ESX278" s="147"/>
      <c r="ESY278" s="147"/>
      <c r="ESZ278" s="147"/>
      <c r="ETA278" s="147"/>
      <c r="ETB278" s="147"/>
      <c r="ETC278" s="147"/>
      <c r="ETD278" s="147"/>
      <c r="ETE278" s="147"/>
      <c r="ETF278" s="147"/>
      <c r="ETG278" s="147"/>
      <c r="ETH278" s="147"/>
      <c r="ETI278" s="147"/>
      <c r="ETJ278" s="147"/>
      <c r="ETK278" s="147"/>
      <c r="ETL278" s="147"/>
      <c r="ETM278" s="147"/>
      <c r="ETN278" s="147"/>
      <c r="ETO278" s="147"/>
      <c r="ETP278" s="147"/>
      <c r="ETQ278" s="147"/>
      <c r="ETR278" s="147"/>
      <c r="ETS278" s="147"/>
      <c r="ETT278" s="147"/>
      <c r="ETU278" s="147"/>
      <c r="ETV278" s="147"/>
      <c r="ETW278" s="147"/>
      <c r="ETX278" s="147"/>
      <c r="ETY278" s="147"/>
      <c r="ETZ278" s="147"/>
      <c r="EUA278" s="147"/>
      <c r="EUB278" s="147"/>
      <c r="EUC278" s="147"/>
      <c r="EUD278" s="147"/>
      <c r="EUE278" s="147"/>
      <c r="EUF278" s="147"/>
      <c r="EUG278" s="147"/>
      <c r="EUH278" s="147"/>
      <c r="EUI278" s="147"/>
      <c r="EUJ278" s="147"/>
      <c r="EUK278" s="147"/>
      <c r="EUL278" s="147"/>
      <c r="EUM278" s="147"/>
      <c r="EUN278" s="147"/>
      <c r="EUO278" s="147"/>
      <c r="EUP278" s="147"/>
      <c r="EUQ278" s="147"/>
      <c r="EUR278" s="147"/>
      <c r="EUS278" s="147"/>
      <c r="EUT278" s="147"/>
      <c r="EUU278" s="147"/>
      <c r="EUV278" s="147"/>
      <c r="EUW278" s="147"/>
      <c r="EUX278" s="147"/>
      <c r="EUY278" s="147"/>
      <c r="EUZ278" s="147"/>
      <c r="EVA278" s="147"/>
      <c r="EVB278" s="147"/>
      <c r="EVC278" s="147"/>
      <c r="EVD278" s="147"/>
      <c r="EVE278" s="147"/>
      <c r="EVF278" s="147"/>
      <c r="EVG278" s="147"/>
      <c r="EVH278" s="147"/>
      <c r="EVI278" s="147"/>
      <c r="EVJ278" s="147"/>
      <c r="EVK278" s="147"/>
      <c r="EVL278" s="147"/>
      <c r="EVM278" s="147"/>
      <c r="EVN278" s="147"/>
      <c r="EVO278" s="147"/>
      <c r="EVP278" s="147"/>
      <c r="EVQ278" s="147"/>
      <c r="EVR278" s="147"/>
      <c r="EVS278" s="147"/>
      <c r="EVT278" s="147"/>
      <c r="EVU278" s="147"/>
      <c r="EVV278" s="147"/>
      <c r="EVW278" s="147"/>
      <c r="EVX278" s="147"/>
      <c r="EVY278" s="147"/>
      <c r="EVZ278" s="147"/>
      <c r="EWA278" s="147"/>
      <c r="EWB278" s="147"/>
      <c r="EWC278" s="147"/>
      <c r="EWD278" s="147"/>
      <c r="EWE278" s="147"/>
      <c r="EWF278" s="147"/>
      <c r="EWG278" s="147"/>
      <c r="EWH278" s="147"/>
      <c r="EWI278" s="147"/>
      <c r="EWJ278" s="147"/>
      <c r="EWK278" s="147"/>
      <c r="EWL278" s="147"/>
      <c r="EWM278" s="147"/>
      <c r="EWN278" s="147"/>
      <c r="EWO278" s="147"/>
      <c r="EWP278" s="147"/>
      <c r="EWQ278" s="147"/>
      <c r="EWR278" s="147"/>
      <c r="EWS278" s="147"/>
      <c r="EWT278" s="147"/>
      <c r="EWU278" s="147"/>
      <c r="EWV278" s="147"/>
      <c r="EWW278" s="147"/>
      <c r="EWX278" s="147"/>
      <c r="EWY278" s="147"/>
      <c r="EWZ278" s="147"/>
      <c r="EXA278" s="147"/>
      <c r="EXB278" s="147"/>
      <c r="EXC278" s="147"/>
      <c r="EXD278" s="147"/>
      <c r="EXE278" s="147"/>
      <c r="EXF278" s="147"/>
      <c r="EXG278" s="147"/>
      <c r="EXH278" s="147"/>
      <c r="EXI278" s="147"/>
      <c r="EXJ278" s="147"/>
      <c r="EXK278" s="147"/>
      <c r="EXL278" s="147"/>
      <c r="EXM278" s="147"/>
      <c r="EXN278" s="147"/>
      <c r="EXO278" s="147"/>
      <c r="EXP278" s="147"/>
      <c r="EXQ278" s="147"/>
      <c r="EXR278" s="147"/>
      <c r="EXS278" s="147"/>
      <c r="EXT278" s="147"/>
      <c r="EXU278" s="147"/>
      <c r="EXV278" s="147"/>
      <c r="EXW278" s="147"/>
      <c r="EXX278" s="147"/>
      <c r="EXY278" s="147"/>
      <c r="EXZ278" s="147"/>
      <c r="EYA278" s="147"/>
      <c r="EYB278" s="147"/>
      <c r="EYC278" s="147"/>
      <c r="EYD278" s="147"/>
      <c r="EYE278" s="147"/>
      <c r="EYF278" s="147"/>
      <c r="EYG278" s="147"/>
      <c r="EYH278" s="147"/>
      <c r="EYI278" s="147"/>
      <c r="EYJ278" s="147"/>
      <c r="EYK278" s="147"/>
      <c r="EYL278" s="147"/>
      <c r="EYM278" s="147"/>
      <c r="EYN278" s="147"/>
      <c r="EYO278" s="147"/>
      <c r="EYP278" s="147"/>
      <c r="EYQ278" s="147"/>
      <c r="EYR278" s="147"/>
      <c r="EYS278" s="147"/>
      <c r="EYT278" s="147"/>
      <c r="EYU278" s="147"/>
      <c r="EYV278" s="147"/>
      <c r="EYW278" s="147"/>
      <c r="EYX278" s="147"/>
      <c r="EYY278" s="147"/>
      <c r="EYZ278" s="147"/>
      <c r="EZA278" s="147"/>
      <c r="EZB278" s="147"/>
      <c r="EZC278" s="147"/>
      <c r="EZD278" s="147"/>
      <c r="EZE278" s="147"/>
      <c r="EZF278" s="147"/>
      <c r="EZG278" s="147"/>
      <c r="EZH278" s="147"/>
      <c r="EZI278" s="147"/>
      <c r="EZJ278" s="147"/>
      <c r="EZK278" s="147"/>
      <c r="EZL278" s="147"/>
      <c r="EZM278" s="147"/>
      <c r="EZN278" s="147"/>
      <c r="EZO278" s="147"/>
      <c r="EZP278" s="147"/>
      <c r="EZQ278" s="147"/>
      <c r="EZR278" s="147"/>
      <c r="EZS278" s="147"/>
      <c r="EZT278" s="147"/>
      <c r="EZU278" s="147"/>
      <c r="EZV278" s="147"/>
      <c r="EZW278" s="147"/>
      <c r="EZX278" s="147"/>
      <c r="EZY278" s="147"/>
      <c r="EZZ278" s="147"/>
      <c r="FAA278" s="147"/>
      <c r="FAB278" s="147"/>
      <c r="FAC278" s="147"/>
      <c r="FAD278" s="147"/>
      <c r="FAE278" s="147"/>
      <c r="FAF278" s="147"/>
      <c r="FAG278" s="147"/>
      <c r="FAH278" s="147"/>
      <c r="FAI278" s="147"/>
      <c r="FAJ278" s="147"/>
      <c r="FAK278" s="147"/>
      <c r="FAL278" s="147"/>
      <c r="FAM278" s="147"/>
      <c r="FAN278" s="147"/>
      <c r="FAO278" s="147"/>
      <c r="FAP278" s="147"/>
      <c r="FAQ278" s="147"/>
      <c r="FAR278" s="147"/>
      <c r="FAS278" s="147"/>
      <c r="FAT278" s="147"/>
      <c r="FAU278" s="147"/>
      <c r="FAV278" s="147"/>
      <c r="FAW278" s="147"/>
      <c r="FAX278" s="147"/>
      <c r="FAY278" s="147"/>
      <c r="FAZ278" s="147"/>
      <c r="FBA278" s="147"/>
      <c r="FBB278" s="147"/>
      <c r="FBC278" s="147"/>
      <c r="FBD278" s="147"/>
      <c r="FBE278" s="147"/>
      <c r="FBF278" s="147"/>
      <c r="FBG278" s="147"/>
      <c r="FBH278" s="147"/>
      <c r="FBI278" s="147"/>
      <c r="FBJ278" s="147"/>
      <c r="FBK278" s="147"/>
      <c r="FBL278" s="147"/>
      <c r="FBM278" s="147"/>
      <c r="FBN278" s="147"/>
      <c r="FBO278" s="147"/>
      <c r="FBP278" s="147"/>
      <c r="FBQ278" s="147"/>
      <c r="FBR278" s="147"/>
      <c r="FBS278" s="147"/>
      <c r="FBT278" s="147"/>
      <c r="FBU278" s="147"/>
      <c r="FBV278" s="147"/>
      <c r="FBW278" s="147"/>
      <c r="FBX278" s="147"/>
      <c r="FBY278" s="147"/>
      <c r="FBZ278" s="147"/>
      <c r="FCA278" s="147"/>
      <c r="FCB278" s="147"/>
      <c r="FCC278" s="147"/>
      <c r="FCD278" s="147"/>
      <c r="FCE278" s="147"/>
      <c r="FCF278" s="147"/>
      <c r="FCG278" s="147"/>
      <c r="FCH278" s="147"/>
      <c r="FCI278" s="147"/>
      <c r="FCJ278" s="147"/>
      <c r="FCK278" s="147"/>
      <c r="FCL278" s="147"/>
      <c r="FCM278" s="147"/>
      <c r="FCN278" s="147"/>
      <c r="FCO278" s="147"/>
      <c r="FCP278" s="147"/>
      <c r="FCQ278" s="147"/>
      <c r="FCR278" s="147"/>
      <c r="FCS278" s="147"/>
      <c r="FCT278" s="147"/>
      <c r="FCU278" s="147"/>
      <c r="FCV278" s="147"/>
      <c r="FCW278" s="147"/>
      <c r="FCX278" s="147"/>
      <c r="FCY278" s="147"/>
      <c r="FCZ278" s="147"/>
      <c r="FDA278" s="147"/>
      <c r="FDB278" s="147"/>
      <c r="FDC278" s="147"/>
      <c r="FDD278" s="147"/>
      <c r="FDE278" s="147"/>
      <c r="FDF278" s="147"/>
      <c r="FDG278" s="147"/>
      <c r="FDH278" s="147"/>
      <c r="FDI278" s="147"/>
      <c r="FDJ278" s="147"/>
      <c r="FDK278" s="147"/>
      <c r="FDL278" s="147"/>
      <c r="FDM278" s="147"/>
      <c r="FDN278" s="147"/>
      <c r="FDO278" s="147"/>
      <c r="FDP278" s="147"/>
      <c r="FDQ278" s="147"/>
      <c r="FDR278" s="147"/>
      <c r="FDS278" s="147"/>
      <c r="FDT278" s="147"/>
      <c r="FDU278" s="147"/>
      <c r="FDV278" s="147"/>
      <c r="FDW278" s="147"/>
      <c r="FDX278" s="147"/>
      <c r="FDY278" s="147"/>
      <c r="FDZ278" s="147"/>
      <c r="FEA278" s="147"/>
      <c r="FEB278" s="147"/>
      <c r="FEC278" s="147"/>
      <c r="FED278" s="147"/>
      <c r="FEE278" s="147"/>
      <c r="FEF278" s="147"/>
      <c r="FEG278" s="147"/>
      <c r="FEH278" s="147"/>
      <c r="FEI278" s="147"/>
      <c r="FEJ278" s="147"/>
      <c r="FEK278" s="147"/>
      <c r="FEL278" s="147"/>
      <c r="FEM278" s="147"/>
      <c r="FEN278" s="147"/>
      <c r="FEO278" s="147"/>
      <c r="FEP278" s="147"/>
      <c r="FEQ278" s="147"/>
      <c r="FER278" s="147"/>
      <c r="FES278" s="147"/>
      <c r="FET278" s="147"/>
      <c r="FEU278" s="147"/>
      <c r="FEV278" s="147"/>
      <c r="FEW278" s="147"/>
      <c r="FEX278" s="147"/>
      <c r="FEY278" s="147"/>
      <c r="FEZ278" s="147"/>
      <c r="FFA278" s="147"/>
      <c r="FFB278" s="147"/>
      <c r="FFC278" s="147"/>
      <c r="FFD278" s="147"/>
      <c r="FFE278" s="147"/>
      <c r="FFF278" s="147"/>
      <c r="FFG278" s="147"/>
      <c r="FFH278" s="147"/>
      <c r="FFI278" s="147"/>
      <c r="FFJ278" s="147"/>
      <c r="FFK278" s="147"/>
      <c r="FFL278" s="147"/>
      <c r="FFM278" s="147"/>
      <c r="FFN278" s="147"/>
      <c r="FFO278" s="147"/>
      <c r="FFP278" s="147"/>
      <c r="FFQ278" s="147"/>
      <c r="FFR278" s="147"/>
      <c r="FFS278" s="147"/>
      <c r="FFT278" s="147"/>
      <c r="FFU278" s="147"/>
      <c r="FFV278" s="147"/>
      <c r="FFW278" s="147"/>
      <c r="FFX278" s="147"/>
      <c r="FFY278" s="147"/>
      <c r="FFZ278" s="147"/>
      <c r="FGA278" s="147"/>
      <c r="FGB278" s="147"/>
      <c r="FGC278" s="147"/>
      <c r="FGD278" s="147"/>
      <c r="FGE278" s="147"/>
      <c r="FGF278" s="147"/>
      <c r="FGG278" s="147"/>
      <c r="FGH278" s="147"/>
      <c r="FGI278" s="147"/>
      <c r="FGJ278" s="147"/>
      <c r="FGK278" s="147"/>
      <c r="FGL278" s="147"/>
      <c r="FGM278" s="147"/>
      <c r="FGN278" s="147"/>
      <c r="FGO278" s="147"/>
      <c r="FGP278" s="147"/>
      <c r="FGQ278" s="147"/>
      <c r="FGR278" s="147"/>
      <c r="FGS278" s="147"/>
      <c r="FGT278" s="147"/>
      <c r="FGU278" s="147"/>
      <c r="FGV278" s="147"/>
      <c r="FGW278" s="147"/>
      <c r="FGX278" s="147"/>
      <c r="FGY278" s="147"/>
      <c r="FGZ278" s="147"/>
      <c r="FHA278" s="147"/>
      <c r="FHB278" s="147"/>
      <c r="FHC278" s="147"/>
      <c r="FHD278" s="147"/>
      <c r="FHE278" s="147"/>
      <c r="FHF278" s="147"/>
      <c r="FHG278" s="147"/>
      <c r="FHH278" s="147"/>
      <c r="FHI278" s="147"/>
      <c r="FHJ278" s="147"/>
      <c r="FHK278" s="147"/>
      <c r="FHL278" s="147"/>
      <c r="FHM278" s="147"/>
      <c r="FHN278" s="147"/>
      <c r="FHO278" s="147"/>
      <c r="FHP278" s="147"/>
      <c r="FHQ278" s="147"/>
      <c r="FHR278" s="147"/>
      <c r="FHS278" s="147"/>
      <c r="FHT278" s="147"/>
      <c r="FHU278" s="147"/>
      <c r="FHV278" s="147"/>
      <c r="FHW278" s="147"/>
      <c r="FHX278" s="147"/>
      <c r="FHY278" s="147"/>
      <c r="FHZ278" s="147"/>
      <c r="FIA278" s="147"/>
      <c r="FIB278" s="147"/>
      <c r="FIC278" s="147"/>
      <c r="FID278" s="147"/>
      <c r="FIE278" s="147"/>
      <c r="FIF278" s="147"/>
      <c r="FIG278" s="147"/>
      <c r="FIH278" s="147"/>
      <c r="FII278" s="147"/>
      <c r="FIJ278" s="147"/>
      <c r="FIK278" s="147"/>
      <c r="FIL278" s="147"/>
      <c r="FIM278" s="147"/>
      <c r="FIN278" s="147"/>
      <c r="FIO278" s="147"/>
      <c r="FIP278" s="147"/>
      <c r="FIQ278" s="147"/>
      <c r="FIR278" s="147"/>
      <c r="FIS278" s="147"/>
      <c r="FIT278" s="147"/>
      <c r="FIU278" s="147"/>
      <c r="FIV278" s="147"/>
      <c r="FIW278" s="147"/>
      <c r="FIX278" s="147"/>
      <c r="FIY278" s="147"/>
      <c r="FIZ278" s="147"/>
      <c r="FJA278" s="147"/>
      <c r="FJB278" s="147"/>
      <c r="FJC278" s="147"/>
      <c r="FJD278" s="147"/>
      <c r="FJE278" s="147"/>
      <c r="FJF278" s="147"/>
      <c r="FJG278" s="147"/>
      <c r="FJH278" s="147"/>
      <c r="FJI278" s="147"/>
      <c r="FJJ278" s="147"/>
      <c r="FJK278" s="147"/>
      <c r="FJL278" s="147"/>
      <c r="FJM278" s="147"/>
      <c r="FJN278" s="147"/>
      <c r="FJO278" s="147"/>
      <c r="FJP278" s="147"/>
      <c r="FJQ278" s="147"/>
      <c r="FJR278" s="147"/>
      <c r="FJS278" s="147"/>
      <c r="FJT278" s="147"/>
      <c r="FJU278" s="147"/>
      <c r="FJV278" s="147"/>
      <c r="FJW278" s="147"/>
      <c r="FJX278" s="147"/>
      <c r="FJY278" s="147"/>
      <c r="FJZ278" s="147"/>
      <c r="FKA278" s="147"/>
      <c r="FKB278" s="147"/>
      <c r="FKC278" s="147"/>
      <c r="FKD278" s="147"/>
      <c r="FKE278" s="147"/>
      <c r="FKF278" s="147"/>
      <c r="FKG278" s="147"/>
      <c r="FKH278" s="147"/>
      <c r="FKI278" s="147"/>
      <c r="FKJ278" s="147"/>
      <c r="FKK278" s="147"/>
      <c r="FKL278" s="147"/>
      <c r="FKM278" s="147"/>
      <c r="FKN278" s="147"/>
      <c r="FKO278" s="147"/>
      <c r="FKP278" s="147"/>
      <c r="FKQ278" s="147"/>
      <c r="FKR278" s="147"/>
      <c r="FKS278" s="147"/>
      <c r="FKT278" s="147"/>
      <c r="FKU278" s="147"/>
      <c r="FKV278" s="147"/>
      <c r="FKW278" s="147"/>
      <c r="FKX278" s="147"/>
      <c r="FKY278" s="147"/>
      <c r="FKZ278" s="147"/>
      <c r="FLA278" s="147"/>
      <c r="FLB278" s="147"/>
      <c r="FLC278" s="147"/>
      <c r="FLD278" s="147"/>
      <c r="FLE278" s="147"/>
      <c r="FLF278" s="147"/>
      <c r="FLG278" s="147"/>
      <c r="FLH278" s="147"/>
      <c r="FLI278" s="147"/>
      <c r="FLJ278" s="147"/>
      <c r="FLK278" s="147"/>
      <c r="FLL278" s="147"/>
      <c r="FLM278" s="147"/>
      <c r="FLN278" s="147"/>
      <c r="FLO278" s="147"/>
      <c r="FLP278" s="147"/>
      <c r="FLQ278" s="147"/>
      <c r="FLR278" s="147"/>
      <c r="FLS278" s="147"/>
      <c r="FLT278" s="147"/>
      <c r="FLU278" s="147"/>
      <c r="FLV278" s="147"/>
      <c r="FLW278" s="147"/>
      <c r="FLX278" s="147"/>
      <c r="FLY278" s="147"/>
      <c r="FLZ278" s="147"/>
      <c r="FMA278" s="147"/>
      <c r="FMB278" s="147"/>
      <c r="FMC278" s="147"/>
      <c r="FMD278" s="147"/>
      <c r="FME278" s="147"/>
      <c r="FMF278" s="147"/>
      <c r="FMG278" s="147"/>
      <c r="FMH278" s="147"/>
      <c r="FMI278" s="147"/>
      <c r="FMJ278" s="147"/>
      <c r="FMK278" s="147"/>
      <c r="FML278" s="147"/>
      <c r="FMM278" s="147"/>
      <c r="FMN278" s="147"/>
      <c r="FMO278" s="147"/>
      <c r="FMP278" s="147"/>
      <c r="FMQ278" s="147"/>
      <c r="FMR278" s="147"/>
      <c r="FMS278" s="147"/>
      <c r="FMT278" s="147"/>
      <c r="FMU278" s="147"/>
      <c r="FMV278" s="147"/>
      <c r="FMW278" s="147"/>
      <c r="FMX278" s="147"/>
      <c r="FMY278" s="147"/>
      <c r="FMZ278" s="147"/>
      <c r="FNA278" s="147"/>
      <c r="FNB278" s="147"/>
      <c r="FNC278" s="147"/>
      <c r="FND278" s="147"/>
      <c r="FNE278" s="147"/>
      <c r="FNF278" s="147"/>
      <c r="FNG278" s="147"/>
      <c r="FNH278" s="147"/>
      <c r="FNI278" s="147"/>
      <c r="FNJ278" s="147"/>
      <c r="FNK278" s="147"/>
      <c r="FNL278" s="147"/>
      <c r="FNM278" s="147"/>
      <c r="FNN278" s="147"/>
      <c r="FNO278" s="147"/>
      <c r="FNP278" s="147"/>
      <c r="FNQ278" s="147"/>
      <c r="FNR278" s="147"/>
      <c r="FNS278" s="147"/>
      <c r="FNT278" s="147"/>
      <c r="FNU278" s="147"/>
      <c r="FNV278" s="147"/>
      <c r="FNW278" s="147"/>
      <c r="FNX278" s="147"/>
      <c r="FNY278" s="147"/>
      <c r="FNZ278" s="147"/>
      <c r="FOA278" s="147"/>
      <c r="FOB278" s="147"/>
      <c r="FOC278" s="147"/>
      <c r="FOD278" s="147"/>
      <c r="FOE278" s="147"/>
      <c r="FOF278" s="147"/>
      <c r="FOG278" s="147"/>
      <c r="FOH278" s="147"/>
      <c r="FOI278" s="147"/>
      <c r="FOJ278" s="147"/>
      <c r="FOK278" s="147"/>
      <c r="FOL278" s="147"/>
      <c r="FOM278" s="147"/>
      <c r="FON278" s="147"/>
      <c r="FOO278" s="147"/>
      <c r="FOP278" s="147"/>
      <c r="FOQ278" s="147"/>
      <c r="FOR278" s="147"/>
      <c r="FOS278" s="147"/>
      <c r="FOT278" s="147"/>
      <c r="FOU278" s="147"/>
      <c r="FOV278" s="147"/>
      <c r="FOW278" s="147"/>
      <c r="FOX278" s="147"/>
      <c r="FOY278" s="147"/>
      <c r="FOZ278" s="147"/>
      <c r="FPA278" s="147"/>
      <c r="FPB278" s="147"/>
      <c r="FPC278" s="147"/>
      <c r="FPD278" s="147"/>
      <c r="FPE278" s="147"/>
      <c r="FPF278" s="147"/>
      <c r="FPG278" s="147"/>
      <c r="FPH278" s="147"/>
      <c r="FPI278" s="147"/>
      <c r="FPJ278" s="147"/>
      <c r="FPK278" s="147"/>
      <c r="FPL278" s="147"/>
      <c r="FPM278" s="147"/>
      <c r="FPN278" s="147"/>
      <c r="FPO278" s="147"/>
      <c r="FPP278" s="147"/>
      <c r="FPQ278" s="147"/>
      <c r="FPR278" s="147"/>
      <c r="FPS278" s="147"/>
      <c r="FPT278" s="147"/>
      <c r="FPU278" s="147"/>
      <c r="FPV278" s="147"/>
      <c r="FPW278" s="147"/>
      <c r="FPX278" s="147"/>
      <c r="FPY278" s="147"/>
      <c r="FPZ278" s="147"/>
      <c r="FQA278" s="147"/>
      <c r="FQB278" s="147"/>
      <c r="FQC278" s="147"/>
      <c r="FQD278" s="147"/>
      <c r="FQE278" s="147"/>
      <c r="FQF278" s="147"/>
      <c r="FQG278" s="147"/>
      <c r="FQH278" s="147"/>
      <c r="FQI278" s="147"/>
      <c r="FQJ278" s="147"/>
      <c r="FQK278" s="147"/>
      <c r="FQL278" s="147"/>
      <c r="FQM278" s="147"/>
      <c r="FQN278" s="147"/>
      <c r="FQO278" s="147"/>
      <c r="FQP278" s="147"/>
      <c r="FQQ278" s="147"/>
      <c r="FQR278" s="147"/>
      <c r="FQS278" s="147"/>
      <c r="FQT278" s="147"/>
      <c r="FQU278" s="147"/>
      <c r="FQV278" s="147"/>
      <c r="FQW278" s="147"/>
      <c r="FQX278" s="147"/>
      <c r="FQY278" s="147"/>
      <c r="FQZ278" s="147"/>
      <c r="FRA278" s="147"/>
      <c r="FRB278" s="147"/>
      <c r="FRC278" s="147"/>
      <c r="FRD278" s="147"/>
      <c r="FRE278" s="147"/>
      <c r="FRF278" s="147"/>
      <c r="FRG278" s="147"/>
      <c r="FRH278" s="147"/>
      <c r="FRI278" s="147"/>
      <c r="FRJ278" s="147"/>
      <c r="FRK278" s="147"/>
      <c r="FRL278" s="147"/>
      <c r="FRM278" s="147"/>
      <c r="FRN278" s="147"/>
      <c r="FRO278" s="147"/>
      <c r="FRP278" s="147"/>
      <c r="FRQ278" s="147"/>
      <c r="FRR278" s="147"/>
      <c r="FRS278" s="147"/>
      <c r="FRT278" s="147"/>
      <c r="FRU278" s="147"/>
      <c r="FRV278" s="147"/>
      <c r="FRW278" s="147"/>
      <c r="FRX278" s="147"/>
      <c r="FRY278" s="147"/>
      <c r="FRZ278" s="147"/>
      <c r="FSA278" s="147"/>
      <c r="FSB278" s="147"/>
      <c r="FSC278" s="147"/>
      <c r="FSD278" s="147"/>
      <c r="FSE278" s="147"/>
      <c r="FSF278" s="147"/>
      <c r="FSG278" s="147"/>
      <c r="FSH278" s="147"/>
      <c r="FSI278" s="147"/>
      <c r="FSJ278" s="147"/>
      <c r="FSK278" s="147"/>
      <c r="FSL278" s="147"/>
      <c r="FSM278" s="147"/>
      <c r="FSN278" s="147"/>
      <c r="FSO278" s="147"/>
      <c r="FSP278" s="147"/>
      <c r="FSQ278" s="147"/>
      <c r="FSR278" s="147"/>
      <c r="FSS278" s="147"/>
      <c r="FST278" s="147"/>
      <c r="FSU278" s="147"/>
      <c r="FSV278" s="147"/>
      <c r="FSW278" s="147"/>
      <c r="FSX278" s="147"/>
      <c r="FSY278" s="147"/>
      <c r="FSZ278" s="147"/>
      <c r="FTA278" s="147"/>
      <c r="FTB278" s="147"/>
      <c r="FTC278" s="147"/>
      <c r="FTD278" s="147"/>
      <c r="FTE278" s="147"/>
      <c r="FTF278" s="147"/>
      <c r="FTG278" s="147"/>
      <c r="FTH278" s="147"/>
      <c r="FTI278" s="147"/>
      <c r="FTJ278" s="147"/>
      <c r="FTK278" s="147"/>
      <c r="FTL278" s="147"/>
      <c r="FTM278" s="147"/>
      <c r="FTN278" s="147"/>
      <c r="FTO278" s="147"/>
      <c r="FTP278" s="147"/>
      <c r="FTQ278" s="147"/>
      <c r="FTR278" s="147"/>
      <c r="FTS278" s="147"/>
      <c r="FTT278" s="147"/>
      <c r="FTU278" s="147"/>
      <c r="FTV278" s="147"/>
      <c r="FTW278" s="147"/>
      <c r="FTX278" s="147"/>
      <c r="FTY278" s="147"/>
      <c r="FTZ278" s="147"/>
      <c r="FUA278" s="147"/>
      <c r="FUB278" s="147"/>
      <c r="FUC278" s="147"/>
      <c r="FUD278" s="147"/>
      <c r="FUE278" s="147"/>
      <c r="FUF278" s="147"/>
      <c r="FUG278" s="147"/>
      <c r="FUH278" s="147"/>
      <c r="FUI278" s="147"/>
      <c r="FUJ278" s="147"/>
      <c r="FUK278" s="147"/>
      <c r="FUL278" s="147"/>
      <c r="FUM278" s="147"/>
      <c r="FUN278" s="147"/>
      <c r="FUO278" s="147"/>
      <c r="FUP278" s="147"/>
      <c r="FUQ278" s="147"/>
      <c r="FUR278" s="147"/>
      <c r="FUS278" s="147"/>
      <c r="FUT278" s="147"/>
      <c r="FUU278" s="147"/>
      <c r="FUV278" s="147"/>
      <c r="FUW278" s="147"/>
      <c r="FUX278" s="147"/>
      <c r="FUY278" s="147"/>
      <c r="FUZ278" s="147"/>
      <c r="FVA278" s="147"/>
      <c r="FVB278" s="147"/>
      <c r="FVC278" s="147"/>
      <c r="FVD278" s="147"/>
      <c r="FVE278" s="147"/>
      <c r="FVF278" s="147"/>
      <c r="FVG278" s="147"/>
      <c r="FVH278" s="147"/>
      <c r="FVI278" s="147"/>
      <c r="FVJ278" s="147"/>
      <c r="FVK278" s="147"/>
      <c r="FVL278" s="147"/>
      <c r="FVM278" s="147"/>
      <c r="FVN278" s="147"/>
      <c r="FVO278" s="147"/>
      <c r="FVP278" s="147"/>
      <c r="FVQ278" s="147"/>
      <c r="FVR278" s="147"/>
      <c r="FVS278" s="147"/>
      <c r="FVT278" s="147"/>
      <c r="FVU278" s="147"/>
      <c r="FVV278" s="147"/>
      <c r="FVW278" s="147"/>
      <c r="FVX278" s="147"/>
      <c r="FVY278" s="147"/>
      <c r="FVZ278" s="147"/>
      <c r="FWA278" s="147"/>
      <c r="FWB278" s="147"/>
      <c r="FWC278" s="147"/>
      <c r="FWD278" s="147"/>
      <c r="FWE278" s="147"/>
      <c r="FWF278" s="147"/>
      <c r="FWG278" s="147"/>
      <c r="FWH278" s="147"/>
      <c r="FWI278" s="147"/>
      <c r="FWJ278" s="147"/>
      <c r="FWK278" s="147"/>
      <c r="FWL278" s="147"/>
      <c r="FWM278" s="147"/>
      <c r="FWN278" s="147"/>
      <c r="FWO278" s="147"/>
      <c r="FWP278" s="147"/>
      <c r="FWQ278" s="147"/>
      <c r="FWR278" s="147"/>
      <c r="FWS278" s="147"/>
      <c r="FWT278" s="147"/>
      <c r="FWU278" s="147"/>
      <c r="FWV278" s="147"/>
      <c r="FWW278" s="147"/>
      <c r="FWX278" s="147"/>
      <c r="FWY278" s="147"/>
      <c r="FWZ278" s="147"/>
      <c r="FXA278" s="147"/>
      <c r="FXB278" s="147"/>
      <c r="FXC278" s="147"/>
      <c r="FXD278" s="147"/>
      <c r="FXE278" s="147"/>
      <c r="FXF278" s="147"/>
      <c r="FXG278" s="147"/>
      <c r="FXH278" s="147"/>
      <c r="FXI278" s="147"/>
      <c r="FXJ278" s="147"/>
      <c r="FXK278" s="147"/>
      <c r="FXL278" s="147"/>
      <c r="FXM278" s="147"/>
      <c r="FXN278" s="147"/>
      <c r="FXO278" s="147"/>
      <c r="FXP278" s="147"/>
      <c r="FXQ278" s="147"/>
      <c r="FXR278" s="147"/>
      <c r="FXS278" s="147"/>
      <c r="FXT278" s="147"/>
      <c r="FXU278" s="147"/>
      <c r="FXV278" s="147"/>
      <c r="FXW278" s="147"/>
      <c r="FXX278" s="147"/>
      <c r="FXY278" s="147"/>
      <c r="FXZ278" s="147"/>
      <c r="FYA278" s="147"/>
      <c r="FYB278" s="147"/>
      <c r="FYC278" s="147"/>
      <c r="FYD278" s="147"/>
      <c r="FYE278" s="147"/>
      <c r="FYF278" s="147"/>
      <c r="FYG278" s="147"/>
      <c r="FYH278" s="147"/>
      <c r="FYI278" s="147"/>
      <c r="FYJ278" s="147"/>
      <c r="FYK278" s="147"/>
      <c r="FYL278" s="147"/>
      <c r="FYM278" s="147"/>
      <c r="FYN278" s="147"/>
      <c r="FYO278" s="147"/>
      <c r="FYP278" s="147"/>
      <c r="FYQ278" s="147"/>
      <c r="FYR278" s="147"/>
      <c r="FYS278" s="147"/>
      <c r="FYT278" s="147"/>
      <c r="FYU278" s="147"/>
      <c r="FYV278" s="147"/>
      <c r="FYW278" s="147"/>
      <c r="FYX278" s="147"/>
      <c r="FYY278" s="147"/>
      <c r="FYZ278" s="147"/>
      <c r="FZA278" s="147"/>
      <c r="FZB278" s="147"/>
      <c r="FZC278" s="147"/>
      <c r="FZD278" s="147"/>
      <c r="FZE278" s="147"/>
      <c r="FZF278" s="147"/>
      <c r="FZG278" s="147"/>
      <c r="FZH278" s="147"/>
      <c r="FZI278" s="147"/>
      <c r="FZJ278" s="147"/>
      <c r="FZK278" s="147"/>
      <c r="FZL278" s="147"/>
      <c r="FZM278" s="147"/>
      <c r="FZN278" s="147"/>
      <c r="FZO278" s="147"/>
      <c r="FZP278" s="147"/>
      <c r="FZQ278" s="147"/>
      <c r="FZR278" s="147"/>
      <c r="FZS278" s="147"/>
      <c r="FZT278" s="147"/>
      <c r="FZU278" s="147"/>
      <c r="FZV278" s="147"/>
      <c r="FZW278" s="147"/>
      <c r="FZX278" s="147"/>
      <c r="FZY278" s="147"/>
      <c r="FZZ278" s="147"/>
      <c r="GAA278" s="147"/>
      <c r="GAB278" s="147"/>
      <c r="GAC278" s="147"/>
      <c r="GAD278" s="147"/>
      <c r="GAE278" s="147"/>
      <c r="GAF278" s="147"/>
      <c r="GAG278" s="147"/>
      <c r="GAH278" s="147"/>
      <c r="GAI278" s="147"/>
      <c r="GAJ278" s="147"/>
      <c r="GAK278" s="147"/>
      <c r="GAL278" s="147"/>
      <c r="GAM278" s="147"/>
      <c r="GAN278" s="147"/>
      <c r="GAO278" s="147"/>
      <c r="GAP278" s="147"/>
      <c r="GAQ278" s="147"/>
      <c r="GAR278" s="147"/>
      <c r="GAS278" s="147"/>
      <c r="GAT278" s="147"/>
      <c r="GAU278" s="147"/>
      <c r="GAV278" s="147"/>
      <c r="GAW278" s="147"/>
      <c r="GAX278" s="147"/>
      <c r="GAY278" s="147"/>
      <c r="GAZ278" s="147"/>
      <c r="GBA278" s="147"/>
      <c r="GBB278" s="147"/>
      <c r="GBC278" s="147"/>
      <c r="GBD278" s="147"/>
      <c r="GBE278" s="147"/>
      <c r="GBF278" s="147"/>
      <c r="GBG278" s="147"/>
      <c r="GBH278" s="147"/>
      <c r="GBI278" s="147"/>
      <c r="GBJ278" s="147"/>
      <c r="GBK278" s="147"/>
      <c r="GBL278" s="147"/>
      <c r="GBM278" s="147"/>
      <c r="GBN278" s="147"/>
      <c r="GBO278" s="147"/>
      <c r="GBP278" s="147"/>
      <c r="GBQ278" s="147"/>
      <c r="GBR278" s="147"/>
      <c r="GBS278" s="147"/>
      <c r="GBT278" s="147"/>
      <c r="GBU278" s="147"/>
      <c r="GBV278" s="147"/>
      <c r="GBW278" s="147"/>
      <c r="GBX278" s="147"/>
      <c r="GBY278" s="147"/>
      <c r="GBZ278" s="147"/>
      <c r="GCA278" s="147"/>
      <c r="GCB278" s="147"/>
      <c r="GCC278" s="147"/>
      <c r="GCD278" s="147"/>
      <c r="GCE278" s="147"/>
      <c r="GCF278" s="147"/>
      <c r="GCG278" s="147"/>
      <c r="GCH278" s="147"/>
      <c r="GCI278" s="147"/>
      <c r="GCJ278" s="147"/>
      <c r="GCK278" s="147"/>
      <c r="GCL278" s="147"/>
      <c r="GCM278" s="147"/>
      <c r="GCN278" s="147"/>
      <c r="GCO278" s="147"/>
      <c r="GCP278" s="147"/>
      <c r="GCQ278" s="147"/>
      <c r="GCR278" s="147"/>
      <c r="GCS278" s="147"/>
      <c r="GCT278" s="147"/>
      <c r="GCU278" s="147"/>
      <c r="GCV278" s="147"/>
      <c r="GCW278" s="147"/>
      <c r="GCX278" s="147"/>
      <c r="GCY278" s="147"/>
      <c r="GCZ278" s="147"/>
      <c r="GDA278" s="147"/>
      <c r="GDB278" s="147"/>
      <c r="GDC278" s="147"/>
      <c r="GDD278" s="147"/>
      <c r="GDE278" s="147"/>
      <c r="GDF278" s="147"/>
      <c r="GDG278" s="147"/>
      <c r="GDH278" s="147"/>
      <c r="GDI278" s="147"/>
      <c r="GDJ278" s="147"/>
      <c r="GDK278" s="147"/>
      <c r="GDL278" s="147"/>
      <c r="GDM278" s="147"/>
      <c r="GDN278" s="147"/>
      <c r="GDO278" s="147"/>
      <c r="GDP278" s="147"/>
      <c r="GDQ278" s="147"/>
      <c r="GDR278" s="147"/>
      <c r="GDS278" s="147"/>
      <c r="GDT278" s="147"/>
      <c r="GDU278" s="147"/>
      <c r="GDV278" s="147"/>
      <c r="GDW278" s="147"/>
      <c r="GDX278" s="147"/>
      <c r="GDY278" s="147"/>
      <c r="GDZ278" s="147"/>
      <c r="GEA278" s="147"/>
      <c r="GEB278" s="147"/>
      <c r="GEC278" s="147"/>
      <c r="GED278" s="147"/>
      <c r="GEE278" s="147"/>
      <c r="GEF278" s="147"/>
      <c r="GEG278" s="147"/>
      <c r="GEH278" s="147"/>
      <c r="GEI278" s="147"/>
      <c r="GEJ278" s="147"/>
      <c r="GEK278" s="147"/>
      <c r="GEL278" s="147"/>
      <c r="GEM278" s="147"/>
      <c r="GEN278" s="147"/>
      <c r="GEO278" s="147"/>
      <c r="GEP278" s="147"/>
      <c r="GEQ278" s="147"/>
      <c r="GER278" s="147"/>
      <c r="GES278" s="147"/>
      <c r="GET278" s="147"/>
      <c r="GEU278" s="147"/>
      <c r="GEV278" s="147"/>
      <c r="GEW278" s="147"/>
      <c r="GEX278" s="147"/>
      <c r="GEY278" s="147"/>
      <c r="GEZ278" s="147"/>
      <c r="GFA278" s="147"/>
      <c r="GFB278" s="147"/>
      <c r="GFC278" s="147"/>
      <c r="GFD278" s="147"/>
      <c r="GFE278" s="147"/>
      <c r="GFF278" s="147"/>
      <c r="GFG278" s="147"/>
      <c r="GFH278" s="147"/>
      <c r="GFI278" s="147"/>
      <c r="GFJ278" s="147"/>
      <c r="GFK278" s="147"/>
      <c r="GFL278" s="147"/>
      <c r="GFM278" s="147"/>
      <c r="GFN278" s="147"/>
      <c r="GFO278" s="147"/>
      <c r="GFP278" s="147"/>
      <c r="GFQ278" s="147"/>
      <c r="GFR278" s="147"/>
      <c r="GFS278" s="147"/>
      <c r="GFT278" s="147"/>
      <c r="GFU278" s="147"/>
      <c r="GFV278" s="147"/>
      <c r="GFW278" s="147"/>
      <c r="GFX278" s="147"/>
      <c r="GFY278" s="147"/>
      <c r="GFZ278" s="147"/>
      <c r="GGA278" s="147"/>
      <c r="GGB278" s="147"/>
      <c r="GGC278" s="147"/>
      <c r="GGD278" s="147"/>
      <c r="GGE278" s="147"/>
      <c r="GGF278" s="147"/>
      <c r="GGG278" s="147"/>
      <c r="GGH278" s="147"/>
      <c r="GGI278" s="147"/>
      <c r="GGJ278" s="147"/>
      <c r="GGK278" s="147"/>
      <c r="GGL278" s="147"/>
      <c r="GGM278" s="147"/>
      <c r="GGN278" s="147"/>
      <c r="GGO278" s="147"/>
      <c r="GGP278" s="147"/>
      <c r="GGQ278" s="147"/>
      <c r="GGR278" s="147"/>
      <c r="GGS278" s="147"/>
      <c r="GGT278" s="147"/>
      <c r="GGU278" s="147"/>
      <c r="GGV278" s="147"/>
      <c r="GGW278" s="147"/>
      <c r="GGX278" s="147"/>
      <c r="GGY278" s="147"/>
      <c r="GGZ278" s="147"/>
      <c r="GHA278" s="147"/>
      <c r="GHB278" s="147"/>
      <c r="GHC278" s="147"/>
      <c r="GHD278" s="147"/>
      <c r="GHE278" s="147"/>
      <c r="GHF278" s="147"/>
      <c r="GHG278" s="147"/>
      <c r="GHH278" s="147"/>
      <c r="GHI278" s="147"/>
      <c r="GHJ278" s="147"/>
      <c r="GHK278" s="147"/>
      <c r="GHL278" s="147"/>
      <c r="GHM278" s="147"/>
      <c r="GHN278" s="147"/>
      <c r="GHO278" s="147"/>
      <c r="GHP278" s="147"/>
      <c r="GHQ278" s="147"/>
      <c r="GHR278" s="147"/>
      <c r="GHS278" s="147"/>
      <c r="GHT278" s="147"/>
      <c r="GHU278" s="147"/>
      <c r="GHV278" s="147"/>
      <c r="GHW278" s="147"/>
      <c r="GHX278" s="147"/>
      <c r="GHY278" s="147"/>
      <c r="GHZ278" s="147"/>
      <c r="GIA278" s="147"/>
      <c r="GIB278" s="147"/>
      <c r="GIC278" s="147"/>
      <c r="GID278" s="147"/>
      <c r="GIE278" s="147"/>
      <c r="GIF278" s="147"/>
      <c r="GIG278" s="147"/>
      <c r="GIH278" s="147"/>
      <c r="GII278" s="147"/>
      <c r="GIJ278" s="147"/>
      <c r="GIK278" s="147"/>
      <c r="GIL278" s="147"/>
      <c r="GIM278" s="147"/>
      <c r="GIN278" s="147"/>
      <c r="GIO278" s="147"/>
      <c r="GIP278" s="147"/>
      <c r="GIQ278" s="147"/>
      <c r="GIR278" s="147"/>
      <c r="GIS278" s="147"/>
      <c r="GIT278" s="147"/>
      <c r="GIU278" s="147"/>
      <c r="GIV278" s="147"/>
      <c r="GIW278" s="147"/>
      <c r="GIX278" s="147"/>
      <c r="GIY278" s="147"/>
      <c r="GIZ278" s="147"/>
      <c r="GJA278" s="147"/>
      <c r="GJB278" s="147"/>
      <c r="GJC278" s="147"/>
      <c r="GJD278" s="147"/>
      <c r="GJE278" s="147"/>
      <c r="GJF278" s="147"/>
      <c r="GJG278" s="147"/>
      <c r="GJH278" s="147"/>
      <c r="GJI278" s="147"/>
      <c r="GJJ278" s="147"/>
      <c r="GJK278" s="147"/>
      <c r="GJL278" s="147"/>
      <c r="GJM278" s="147"/>
      <c r="GJN278" s="147"/>
      <c r="GJO278" s="147"/>
      <c r="GJP278" s="147"/>
      <c r="GJQ278" s="147"/>
      <c r="GJR278" s="147"/>
      <c r="GJS278" s="147"/>
      <c r="GJT278" s="147"/>
      <c r="GJU278" s="147"/>
      <c r="GJV278" s="147"/>
      <c r="GJW278" s="147"/>
      <c r="GJX278" s="147"/>
      <c r="GJY278" s="147"/>
      <c r="GJZ278" s="147"/>
      <c r="GKA278" s="147"/>
      <c r="GKB278" s="147"/>
      <c r="GKC278" s="147"/>
      <c r="GKD278" s="147"/>
      <c r="GKE278" s="147"/>
      <c r="GKF278" s="147"/>
      <c r="GKG278" s="147"/>
      <c r="GKH278" s="147"/>
      <c r="GKI278" s="147"/>
      <c r="GKJ278" s="147"/>
      <c r="GKK278" s="147"/>
      <c r="GKL278" s="147"/>
      <c r="GKM278" s="147"/>
      <c r="GKN278" s="147"/>
      <c r="GKO278" s="147"/>
      <c r="GKP278" s="147"/>
      <c r="GKQ278" s="147"/>
      <c r="GKR278" s="147"/>
      <c r="GKS278" s="147"/>
      <c r="GKT278" s="147"/>
      <c r="GKU278" s="147"/>
      <c r="GKV278" s="147"/>
      <c r="GKW278" s="147"/>
      <c r="GKX278" s="147"/>
      <c r="GKY278" s="147"/>
      <c r="GKZ278" s="147"/>
      <c r="GLA278" s="147"/>
      <c r="GLB278" s="147"/>
      <c r="GLC278" s="147"/>
      <c r="GLD278" s="147"/>
      <c r="GLE278" s="147"/>
      <c r="GLF278" s="147"/>
      <c r="GLG278" s="147"/>
      <c r="GLH278" s="147"/>
      <c r="GLI278" s="147"/>
      <c r="GLJ278" s="147"/>
      <c r="GLK278" s="147"/>
      <c r="GLL278" s="147"/>
      <c r="GLM278" s="147"/>
      <c r="GLN278" s="147"/>
      <c r="GLO278" s="147"/>
      <c r="GLP278" s="147"/>
      <c r="GLQ278" s="147"/>
      <c r="GLR278" s="147"/>
      <c r="GLS278" s="147"/>
      <c r="GLT278" s="147"/>
      <c r="GLU278" s="147"/>
      <c r="GLV278" s="147"/>
      <c r="GLW278" s="147"/>
      <c r="GLX278" s="147"/>
      <c r="GLY278" s="147"/>
      <c r="GLZ278" s="147"/>
      <c r="GMA278" s="147"/>
      <c r="GMB278" s="147"/>
      <c r="GMC278" s="147"/>
      <c r="GMD278" s="147"/>
      <c r="GME278" s="147"/>
      <c r="GMF278" s="147"/>
      <c r="GMG278" s="147"/>
      <c r="GMH278" s="147"/>
      <c r="GMI278" s="147"/>
      <c r="GMJ278" s="147"/>
      <c r="GMK278" s="147"/>
      <c r="GML278" s="147"/>
      <c r="GMM278" s="147"/>
      <c r="GMN278" s="147"/>
      <c r="GMO278" s="147"/>
      <c r="GMP278" s="147"/>
      <c r="GMQ278" s="147"/>
      <c r="GMR278" s="147"/>
      <c r="GMS278" s="147"/>
      <c r="GMT278" s="147"/>
      <c r="GMU278" s="147"/>
      <c r="GMV278" s="147"/>
      <c r="GMW278" s="147"/>
      <c r="GMX278" s="147"/>
      <c r="GMY278" s="147"/>
      <c r="GMZ278" s="147"/>
      <c r="GNA278" s="147"/>
      <c r="GNB278" s="147"/>
      <c r="GNC278" s="147"/>
      <c r="GND278" s="147"/>
      <c r="GNE278" s="147"/>
      <c r="GNF278" s="147"/>
      <c r="GNG278" s="147"/>
      <c r="GNH278" s="147"/>
      <c r="GNI278" s="147"/>
      <c r="GNJ278" s="147"/>
      <c r="GNK278" s="147"/>
      <c r="GNL278" s="147"/>
      <c r="GNM278" s="147"/>
      <c r="GNN278" s="147"/>
      <c r="GNO278" s="147"/>
      <c r="GNP278" s="147"/>
      <c r="GNQ278" s="147"/>
      <c r="GNR278" s="147"/>
      <c r="GNS278" s="147"/>
      <c r="GNT278" s="147"/>
      <c r="GNU278" s="147"/>
      <c r="GNV278" s="147"/>
      <c r="GNW278" s="147"/>
      <c r="GNX278" s="147"/>
      <c r="GNY278" s="147"/>
      <c r="GNZ278" s="147"/>
      <c r="GOA278" s="147"/>
      <c r="GOB278" s="147"/>
      <c r="GOC278" s="147"/>
      <c r="GOD278" s="147"/>
      <c r="GOE278" s="147"/>
      <c r="GOF278" s="147"/>
      <c r="GOG278" s="147"/>
      <c r="GOH278" s="147"/>
      <c r="GOI278" s="147"/>
      <c r="GOJ278" s="147"/>
      <c r="GOK278" s="147"/>
      <c r="GOL278" s="147"/>
      <c r="GOM278" s="147"/>
      <c r="GON278" s="147"/>
      <c r="GOO278" s="147"/>
      <c r="GOP278" s="147"/>
      <c r="GOQ278" s="147"/>
      <c r="GOR278" s="147"/>
      <c r="GOS278" s="147"/>
      <c r="GOT278" s="147"/>
      <c r="GOU278" s="147"/>
      <c r="GOV278" s="147"/>
      <c r="GOW278" s="147"/>
      <c r="GOX278" s="147"/>
      <c r="GOY278" s="147"/>
      <c r="GOZ278" s="147"/>
      <c r="GPA278" s="147"/>
      <c r="GPB278" s="147"/>
      <c r="GPC278" s="147"/>
      <c r="GPD278" s="147"/>
      <c r="GPE278" s="147"/>
      <c r="GPF278" s="147"/>
      <c r="GPG278" s="147"/>
      <c r="GPH278" s="147"/>
      <c r="GPI278" s="147"/>
      <c r="GPJ278" s="147"/>
      <c r="GPK278" s="147"/>
      <c r="GPL278" s="147"/>
      <c r="GPM278" s="147"/>
      <c r="GPN278" s="147"/>
      <c r="GPO278" s="147"/>
      <c r="GPP278" s="147"/>
      <c r="GPQ278" s="147"/>
      <c r="GPR278" s="147"/>
      <c r="GPS278" s="147"/>
      <c r="GPT278" s="147"/>
      <c r="GPU278" s="147"/>
      <c r="GPV278" s="147"/>
      <c r="GPW278" s="147"/>
      <c r="GPX278" s="147"/>
      <c r="GPY278" s="147"/>
      <c r="GPZ278" s="147"/>
      <c r="GQA278" s="147"/>
      <c r="GQB278" s="147"/>
      <c r="GQC278" s="147"/>
      <c r="GQD278" s="147"/>
      <c r="GQE278" s="147"/>
      <c r="GQF278" s="147"/>
      <c r="GQG278" s="147"/>
      <c r="GQH278" s="147"/>
      <c r="GQI278" s="147"/>
      <c r="GQJ278" s="147"/>
      <c r="GQK278" s="147"/>
      <c r="GQL278" s="147"/>
      <c r="GQM278" s="147"/>
      <c r="GQN278" s="147"/>
      <c r="GQO278" s="147"/>
      <c r="GQP278" s="147"/>
      <c r="GQQ278" s="147"/>
      <c r="GQR278" s="147"/>
      <c r="GQS278" s="147"/>
      <c r="GQT278" s="147"/>
      <c r="GQU278" s="147"/>
      <c r="GQV278" s="147"/>
      <c r="GQW278" s="147"/>
      <c r="GQX278" s="147"/>
      <c r="GQY278" s="147"/>
      <c r="GQZ278" s="147"/>
      <c r="GRA278" s="147"/>
      <c r="GRB278" s="147"/>
      <c r="GRC278" s="147"/>
      <c r="GRD278" s="147"/>
      <c r="GRE278" s="147"/>
      <c r="GRF278" s="147"/>
      <c r="GRG278" s="147"/>
      <c r="GRH278" s="147"/>
      <c r="GRI278" s="147"/>
      <c r="GRJ278" s="147"/>
      <c r="GRK278" s="147"/>
      <c r="GRL278" s="147"/>
      <c r="GRM278" s="147"/>
      <c r="GRN278" s="147"/>
      <c r="GRO278" s="147"/>
      <c r="GRP278" s="147"/>
      <c r="GRQ278" s="147"/>
      <c r="GRR278" s="147"/>
      <c r="GRS278" s="147"/>
      <c r="GRT278" s="147"/>
      <c r="GRU278" s="147"/>
      <c r="GRV278" s="147"/>
      <c r="GRW278" s="147"/>
      <c r="GRX278" s="147"/>
      <c r="GRY278" s="147"/>
      <c r="GRZ278" s="147"/>
      <c r="GSA278" s="147"/>
      <c r="GSB278" s="147"/>
      <c r="GSC278" s="147"/>
      <c r="GSD278" s="147"/>
      <c r="GSE278" s="147"/>
      <c r="GSF278" s="147"/>
      <c r="GSG278" s="147"/>
      <c r="GSH278" s="147"/>
      <c r="GSI278" s="147"/>
      <c r="GSJ278" s="147"/>
      <c r="GSK278" s="147"/>
      <c r="GSL278" s="147"/>
      <c r="GSM278" s="147"/>
      <c r="GSN278" s="147"/>
      <c r="GSO278" s="147"/>
      <c r="GSP278" s="147"/>
      <c r="GSQ278" s="147"/>
      <c r="GSR278" s="147"/>
      <c r="GSS278" s="147"/>
      <c r="GST278" s="147"/>
      <c r="GSU278" s="147"/>
      <c r="GSV278" s="147"/>
      <c r="GSW278" s="147"/>
      <c r="GSX278" s="147"/>
      <c r="GSY278" s="147"/>
      <c r="GSZ278" s="147"/>
      <c r="GTA278" s="147"/>
      <c r="GTB278" s="147"/>
      <c r="GTC278" s="147"/>
      <c r="GTD278" s="147"/>
      <c r="GTE278" s="147"/>
      <c r="GTF278" s="147"/>
      <c r="GTG278" s="147"/>
      <c r="GTH278" s="147"/>
      <c r="GTI278" s="147"/>
      <c r="GTJ278" s="147"/>
      <c r="GTK278" s="147"/>
      <c r="GTL278" s="147"/>
      <c r="GTM278" s="147"/>
      <c r="GTN278" s="147"/>
      <c r="GTO278" s="147"/>
      <c r="GTP278" s="147"/>
      <c r="GTQ278" s="147"/>
      <c r="GTR278" s="147"/>
      <c r="GTS278" s="147"/>
      <c r="GTT278" s="147"/>
      <c r="GTU278" s="147"/>
      <c r="GTV278" s="147"/>
      <c r="GTW278" s="147"/>
      <c r="GTX278" s="147"/>
      <c r="GTY278" s="147"/>
      <c r="GTZ278" s="147"/>
      <c r="GUA278" s="147"/>
      <c r="GUB278" s="147"/>
      <c r="GUC278" s="147"/>
      <c r="GUD278" s="147"/>
      <c r="GUE278" s="147"/>
      <c r="GUF278" s="147"/>
      <c r="GUG278" s="147"/>
      <c r="GUH278" s="147"/>
      <c r="GUI278" s="147"/>
      <c r="GUJ278" s="147"/>
      <c r="GUK278" s="147"/>
      <c r="GUL278" s="147"/>
      <c r="GUM278" s="147"/>
      <c r="GUN278" s="147"/>
      <c r="GUO278" s="147"/>
      <c r="GUP278" s="147"/>
      <c r="GUQ278" s="147"/>
      <c r="GUR278" s="147"/>
      <c r="GUS278" s="147"/>
      <c r="GUT278" s="147"/>
      <c r="GUU278" s="147"/>
      <c r="GUV278" s="147"/>
      <c r="GUW278" s="147"/>
      <c r="GUX278" s="147"/>
      <c r="GUY278" s="147"/>
      <c r="GUZ278" s="147"/>
      <c r="GVA278" s="147"/>
      <c r="GVB278" s="147"/>
      <c r="GVC278" s="147"/>
      <c r="GVD278" s="147"/>
      <c r="GVE278" s="147"/>
      <c r="GVF278" s="147"/>
      <c r="GVG278" s="147"/>
      <c r="GVH278" s="147"/>
      <c r="GVI278" s="147"/>
      <c r="GVJ278" s="147"/>
      <c r="GVK278" s="147"/>
      <c r="GVL278" s="147"/>
      <c r="GVM278" s="147"/>
      <c r="GVN278" s="147"/>
      <c r="GVO278" s="147"/>
      <c r="GVP278" s="147"/>
      <c r="GVQ278" s="147"/>
      <c r="GVR278" s="147"/>
      <c r="GVS278" s="147"/>
      <c r="GVT278" s="147"/>
      <c r="GVU278" s="147"/>
      <c r="GVV278" s="147"/>
      <c r="GVW278" s="147"/>
      <c r="GVX278" s="147"/>
      <c r="GVY278" s="147"/>
      <c r="GVZ278" s="147"/>
      <c r="GWA278" s="147"/>
      <c r="GWB278" s="147"/>
      <c r="GWC278" s="147"/>
      <c r="GWD278" s="147"/>
      <c r="GWE278" s="147"/>
      <c r="GWF278" s="147"/>
      <c r="GWG278" s="147"/>
      <c r="GWH278" s="147"/>
      <c r="GWI278" s="147"/>
      <c r="GWJ278" s="147"/>
      <c r="GWK278" s="147"/>
      <c r="GWL278" s="147"/>
      <c r="GWM278" s="147"/>
      <c r="GWN278" s="147"/>
      <c r="GWO278" s="147"/>
      <c r="GWP278" s="147"/>
      <c r="GWQ278" s="147"/>
      <c r="GWR278" s="147"/>
      <c r="GWS278" s="147"/>
      <c r="GWT278" s="147"/>
      <c r="GWU278" s="147"/>
      <c r="GWV278" s="147"/>
      <c r="GWW278" s="147"/>
      <c r="GWX278" s="147"/>
      <c r="GWY278" s="147"/>
      <c r="GWZ278" s="147"/>
      <c r="GXA278" s="147"/>
      <c r="GXB278" s="147"/>
      <c r="GXC278" s="147"/>
      <c r="GXD278" s="147"/>
      <c r="GXE278" s="147"/>
      <c r="GXF278" s="147"/>
      <c r="GXG278" s="147"/>
      <c r="GXH278" s="147"/>
      <c r="GXI278" s="147"/>
      <c r="GXJ278" s="147"/>
      <c r="GXK278" s="147"/>
      <c r="GXL278" s="147"/>
      <c r="GXM278" s="147"/>
      <c r="GXN278" s="147"/>
      <c r="GXO278" s="147"/>
      <c r="GXP278" s="147"/>
      <c r="GXQ278" s="147"/>
      <c r="GXR278" s="147"/>
      <c r="GXS278" s="147"/>
      <c r="GXT278" s="147"/>
      <c r="GXU278" s="147"/>
      <c r="GXV278" s="147"/>
      <c r="GXW278" s="147"/>
      <c r="GXX278" s="147"/>
      <c r="GXY278" s="147"/>
      <c r="GXZ278" s="147"/>
      <c r="GYA278" s="147"/>
      <c r="GYB278" s="147"/>
      <c r="GYC278" s="147"/>
      <c r="GYD278" s="147"/>
      <c r="GYE278" s="147"/>
      <c r="GYF278" s="147"/>
      <c r="GYG278" s="147"/>
      <c r="GYH278" s="147"/>
      <c r="GYI278" s="147"/>
      <c r="GYJ278" s="147"/>
      <c r="GYK278" s="147"/>
      <c r="GYL278" s="147"/>
      <c r="GYM278" s="147"/>
      <c r="GYN278" s="147"/>
      <c r="GYO278" s="147"/>
      <c r="GYP278" s="147"/>
      <c r="GYQ278" s="147"/>
      <c r="GYR278" s="147"/>
      <c r="GYS278" s="147"/>
      <c r="GYT278" s="147"/>
      <c r="GYU278" s="147"/>
      <c r="GYV278" s="147"/>
      <c r="GYW278" s="147"/>
      <c r="GYX278" s="147"/>
      <c r="GYY278" s="147"/>
      <c r="GYZ278" s="147"/>
      <c r="GZA278" s="147"/>
      <c r="GZB278" s="147"/>
      <c r="GZC278" s="147"/>
      <c r="GZD278" s="147"/>
      <c r="GZE278" s="147"/>
      <c r="GZF278" s="147"/>
      <c r="GZG278" s="147"/>
      <c r="GZH278" s="147"/>
      <c r="GZI278" s="147"/>
      <c r="GZJ278" s="147"/>
      <c r="GZK278" s="147"/>
      <c r="GZL278" s="147"/>
      <c r="GZM278" s="147"/>
      <c r="GZN278" s="147"/>
      <c r="GZO278" s="147"/>
      <c r="GZP278" s="147"/>
      <c r="GZQ278" s="147"/>
      <c r="GZR278" s="147"/>
      <c r="GZS278" s="147"/>
      <c r="GZT278" s="147"/>
      <c r="GZU278" s="147"/>
      <c r="GZV278" s="147"/>
      <c r="GZW278" s="147"/>
      <c r="GZX278" s="147"/>
      <c r="GZY278" s="147"/>
      <c r="GZZ278" s="147"/>
      <c r="HAA278" s="147"/>
      <c r="HAB278" s="147"/>
      <c r="HAC278" s="147"/>
      <c r="HAD278" s="147"/>
      <c r="HAE278" s="147"/>
      <c r="HAF278" s="147"/>
      <c r="HAG278" s="147"/>
      <c r="HAH278" s="147"/>
      <c r="HAI278" s="147"/>
      <c r="HAJ278" s="147"/>
      <c r="HAK278" s="147"/>
      <c r="HAL278" s="147"/>
      <c r="HAM278" s="147"/>
      <c r="HAN278" s="147"/>
      <c r="HAO278" s="147"/>
      <c r="HAP278" s="147"/>
      <c r="HAQ278" s="147"/>
      <c r="HAR278" s="147"/>
      <c r="HAS278" s="147"/>
      <c r="HAT278" s="147"/>
      <c r="HAU278" s="147"/>
      <c r="HAV278" s="147"/>
      <c r="HAW278" s="147"/>
      <c r="HAX278" s="147"/>
      <c r="HAY278" s="147"/>
      <c r="HAZ278" s="147"/>
      <c r="HBA278" s="147"/>
      <c r="HBB278" s="147"/>
      <c r="HBC278" s="147"/>
      <c r="HBD278" s="147"/>
      <c r="HBE278" s="147"/>
      <c r="HBF278" s="147"/>
      <c r="HBG278" s="147"/>
      <c r="HBH278" s="147"/>
      <c r="HBI278" s="147"/>
      <c r="HBJ278" s="147"/>
      <c r="HBK278" s="147"/>
      <c r="HBL278" s="147"/>
      <c r="HBM278" s="147"/>
      <c r="HBN278" s="147"/>
      <c r="HBO278" s="147"/>
      <c r="HBP278" s="147"/>
      <c r="HBQ278" s="147"/>
      <c r="HBR278" s="147"/>
      <c r="HBS278" s="147"/>
      <c r="HBT278" s="147"/>
      <c r="HBU278" s="147"/>
      <c r="HBV278" s="147"/>
      <c r="HBW278" s="147"/>
      <c r="HBX278" s="147"/>
      <c r="HBY278" s="147"/>
      <c r="HBZ278" s="147"/>
      <c r="HCA278" s="147"/>
      <c r="HCB278" s="147"/>
      <c r="HCC278" s="147"/>
      <c r="HCD278" s="147"/>
      <c r="HCE278" s="147"/>
      <c r="HCF278" s="147"/>
      <c r="HCG278" s="147"/>
      <c r="HCH278" s="147"/>
      <c r="HCI278" s="147"/>
      <c r="HCJ278" s="147"/>
      <c r="HCK278" s="147"/>
      <c r="HCL278" s="147"/>
      <c r="HCM278" s="147"/>
      <c r="HCN278" s="147"/>
      <c r="HCO278" s="147"/>
      <c r="HCP278" s="147"/>
      <c r="HCQ278" s="147"/>
      <c r="HCR278" s="147"/>
      <c r="HCS278" s="147"/>
      <c r="HCT278" s="147"/>
      <c r="HCU278" s="147"/>
      <c r="HCV278" s="147"/>
      <c r="HCW278" s="147"/>
      <c r="HCX278" s="147"/>
      <c r="HCY278" s="147"/>
      <c r="HCZ278" s="147"/>
      <c r="HDA278" s="147"/>
      <c r="HDB278" s="147"/>
      <c r="HDC278" s="147"/>
      <c r="HDD278" s="147"/>
      <c r="HDE278" s="147"/>
      <c r="HDF278" s="147"/>
      <c r="HDG278" s="147"/>
      <c r="HDH278" s="147"/>
      <c r="HDI278" s="147"/>
      <c r="HDJ278" s="147"/>
      <c r="HDK278" s="147"/>
      <c r="HDL278" s="147"/>
      <c r="HDM278" s="147"/>
      <c r="HDN278" s="147"/>
      <c r="HDO278" s="147"/>
      <c r="HDP278" s="147"/>
      <c r="HDQ278" s="147"/>
      <c r="HDR278" s="147"/>
      <c r="HDS278" s="147"/>
      <c r="HDT278" s="147"/>
      <c r="HDU278" s="147"/>
      <c r="HDV278" s="147"/>
      <c r="HDW278" s="147"/>
      <c r="HDX278" s="147"/>
      <c r="HDY278" s="147"/>
      <c r="HDZ278" s="147"/>
      <c r="HEA278" s="147"/>
      <c r="HEB278" s="147"/>
      <c r="HEC278" s="147"/>
      <c r="HED278" s="147"/>
      <c r="HEE278" s="147"/>
      <c r="HEF278" s="147"/>
      <c r="HEG278" s="147"/>
      <c r="HEH278" s="147"/>
      <c r="HEI278" s="147"/>
      <c r="HEJ278" s="147"/>
      <c r="HEK278" s="147"/>
      <c r="HEL278" s="147"/>
      <c r="HEM278" s="147"/>
      <c r="HEN278" s="147"/>
      <c r="HEO278" s="147"/>
      <c r="HEP278" s="147"/>
      <c r="HEQ278" s="147"/>
      <c r="HER278" s="147"/>
      <c r="HES278" s="147"/>
      <c r="HET278" s="147"/>
      <c r="HEU278" s="147"/>
      <c r="HEV278" s="147"/>
      <c r="HEW278" s="147"/>
      <c r="HEX278" s="147"/>
      <c r="HEY278" s="147"/>
      <c r="HEZ278" s="147"/>
      <c r="HFA278" s="147"/>
      <c r="HFB278" s="147"/>
      <c r="HFC278" s="147"/>
      <c r="HFD278" s="147"/>
      <c r="HFE278" s="147"/>
      <c r="HFF278" s="147"/>
      <c r="HFG278" s="147"/>
      <c r="HFH278" s="147"/>
      <c r="HFI278" s="147"/>
      <c r="HFJ278" s="147"/>
      <c r="HFK278" s="147"/>
      <c r="HFL278" s="147"/>
      <c r="HFM278" s="147"/>
      <c r="HFN278" s="147"/>
      <c r="HFO278" s="147"/>
      <c r="HFP278" s="147"/>
      <c r="HFQ278" s="147"/>
      <c r="HFR278" s="147"/>
      <c r="HFS278" s="147"/>
      <c r="HFT278" s="147"/>
      <c r="HFU278" s="147"/>
      <c r="HFV278" s="147"/>
      <c r="HFW278" s="147"/>
      <c r="HFX278" s="147"/>
      <c r="HFY278" s="147"/>
      <c r="HFZ278" s="147"/>
      <c r="HGA278" s="147"/>
      <c r="HGB278" s="147"/>
      <c r="HGC278" s="147"/>
      <c r="HGD278" s="147"/>
      <c r="HGE278" s="147"/>
      <c r="HGF278" s="147"/>
      <c r="HGG278" s="147"/>
      <c r="HGH278" s="147"/>
      <c r="HGI278" s="147"/>
      <c r="HGJ278" s="147"/>
      <c r="HGK278" s="147"/>
      <c r="HGL278" s="147"/>
      <c r="HGM278" s="147"/>
      <c r="HGN278" s="147"/>
      <c r="HGO278" s="147"/>
      <c r="HGP278" s="147"/>
      <c r="HGQ278" s="147"/>
      <c r="HGR278" s="147"/>
      <c r="HGS278" s="147"/>
      <c r="HGT278" s="147"/>
      <c r="HGU278" s="147"/>
      <c r="HGV278" s="147"/>
      <c r="HGW278" s="147"/>
      <c r="HGX278" s="147"/>
      <c r="HGY278" s="147"/>
      <c r="HGZ278" s="147"/>
      <c r="HHA278" s="147"/>
      <c r="HHB278" s="147"/>
      <c r="HHC278" s="147"/>
      <c r="HHD278" s="147"/>
      <c r="HHE278" s="147"/>
      <c r="HHF278" s="147"/>
      <c r="HHG278" s="147"/>
      <c r="HHH278" s="147"/>
      <c r="HHI278" s="147"/>
      <c r="HHJ278" s="147"/>
      <c r="HHK278" s="147"/>
      <c r="HHL278" s="147"/>
      <c r="HHM278" s="147"/>
      <c r="HHN278" s="147"/>
      <c r="HHO278" s="147"/>
      <c r="HHP278" s="147"/>
      <c r="HHQ278" s="147"/>
      <c r="HHR278" s="147"/>
      <c r="HHS278" s="147"/>
      <c r="HHT278" s="147"/>
      <c r="HHU278" s="147"/>
      <c r="HHV278" s="147"/>
      <c r="HHW278" s="147"/>
      <c r="HHX278" s="147"/>
      <c r="HHY278" s="147"/>
      <c r="HHZ278" s="147"/>
      <c r="HIA278" s="147"/>
      <c r="HIB278" s="147"/>
      <c r="HIC278" s="147"/>
      <c r="HID278" s="147"/>
      <c r="HIE278" s="147"/>
      <c r="HIF278" s="147"/>
      <c r="HIG278" s="147"/>
      <c r="HIH278" s="147"/>
      <c r="HII278" s="147"/>
      <c r="HIJ278" s="147"/>
      <c r="HIK278" s="147"/>
      <c r="HIL278" s="147"/>
      <c r="HIM278" s="147"/>
      <c r="HIN278" s="147"/>
      <c r="HIO278" s="147"/>
      <c r="HIP278" s="147"/>
      <c r="HIQ278" s="147"/>
      <c r="HIR278" s="147"/>
      <c r="HIS278" s="147"/>
      <c r="HIT278" s="147"/>
      <c r="HIU278" s="147"/>
      <c r="HIV278" s="147"/>
      <c r="HIW278" s="147"/>
      <c r="HIX278" s="147"/>
      <c r="HIY278" s="147"/>
      <c r="HIZ278" s="147"/>
      <c r="HJA278" s="147"/>
      <c r="HJB278" s="147"/>
      <c r="HJC278" s="147"/>
      <c r="HJD278" s="147"/>
      <c r="HJE278" s="147"/>
      <c r="HJF278" s="147"/>
      <c r="HJG278" s="147"/>
      <c r="HJH278" s="147"/>
      <c r="HJI278" s="147"/>
      <c r="HJJ278" s="147"/>
      <c r="HJK278" s="147"/>
      <c r="HJL278" s="147"/>
      <c r="HJM278" s="147"/>
      <c r="HJN278" s="147"/>
      <c r="HJO278" s="147"/>
      <c r="HJP278" s="147"/>
      <c r="HJQ278" s="147"/>
      <c r="HJR278" s="147"/>
      <c r="HJS278" s="147"/>
      <c r="HJT278" s="147"/>
      <c r="HJU278" s="147"/>
      <c r="HJV278" s="147"/>
      <c r="HJW278" s="147"/>
      <c r="HJX278" s="147"/>
      <c r="HJY278" s="147"/>
      <c r="HJZ278" s="147"/>
      <c r="HKA278" s="147"/>
      <c r="HKB278" s="147"/>
      <c r="HKC278" s="147"/>
      <c r="HKD278" s="147"/>
      <c r="HKE278" s="147"/>
      <c r="HKF278" s="147"/>
      <c r="HKG278" s="147"/>
      <c r="HKH278" s="147"/>
      <c r="HKI278" s="147"/>
      <c r="HKJ278" s="147"/>
      <c r="HKK278" s="147"/>
      <c r="HKL278" s="147"/>
      <c r="HKM278" s="147"/>
      <c r="HKN278" s="147"/>
      <c r="HKO278" s="147"/>
      <c r="HKP278" s="147"/>
      <c r="HKQ278" s="147"/>
      <c r="HKR278" s="147"/>
      <c r="HKS278" s="147"/>
      <c r="HKT278" s="147"/>
      <c r="HKU278" s="147"/>
      <c r="HKV278" s="147"/>
      <c r="HKW278" s="147"/>
      <c r="HKX278" s="147"/>
      <c r="HKY278" s="147"/>
      <c r="HKZ278" s="147"/>
      <c r="HLA278" s="147"/>
      <c r="HLB278" s="147"/>
      <c r="HLC278" s="147"/>
      <c r="HLD278" s="147"/>
      <c r="HLE278" s="147"/>
      <c r="HLF278" s="147"/>
      <c r="HLG278" s="147"/>
      <c r="HLH278" s="147"/>
      <c r="HLI278" s="147"/>
      <c r="HLJ278" s="147"/>
      <c r="HLK278" s="147"/>
      <c r="HLL278" s="147"/>
      <c r="HLM278" s="147"/>
      <c r="HLN278" s="147"/>
      <c r="HLO278" s="147"/>
      <c r="HLP278" s="147"/>
      <c r="HLQ278" s="147"/>
      <c r="HLR278" s="147"/>
      <c r="HLS278" s="147"/>
      <c r="HLT278" s="147"/>
      <c r="HLU278" s="147"/>
      <c r="HLV278" s="147"/>
      <c r="HLW278" s="147"/>
      <c r="HLX278" s="147"/>
      <c r="HLY278" s="147"/>
      <c r="HLZ278" s="147"/>
      <c r="HMA278" s="147"/>
      <c r="HMB278" s="147"/>
      <c r="HMC278" s="147"/>
      <c r="HMD278" s="147"/>
      <c r="HME278" s="147"/>
      <c r="HMF278" s="147"/>
      <c r="HMG278" s="147"/>
      <c r="HMH278" s="147"/>
      <c r="HMI278" s="147"/>
      <c r="HMJ278" s="147"/>
      <c r="HMK278" s="147"/>
      <c r="HML278" s="147"/>
      <c r="HMM278" s="147"/>
      <c r="HMN278" s="147"/>
      <c r="HMO278" s="147"/>
      <c r="HMP278" s="147"/>
      <c r="HMQ278" s="147"/>
      <c r="HMR278" s="147"/>
      <c r="HMS278" s="147"/>
      <c r="HMT278" s="147"/>
      <c r="HMU278" s="147"/>
      <c r="HMV278" s="147"/>
      <c r="HMW278" s="147"/>
      <c r="HMX278" s="147"/>
      <c r="HMY278" s="147"/>
      <c r="HMZ278" s="147"/>
      <c r="HNA278" s="147"/>
      <c r="HNB278" s="147"/>
      <c r="HNC278" s="147"/>
      <c r="HND278" s="147"/>
      <c r="HNE278" s="147"/>
      <c r="HNF278" s="147"/>
      <c r="HNG278" s="147"/>
      <c r="HNH278" s="147"/>
      <c r="HNI278" s="147"/>
      <c r="HNJ278" s="147"/>
      <c r="HNK278" s="147"/>
      <c r="HNL278" s="147"/>
      <c r="HNM278" s="147"/>
      <c r="HNN278" s="147"/>
      <c r="HNO278" s="147"/>
      <c r="HNP278" s="147"/>
      <c r="HNQ278" s="147"/>
      <c r="HNR278" s="147"/>
      <c r="HNS278" s="147"/>
      <c r="HNT278" s="147"/>
      <c r="HNU278" s="147"/>
      <c r="HNV278" s="147"/>
      <c r="HNW278" s="147"/>
      <c r="HNX278" s="147"/>
      <c r="HNY278" s="147"/>
      <c r="HNZ278" s="147"/>
      <c r="HOA278" s="147"/>
      <c r="HOB278" s="147"/>
      <c r="HOC278" s="147"/>
      <c r="HOD278" s="147"/>
      <c r="HOE278" s="147"/>
      <c r="HOF278" s="147"/>
      <c r="HOG278" s="147"/>
      <c r="HOH278" s="147"/>
      <c r="HOI278" s="147"/>
      <c r="HOJ278" s="147"/>
      <c r="HOK278" s="147"/>
      <c r="HOL278" s="147"/>
      <c r="HOM278" s="147"/>
      <c r="HON278" s="147"/>
      <c r="HOO278" s="147"/>
      <c r="HOP278" s="147"/>
      <c r="HOQ278" s="147"/>
      <c r="HOR278" s="147"/>
      <c r="HOS278" s="147"/>
      <c r="HOT278" s="147"/>
      <c r="HOU278" s="147"/>
      <c r="HOV278" s="147"/>
      <c r="HOW278" s="147"/>
      <c r="HOX278" s="147"/>
      <c r="HOY278" s="147"/>
      <c r="HOZ278" s="147"/>
      <c r="HPA278" s="147"/>
      <c r="HPB278" s="147"/>
      <c r="HPC278" s="147"/>
      <c r="HPD278" s="147"/>
      <c r="HPE278" s="147"/>
      <c r="HPF278" s="147"/>
      <c r="HPG278" s="147"/>
      <c r="HPH278" s="147"/>
      <c r="HPI278" s="147"/>
      <c r="HPJ278" s="147"/>
      <c r="HPK278" s="147"/>
      <c r="HPL278" s="147"/>
      <c r="HPM278" s="147"/>
      <c r="HPN278" s="147"/>
      <c r="HPO278" s="147"/>
      <c r="HPP278" s="147"/>
      <c r="HPQ278" s="147"/>
      <c r="HPR278" s="147"/>
      <c r="HPS278" s="147"/>
      <c r="HPT278" s="147"/>
      <c r="HPU278" s="147"/>
      <c r="HPV278" s="147"/>
      <c r="HPW278" s="147"/>
      <c r="HPX278" s="147"/>
      <c r="HPY278" s="147"/>
      <c r="HPZ278" s="147"/>
      <c r="HQA278" s="147"/>
      <c r="HQB278" s="147"/>
      <c r="HQC278" s="147"/>
      <c r="HQD278" s="147"/>
      <c r="HQE278" s="147"/>
      <c r="HQF278" s="147"/>
      <c r="HQG278" s="147"/>
      <c r="HQH278" s="147"/>
      <c r="HQI278" s="147"/>
      <c r="HQJ278" s="147"/>
      <c r="HQK278" s="147"/>
      <c r="HQL278" s="147"/>
      <c r="HQM278" s="147"/>
      <c r="HQN278" s="147"/>
      <c r="HQO278" s="147"/>
      <c r="HQP278" s="147"/>
      <c r="HQQ278" s="147"/>
      <c r="HQR278" s="147"/>
      <c r="HQS278" s="147"/>
      <c r="HQT278" s="147"/>
      <c r="HQU278" s="147"/>
      <c r="HQV278" s="147"/>
      <c r="HQW278" s="147"/>
      <c r="HQX278" s="147"/>
      <c r="HQY278" s="147"/>
      <c r="HQZ278" s="147"/>
      <c r="HRA278" s="147"/>
      <c r="HRB278" s="147"/>
      <c r="HRC278" s="147"/>
      <c r="HRD278" s="147"/>
      <c r="HRE278" s="147"/>
      <c r="HRF278" s="147"/>
      <c r="HRG278" s="147"/>
      <c r="HRH278" s="147"/>
      <c r="HRI278" s="147"/>
      <c r="HRJ278" s="147"/>
      <c r="HRK278" s="147"/>
      <c r="HRL278" s="147"/>
      <c r="HRM278" s="147"/>
      <c r="HRN278" s="147"/>
      <c r="HRO278" s="147"/>
      <c r="HRP278" s="147"/>
      <c r="HRQ278" s="147"/>
      <c r="HRR278" s="147"/>
      <c r="HRS278" s="147"/>
      <c r="HRT278" s="147"/>
      <c r="HRU278" s="147"/>
      <c r="HRV278" s="147"/>
      <c r="HRW278" s="147"/>
      <c r="HRX278" s="147"/>
      <c r="HRY278" s="147"/>
      <c r="HRZ278" s="147"/>
      <c r="HSA278" s="147"/>
      <c r="HSB278" s="147"/>
      <c r="HSC278" s="147"/>
      <c r="HSD278" s="147"/>
      <c r="HSE278" s="147"/>
      <c r="HSF278" s="147"/>
      <c r="HSG278" s="147"/>
      <c r="HSH278" s="147"/>
      <c r="HSI278" s="147"/>
      <c r="HSJ278" s="147"/>
      <c r="HSK278" s="147"/>
      <c r="HSL278" s="147"/>
      <c r="HSM278" s="147"/>
      <c r="HSN278" s="147"/>
      <c r="HSO278" s="147"/>
      <c r="HSP278" s="147"/>
      <c r="HSQ278" s="147"/>
      <c r="HSR278" s="147"/>
      <c r="HSS278" s="147"/>
      <c r="HST278" s="147"/>
      <c r="HSU278" s="147"/>
      <c r="HSV278" s="147"/>
      <c r="HSW278" s="147"/>
      <c r="HSX278" s="147"/>
      <c r="HSY278" s="147"/>
      <c r="HSZ278" s="147"/>
      <c r="HTA278" s="147"/>
      <c r="HTB278" s="147"/>
      <c r="HTC278" s="147"/>
      <c r="HTD278" s="147"/>
      <c r="HTE278" s="147"/>
      <c r="HTF278" s="147"/>
      <c r="HTG278" s="147"/>
      <c r="HTH278" s="147"/>
      <c r="HTI278" s="147"/>
      <c r="HTJ278" s="147"/>
      <c r="HTK278" s="147"/>
      <c r="HTL278" s="147"/>
      <c r="HTM278" s="147"/>
      <c r="HTN278" s="147"/>
      <c r="HTO278" s="147"/>
      <c r="HTP278" s="147"/>
      <c r="HTQ278" s="147"/>
      <c r="HTR278" s="147"/>
      <c r="HTS278" s="147"/>
      <c r="HTT278" s="147"/>
      <c r="HTU278" s="147"/>
      <c r="HTV278" s="147"/>
      <c r="HTW278" s="147"/>
      <c r="HTX278" s="147"/>
      <c r="HTY278" s="147"/>
      <c r="HTZ278" s="147"/>
      <c r="HUA278" s="147"/>
      <c r="HUB278" s="147"/>
      <c r="HUC278" s="147"/>
      <c r="HUD278" s="147"/>
      <c r="HUE278" s="147"/>
      <c r="HUF278" s="147"/>
      <c r="HUG278" s="147"/>
      <c r="HUH278" s="147"/>
      <c r="HUI278" s="147"/>
      <c r="HUJ278" s="147"/>
      <c r="HUK278" s="147"/>
      <c r="HUL278" s="147"/>
      <c r="HUM278" s="147"/>
      <c r="HUN278" s="147"/>
      <c r="HUO278" s="147"/>
      <c r="HUP278" s="147"/>
      <c r="HUQ278" s="147"/>
      <c r="HUR278" s="147"/>
      <c r="HUS278" s="147"/>
      <c r="HUT278" s="147"/>
      <c r="HUU278" s="147"/>
      <c r="HUV278" s="147"/>
      <c r="HUW278" s="147"/>
      <c r="HUX278" s="147"/>
      <c r="HUY278" s="147"/>
      <c r="HUZ278" s="147"/>
      <c r="HVA278" s="147"/>
      <c r="HVB278" s="147"/>
      <c r="HVC278" s="147"/>
      <c r="HVD278" s="147"/>
      <c r="HVE278" s="147"/>
      <c r="HVF278" s="147"/>
      <c r="HVG278" s="147"/>
      <c r="HVH278" s="147"/>
      <c r="HVI278" s="147"/>
      <c r="HVJ278" s="147"/>
      <c r="HVK278" s="147"/>
      <c r="HVL278" s="147"/>
      <c r="HVM278" s="147"/>
      <c r="HVN278" s="147"/>
      <c r="HVO278" s="147"/>
      <c r="HVP278" s="147"/>
      <c r="HVQ278" s="147"/>
      <c r="HVR278" s="147"/>
      <c r="HVS278" s="147"/>
      <c r="HVT278" s="147"/>
      <c r="HVU278" s="147"/>
      <c r="HVV278" s="147"/>
      <c r="HVW278" s="147"/>
      <c r="HVX278" s="147"/>
      <c r="HVY278" s="147"/>
      <c r="HVZ278" s="147"/>
      <c r="HWA278" s="147"/>
      <c r="HWB278" s="147"/>
      <c r="HWC278" s="147"/>
      <c r="HWD278" s="147"/>
      <c r="HWE278" s="147"/>
      <c r="HWF278" s="147"/>
      <c r="HWG278" s="147"/>
      <c r="HWH278" s="147"/>
      <c r="HWI278" s="147"/>
      <c r="HWJ278" s="147"/>
      <c r="HWK278" s="147"/>
      <c r="HWL278" s="147"/>
      <c r="HWM278" s="147"/>
      <c r="HWN278" s="147"/>
      <c r="HWO278" s="147"/>
      <c r="HWP278" s="147"/>
      <c r="HWQ278" s="147"/>
      <c r="HWR278" s="147"/>
      <c r="HWS278" s="147"/>
      <c r="HWT278" s="147"/>
      <c r="HWU278" s="147"/>
      <c r="HWV278" s="147"/>
      <c r="HWW278" s="147"/>
      <c r="HWX278" s="147"/>
      <c r="HWY278" s="147"/>
      <c r="HWZ278" s="147"/>
      <c r="HXA278" s="147"/>
      <c r="HXB278" s="147"/>
      <c r="HXC278" s="147"/>
      <c r="HXD278" s="147"/>
      <c r="HXE278" s="147"/>
      <c r="HXF278" s="147"/>
      <c r="HXG278" s="147"/>
      <c r="HXH278" s="147"/>
      <c r="HXI278" s="147"/>
      <c r="HXJ278" s="147"/>
      <c r="HXK278" s="147"/>
      <c r="HXL278" s="147"/>
      <c r="HXM278" s="147"/>
      <c r="HXN278" s="147"/>
      <c r="HXO278" s="147"/>
      <c r="HXP278" s="147"/>
      <c r="HXQ278" s="147"/>
      <c r="HXR278" s="147"/>
      <c r="HXS278" s="147"/>
      <c r="HXT278" s="147"/>
      <c r="HXU278" s="147"/>
      <c r="HXV278" s="147"/>
      <c r="HXW278" s="147"/>
      <c r="HXX278" s="147"/>
      <c r="HXY278" s="147"/>
      <c r="HXZ278" s="147"/>
      <c r="HYA278" s="147"/>
      <c r="HYB278" s="147"/>
      <c r="HYC278" s="147"/>
      <c r="HYD278" s="147"/>
      <c r="HYE278" s="147"/>
      <c r="HYF278" s="147"/>
      <c r="HYG278" s="147"/>
      <c r="HYH278" s="147"/>
      <c r="HYI278" s="147"/>
      <c r="HYJ278" s="147"/>
      <c r="HYK278" s="147"/>
      <c r="HYL278" s="147"/>
      <c r="HYM278" s="147"/>
      <c r="HYN278" s="147"/>
      <c r="HYO278" s="147"/>
      <c r="HYP278" s="147"/>
      <c r="HYQ278" s="147"/>
      <c r="HYR278" s="147"/>
      <c r="HYS278" s="147"/>
      <c r="HYT278" s="147"/>
      <c r="HYU278" s="147"/>
      <c r="HYV278" s="147"/>
      <c r="HYW278" s="147"/>
      <c r="HYX278" s="147"/>
      <c r="HYY278" s="147"/>
      <c r="HYZ278" s="147"/>
      <c r="HZA278" s="147"/>
      <c r="HZB278" s="147"/>
      <c r="HZC278" s="147"/>
      <c r="HZD278" s="147"/>
      <c r="HZE278" s="147"/>
      <c r="HZF278" s="147"/>
      <c r="HZG278" s="147"/>
      <c r="HZH278" s="147"/>
      <c r="HZI278" s="147"/>
      <c r="HZJ278" s="147"/>
      <c r="HZK278" s="147"/>
      <c r="HZL278" s="147"/>
      <c r="HZM278" s="147"/>
      <c r="HZN278" s="147"/>
      <c r="HZO278" s="147"/>
      <c r="HZP278" s="147"/>
      <c r="HZQ278" s="147"/>
      <c r="HZR278" s="147"/>
      <c r="HZS278" s="147"/>
      <c r="HZT278" s="147"/>
      <c r="HZU278" s="147"/>
      <c r="HZV278" s="147"/>
      <c r="HZW278" s="147"/>
      <c r="HZX278" s="147"/>
      <c r="HZY278" s="147"/>
      <c r="HZZ278" s="147"/>
      <c r="IAA278" s="147"/>
      <c r="IAB278" s="147"/>
      <c r="IAC278" s="147"/>
      <c r="IAD278" s="147"/>
      <c r="IAE278" s="147"/>
      <c r="IAF278" s="147"/>
      <c r="IAG278" s="147"/>
      <c r="IAH278" s="147"/>
      <c r="IAI278" s="147"/>
      <c r="IAJ278" s="147"/>
      <c r="IAK278" s="147"/>
      <c r="IAL278" s="147"/>
      <c r="IAM278" s="147"/>
      <c r="IAN278" s="147"/>
      <c r="IAO278" s="147"/>
      <c r="IAP278" s="147"/>
      <c r="IAQ278" s="147"/>
      <c r="IAR278" s="147"/>
      <c r="IAS278" s="147"/>
      <c r="IAT278" s="147"/>
      <c r="IAU278" s="147"/>
      <c r="IAV278" s="147"/>
      <c r="IAW278" s="147"/>
      <c r="IAX278" s="147"/>
      <c r="IAY278" s="147"/>
      <c r="IAZ278" s="147"/>
      <c r="IBA278" s="147"/>
      <c r="IBB278" s="147"/>
      <c r="IBC278" s="147"/>
      <c r="IBD278" s="147"/>
      <c r="IBE278" s="147"/>
      <c r="IBF278" s="147"/>
      <c r="IBG278" s="147"/>
      <c r="IBH278" s="147"/>
      <c r="IBI278" s="147"/>
      <c r="IBJ278" s="147"/>
      <c r="IBK278" s="147"/>
      <c r="IBL278" s="147"/>
      <c r="IBM278" s="147"/>
      <c r="IBN278" s="147"/>
      <c r="IBO278" s="147"/>
      <c r="IBP278" s="147"/>
      <c r="IBQ278" s="147"/>
      <c r="IBR278" s="147"/>
      <c r="IBS278" s="147"/>
      <c r="IBT278" s="147"/>
      <c r="IBU278" s="147"/>
      <c r="IBV278" s="147"/>
      <c r="IBW278" s="147"/>
      <c r="IBX278" s="147"/>
      <c r="IBY278" s="147"/>
      <c r="IBZ278" s="147"/>
      <c r="ICA278" s="147"/>
      <c r="ICB278" s="147"/>
      <c r="ICC278" s="147"/>
      <c r="ICD278" s="147"/>
      <c r="ICE278" s="147"/>
      <c r="ICF278" s="147"/>
      <c r="ICG278" s="147"/>
      <c r="ICH278" s="147"/>
      <c r="ICI278" s="147"/>
      <c r="ICJ278" s="147"/>
      <c r="ICK278" s="147"/>
      <c r="ICL278" s="147"/>
      <c r="ICM278" s="147"/>
      <c r="ICN278" s="147"/>
      <c r="ICO278" s="147"/>
      <c r="ICP278" s="147"/>
      <c r="ICQ278" s="147"/>
      <c r="ICR278" s="147"/>
      <c r="ICS278" s="147"/>
      <c r="ICT278" s="147"/>
      <c r="ICU278" s="147"/>
      <c r="ICV278" s="147"/>
      <c r="ICW278" s="147"/>
      <c r="ICX278" s="147"/>
      <c r="ICY278" s="147"/>
      <c r="ICZ278" s="147"/>
      <c r="IDA278" s="147"/>
      <c r="IDB278" s="147"/>
      <c r="IDC278" s="147"/>
      <c r="IDD278" s="147"/>
      <c r="IDE278" s="147"/>
      <c r="IDF278" s="147"/>
      <c r="IDG278" s="147"/>
      <c r="IDH278" s="147"/>
      <c r="IDI278" s="147"/>
      <c r="IDJ278" s="147"/>
      <c r="IDK278" s="147"/>
      <c r="IDL278" s="147"/>
      <c r="IDM278" s="147"/>
      <c r="IDN278" s="147"/>
      <c r="IDO278" s="147"/>
      <c r="IDP278" s="147"/>
      <c r="IDQ278" s="147"/>
      <c r="IDR278" s="147"/>
      <c r="IDS278" s="147"/>
      <c r="IDT278" s="147"/>
      <c r="IDU278" s="147"/>
      <c r="IDV278" s="147"/>
      <c r="IDW278" s="147"/>
      <c r="IDX278" s="147"/>
      <c r="IDY278" s="147"/>
      <c r="IDZ278" s="147"/>
      <c r="IEA278" s="147"/>
      <c r="IEB278" s="147"/>
      <c r="IEC278" s="147"/>
      <c r="IED278" s="147"/>
      <c r="IEE278" s="147"/>
      <c r="IEF278" s="147"/>
      <c r="IEG278" s="147"/>
      <c r="IEH278" s="147"/>
      <c r="IEI278" s="147"/>
      <c r="IEJ278" s="147"/>
      <c r="IEK278" s="147"/>
      <c r="IEL278" s="147"/>
      <c r="IEM278" s="147"/>
      <c r="IEN278" s="147"/>
      <c r="IEO278" s="147"/>
      <c r="IEP278" s="147"/>
      <c r="IEQ278" s="147"/>
      <c r="IER278" s="147"/>
      <c r="IES278" s="147"/>
      <c r="IET278" s="147"/>
      <c r="IEU278" s="147"/>
      <c r="IEV278" s="147"/>
      <c r="IEW278" s="147"/>
      <c r="IEX278" s="147"/>
      <c r="IEY278" s="147"/>
      <c r="IEZ278" s="147"/>
      <c r="IFA278" s="147"/>
      <c r="IFB278" s="147"/>
      <c r="IFC278" s="147"/>
      <c r="IFD278" s="147"/>
      <c r="IFE278" s="147"/>
      <c r="IFF278" s="147"/>
      <c r="IFG278" s="147"/>
      <c r="IFH278" s="147"/>
      <c r="IFI278" s="147"/>
      <c r="IFJ278" s="147"/>
      <c r="IFK278" s="147"/>
      <c r="IFL278" s="147"/>
      <c r="IFM278" s="147"/>
      <c r="IFN278" s="147"/>
      <c r="IFO278" s="147"/>
      <c r="IFP278" s="147"/>
      <c r="IFQ278" s="147"/>
      <c r="IFR278" s="147"/>
      <c r="IFS278" s="147"/>
      <c r="IFT278" s="147"/>
      <c r="IFU278" s="147"/>
      <c r="IFV278" s="147"/>
      <c r="IFW278" s="147"/>
      <c r="IFX278" s="147"/>
      <c r="IFY278" s="147"/>
      <c r="IFZ278" s="147"/>
      <c r="IGA278" s="147"/>
      <c r="IGB278" s="147"/>
      <c r="IGC278" s="147"/>
      <c r="IGD278" s="147"/>
      <c r="IGE278" s="147"/>
      <c r="IGF278" s="147"/>
      <c r="IGG278" s="147"/>
      <c r="IGH278" s="147"/>
      <c r="IGI278" s="147"/>
      <c r="IGJ278" s="147"/>
      <c r="IGK278" s="147"/>
      <c r="IGL278" s="147"/>
      <c r="IGM278" s="147"/>
      <c r="IGN278" s="147"/>
      <c r="IGO278" s="147"/>
      <c r="IGP278" s="147"/>
      <c r="IGQ278" s="147"/>
      <c r="IGR278" s="147"/>
      <c r="IGS278" s="147"/>
      <c r="IGT278" s="147"/>
      <c r="IGU278" s="147"/>
      <c r="IGV278" s="147"/>
      <c r="IGW278" s="147"/>
      <c r="IGX278" s="147"/>
      <c r="IGY278" s="147"/>
      <c r="IGZ278" s="147"/>
      <c r="IHA278" s="147"/>
      <c r="IHB278" s="147"/>
      <c r="IHC278" s="147"/>
      <c r="IHD278" s="147"/>
      <c r="IHE278" s="147"/>
      <c r="IHF278" s="147"/>
      <c r="IHG278" s="147"/>
      <c r="IHH278" s="147"/>
      <c r="IHI278" s="147"/>
      <c r="IHJ278" s="147"/>
      <c r="IHK278" s="147"/>
      <c r="IHL278" s="147"/>
      <c r="IHM278" s="147"/>
      <c r="IHN278" s="147"/>
      <c r="IHO278" s="147"/>
      <c r="IHP278" s="147"/>
      <c r="IHQ278" s="147"/>
      <c r="IHR278" s="147"/>
      <c r="IHS278" s="147"/>
      <c r="IHT278" s="147"/>
      <c r="IHU278" s="147"/>
      <c r="IHV278" s="147"/>
      <c r="IHW278" s="147"/>
      <c r="IHX278" s="147"/>
      <c r="IHY278" s="147"/>
      <c r="IHZ278" s="147"/>
      <c r="IIA278" s="147"/>
      <c r="IIB278" s="147"/>
      <c r="IIC278" s="147"/>
      <c r="IID278" s="147"/>
      <c r="IIE278" s="147"/>
      <c r="IIF278" s="147"/>
      <c r="IIG278" s="147"/>
      <c r="IIH278" s="147"/>
      <c r="III278" s="147"/>
      <c r="IIJ278" s="147"/>
      <c r="IIK278" s="147"/>
      <c r="IIL278" s="147"/>
      <c r="IIM278" s="147"/>
      <c r="IIN278" s="147"/>
      <c r="IIO278" s="147"/>
      <c r="IIP278" s="147"/>
      <c r="IIQ278" s="147"/>
      <c r="IIR278" s="147"/>
      <c r="IIS278" s="147"/>
      <c r="IIT278" s="147"/>
      <c r="IIU278" s="147"/>
      <c r="IIV278" s="147"/>
      <c r="IIW278" s="147"/>
      <c r="IIX278" s="147"/>
      <c r="IIY278" s="147"/>
      <c r="IIZ278" s="147"/>
      <c r="IJA278" s="147"/>
      <c r="IJB278" s="147"/>
      <c r="IJC278" s="147"/>
      <c r="IJD278" s="147"/>
      <c r="IJE278" s="147"/>
      <c r="IJF278" s="147"/>
      <c r="IJG278" s="147"/>
      <c r="IJH278" s="147"/>
      <c r="IJI278" s="147"/>
      <c r="IJJ278" s="147"/>
      <c r="IJK278" s="147"/>
      <c r="IJL278" s="147"/>
      <c r="IJM278" s="147"/>
      <c r="IJN278" s="147"/>
      <c r="IJO278" s="147"/>
      <c r="IJP278" s="147"/>
      <c r="IJQ278" s="147"/>
      <c r="IJR278" s="147"/>
      <c r="IJS278" s="147"/>
      <c r="IJT278" s="147"/>
      <c r="IJU278" s="147"/>
      <c r="IJV278" s="147"/>
      <c r="IJW278" s="147"/>
      <c r="IJX278" s="147"/>
      <c r="IJY278" s="147"/>
      <c r="IJZ278" s="147"/>
      <c r="IKA278" s="147"/>
      <c r="IKB278" s="147"/>
      <c r="IKC278" s="147"/>
      <c r="IKD278" s="147"/>
      <c r="IKE278" s="147"/>
      <c r="IKF278" s="147"/>
      <c r="IKG278" s="147"/>
      <c r="IKH278" s="147"/>
      <c r="IKI278" s="147"/>
      <c r="IKJ278" s="147"/>
      <c r="IKK278" s="147"/>
      <c r="IKL278" s="147"/>
      <c r="IKM278" s="147"/>
      <c r="IKN278" s="147"/>
      <c r="IKO278" s="147"/>
      <c r="IKP278" s="147"/>
      <c r="IKQ278" s="147"/>
      <c r="IKR278" s="147"/>
      <c r="IKS278" s="147"/>
      <c r="IKT278" s="147"/>
      <c r="IKU278" s="147"/>
      <c r="IKV278" s="147"/>
      <c r="IKW278" s="147"/>
      <c r="IKX278" s="147"/>
      <c r="IKY278" s="147"/>
      <c r="IKZ278" s="147"/>
      <c r="ILA278" s="147"/>
      <c r="ILB278" s="147"/>
      <c r="ILC278" s="147"/>
      <c r="ILD278" s="147"/>
      <c r="ILE278" s="147"/>
      <c r="ILF278" s="147"/>
      <c r="ILG278" s="147"/>
      <c r="ILH278" s="147"/>
      <c r="ILI278" s="147"/>
      <c r="ILJ278" s="147"/>
      <c r="ILK278" s="147"/>
      <c r="ILL278" s="147"/>
      <c r="ILM278" s="147"/>
      <c r="ILN278" s="147"/>
      <c r="ILO278" s="147"/>
      <c r="ILP278" s="147"/>
      <c r="ILQ278" s="147"/>
      <c r="ILR278" s="147"/>
      <c r="ILS278" s="147"/>
      <c r="ILT278" s="147"/>
      <c r="ILU278" s="147"/>
      <c r="ILV278" s="147"/>
      <c r="ILW278" s="147"/>
      <c r="ILX278" s="147"/>
      <c r="ILY278" s="147"/>
      <c r="ILZ278" s="147"/>
      <c r="IMA278" s="147"/>
      <c r="IMB278" s="147"/>
      <c r="IMC278" s="147"/>
      <c r="IMD278" s="147"/>
      <c r="IME278" s="147"/>
      <c r="IMF278" s="147"/>
      <c r="IMG278" s="147"/>
      <c r="IMH278" s="147"/>
      <c r="IMI278" s="147"/>
      <c r="IMJ278" s="147"/>
      <c r="IMK278" s="147"/>
      <c r="IML278" s="147"/>
      <c r="IMM278" s="147"/>
      <c r="IMN278" s="147"/>
      <c r="IMO278" s="147"/>
      <c r="IMP278" s="147"/>
      <c r="IMQ278" s="147"/>
      <c r="IMR278" s="147"/>
      <c r="IMS278" s="147"/>
      <c r="IMT278" s="147"/>
      <c r="IMU278" s="147"/>
      <c r="IMV278" s="147"/>
      <c r="IMW278" s="147"/>
      <c r="IMX278" s="147"/>
      <c r="IMY278" s="147"/>
      <c r="IMZ278" s="147"/>
      <c r="INA278" s="147"/>
      <c r="INB278" s="147"/>
      <c r="INC278" s="147"/>
      <c r="IND278" s="147"/>
      <c r="INE278" s="147"/>
      <c r="INF278" s="147"/>
      <c r="ING278" s="147"/>
      <c r="INH278" s="147"/>
      <c r="INI278" s="147"/>
      <c r="INJ278" s="147"/>
      <c r="INK278" s="147"/>
      <c r="INL278" s="147"/>
      <c r="INM278" s="147"/>
      <c r="INN278" s="147"/>
      <c r="INO278" s="147"/>
      <c r="INP278" s="147"/>
      <c r="INQ278" s="147"/>
      <c r="INR278" s="147"/>
      <c r="INS278" s="147"/>
      <c r="INT278" s="147"/>
      <c r="INU278" s="147"/>
      <c r="INV278" s="147"/>
      <c r="INW278" s="147"/>
      <c r="INX278" s="147"/>
      <c r="INY278" s="147"/>
      <c r="INZ278" s="147"/>
      <c r="IOA278" s="147"/>
      <c r="IOB278" s="147"/>
      <c r="IOC278" s="147"/>
      <c r="IOD278" s="147"/>
      <c r="IOE278" s="147"/>
      <c r="IOF278" s="147"/>
      <c r="IOG278" s="147"/>
      <c r="IOH278" s="147"/>
      <c r="IOI278" s="147"/>
      <c r="IOJ278" s="147"/>
      <c r="IOK278" s="147"/>
      <c r="IOL278" s="147"/>
      <c r="IOM278" s="147"/>
      <c r="ION278" s="147"/>
      <c r="IOO278" s="147"/>
      <c r="IOP278" s="147"/>
      <c r="IOQ278" s="147"/>
      <c r="IOR278" s="147"/>
      <c r="IOS278" s="147"/>
      <c r="IOT278" s="147"/>
      <c r="IOU278" s="147"/>
      <c r="IOV278" s="147"/>
      <c r="IOW278" s="147"/>
      <c r="IOX278" s="147"/>
      <c r="IOY278" s="147"/>
      <c r="IOZ278" s="147"/>
      <c r="IPA278" s="147"/>
      <c r="IPB278" s="147"/>
      <c r="IPC278" s="147"/>
      <c r="IPD278" s="147"/>
      <c r="IPE278" s="147"/>
      <c r="IPF278" s="147"/>
      <c r="IPG278" s="147"/>
      <c r="IPH278" s="147"/>
      <c r="IPI278" s="147"/>
      <c r="IPJ278" s="147"/>
      <c r="IPK278" s="147"/>
      <c r="IPL278" s="147"/>
      <c r="IPM278" s="147"/>
      <c r="IPN278" s="147"/>
      <c r="IPO278" s="147"/>
      <c r="IPP278" s="147"/>
      <c r="IPQ278" s="147"/>
      <c r="IPR278" s="147"/>
      <c r="IPS278" s="147"/>
      <c r="IPT278" s="147"/>
      <c r="IPU278" s="147"/>
      <c r="IPV278" s="147"/>
      <c r="IPW278" s="147"/>
      <c r="IPX278" s="147"/>
      <c r="IPY278" s="147"/>
      <c r="IPZ278" s="147"/>
      <c r="IQA278" s="147"/>
      <c r="IQB278" s="147"/>
      <c r="IQC278" s="147"/>
      <c r="IQD278" s="147"/>
      <c r="IQE278" s="147"/>
      <c r="IQF278" s="147"/>
      <c r="IQG278" s="147"/>
      <c r="IQH278" s="147"/>
      <c r="IQI278" s="147"/>
      <c r="IQJ278" s="147"/>
      <c r="IQK278" s="147"/>
      <c r="IQL278" s="147"/>
      <c r="IQM278" s="147"/>
      <c r="IQN278" s="147"/>
      <c r="IQO278" s="147"/>
      <c r="IQP278" s="147"/>
      <c r="IQQ278" s="147"/>
      <c r="IQR278" s="147"/>
      <c r="IQS278" s="147"/>
      <c r="IQT278" s="147"/>
      <c r="IQU278" s="147"/>
      <c r="IQV278" s="147"/>
      <c r="IQW278" s="147"/>
      <c r="IQX278" s="147"/>
      <c r="IQY278" s="147"/>
      <c r="IQZ278" s="147"/>
      <c r="IRA278" s="147"/>
      <c r="IRB278" s="147"/>
      <c r="IRC278" s="147"/>
      <c r="IRD278" s="147"/>
      <c r="IRE278" s="147"/>
      <c r="IRF278" s="147"/>
      <c r="IRG278" s="147"/>
      <c r="IRH278" s="147"/>
      <c r="IRI278" s="147"/>
      <c r="IRJ278" s="147"/>
      <c r="IRK278" s="147"/>
      <c r="IRL278" s="147"/>
      <c r="IRM278" s="147"/>
      <c r="IRN278" s="147"/>
      <c r="IRO278" s="147"/>
      <c r="IRP278" s="147"/>
      <c r="IRQ278" s="147"/>
      <c r="IRR278" s="147"/>
      <c r="IRS278" s="147"/>
      <c r="IRT278" s="147"/>
      <c r="IRU278" s="147"/>
      <c r="IRV278" s="147"/>
      <c r="IRW278" s="147"/>
      <c r="IRX278" s="147"/>
      <c r="IRY278" s="147"/>
      <c r="IRZ278" s="147"/>
      <c r="ISA278" s="147"/>
      <c r="ISB278" s="147"/>
      <c r="ISC278" s="147"/>
      <c r="ISD278" s="147"/>
      <c r="ISE278" s="147"/>
      <c r="ISF278" s="147"/>
      <c r="ISG278" s="147"/>
      <c r="ISH278" s="147"/>
      <c r="ISI278" s="147"/>
      <c r="ISJ278" s="147"/>
      <c r="ISK278" s="147"/>
      <c r="ISL278" s="147"/>
      <c r="ISM278" s="147"/>
      <c r="ISN278" s="147"/>
      <c r="ISO278" s="147"/>
      <c r="ISP278" s="147"/>
      <c r="ISQ278" s="147"/>
      <c r="ISR278" s="147"/>
      <c r="ISS278" s="147"/>
      <c r="IST278" s="147"/>
      <c r="ISU278" s="147"/>
      <c r="ISV278" s="147"/>
      <c r="ISW278" s="147"/>
      <c r="ISX278" s="147"/>
      <c r="ISY278" s="147"/>
      <c r="ISZ278" s="147"/>
      <c r="ITA278" s="147"/>
      <c r="ITB278" s="147"/>
      <c r="ITC278" s="147"/>
      <c r="ITD278" s="147"/>
      <c r="ITE278" s="147"/>
      <c r="ITF278" s="147"/>
      <c r="ITG278" s="147"/>
      <c r="ITH278" s="147"/>
      <c r="ITI278" s="147"/>
      <c r="ITJ278" s="147"/>
      <c r="ITK278" s="147"/>
      <c r="ITL278" s="147"/>
      <c r="ITM278" s="147"/>
      <c r="ITN278" s="147"/>
      <c r="ITO278" s="147"/>
      <c r="ITP278" s="147"/>
      <c r="ITQ278" s="147"/>
      <c r="ITR278" s="147"/>
      <c r="ITS278" s="147"/>
      <c r="ITT278" s="147"/>
      <c r="ITU278" s="147"/>
      <c r="ITV278" s="147"/>
      <c r="ITW278" s="147"/>
      <c r="ITX278" s="147"/>
      <c r="ITY278" s="147"/>
      <c r="ITZ278" s="147"/>
      <c r="IUA278" s="147"/>
      <c r="IUB278" s="147"/>
      <c r="IUC278" s="147"/>
      <c r="IUD278" s="147"/>
      <c r="IUE278" s="147"/>
      <c r="IUF278" s="147"/>
      <c r="IUG278" s="147"/>
      <c r="IUH278" s="147"/>
      <c r="IUI278" s="147"/>
      <c r="IUJ278" s="147"/>
      <c r="IUK278" s="147"/>
      <c r="IUL278" s="147"/>
      <c r="IUM278" s="147"/>
      <c r="IUN278" s="147"/>
      <c r="IUO278" s="147"/>
      <c r="IUP278" s="147"/>
      <c r="IUQ278" s="147"/>
      <c r="IUR278" s="147"/>
      <c r="IUS278" s="147"/>
      <c r="IUT278" s="147"/>
      <c r="IUU278" s="147"/>
      <c r="IUV278" s="147"/>
      <c r="IUW278" s="147"/>
      <c r="IUX278" s="147"/>
      <c r="IUY278" s="147"/>
      <c r="IUZ278" s="147"/>
      <c r="IVA278" s="147"/>
      <c r="IVB278" s="147"/>
      <c r="IVC278" s="147"/>
      <c r="IVD278" s="147"/>
      <c r="IVE278" s="147"/>
      <c r="IVF278" s="147"/>
      <c r="IVG278" s="147"/>
      <c r="IVH278" s="147"/>
      <c r="IVI278" s="147"/>
      <c r="IVJ278" s="147"/>
      <c r="IVK278" s="147"/>
      <c r="IVL278" s="147"/>
      <c r="IVM278" s="147"/>
      <c r="IVN278" s="147"/>
      <c r="IVO278" s="147"/>
      <c r="IVP278" s="147"/>
      <c r="IVQ278" s="147"/>
      <c r="IVR278" s="147"/>
      <c r="IVS278" s="147"/>
      <c r="IVT278" s="147"/>
      <c r="IVU278" s="147"/>
      <c r="IVV278" s="147"/>
      <c r="IVW278" s="147"/>
      <c r="IVX278" s="147"/>
      <c r="IVY278" s="147"/>
      <c r="IVZ278" s="147"/>
      <c r="IWA278" s="147"/>
      <c r="IWB278" s="147"/>
      <c r="IWC278" s="147"/>
      <c r="IWD278" s="147"/>
      <c r="IWE278" s="147"/>
      <c r="IWF278" s="147"/>
      <c r="IWG278" s="147"/>
      <c r="IWH278" s="147"/>
      <c r="IWI278" s="147"/>
      <c r="IWJ278" s="147"/>
      <c r="IWK278" s="147"/>
      <c r="IWL278" s="147"/>
      <c r="IWM278" s="147"/>
      <c r="IWN278" s="147"/>
      <c r="IWO278" s="147"/>
      <c r="IWP278" s="147"/>
      <c r="IWQ278" s="147"/>
      <c r="IWR278" s="147"/>
      <c r="IWS278" s="147"/>
      <c r="IWT278" s="147"/>
      <c r="IWU278" s="147"/>
      <c r="IWV278" s="147"/>
      <c r="IWW278" s="147"/>
      <c r="IWX278" s="147"/>
      <c r="IWY278" s="147"/>
      <c r="IWZ278" s="147"/>
      <c r="IXA278" s="147"/>
      <c r="IXB278" s="147"/>
      <c r="IXC278" s="147"/>
      <c r="IXD278" s="147"/>
      <c r="IXE278" s="147"/>
      <c r="IXF278" s="147"/>
      <c r="IXG278" s="147"/>
      <c r="IXH278" s="147"/>
      <c r="IXI278" s="147"/>
      <c r="IXJ278" s="147"/>
      <c r="IXK278" s="147"/>
      <c r="IXL278" s="147"/>
      <c r="IXM278" s="147"/>
      <c r="IXN278" s="147"/>
      <c r="IXO278" s="147"/>
      <c r="IXP278" s="147"/>
      <c r="IXQ278" s="147"/>
      <c r="IXR278" s="147"/>
      <c r="IXS278" s="147"/>
      <c r="IXT278" s="147"/>
      <c r="IXU278" s="147"/>
      <c r="IXV278" s="147"/>
      <c r="IXW278" s="147"/>
      <c r="IXX278" s="147"/>
      <c r="IXY278" s="147"/>
      <c r="IXZ278" s="147"/>
      <c r="IYA278" s="147"/>
      <c r="IYB278" s="147"/>
      <c r="IYC278" s="147"/>
      <c r="IYD278" s="147"/>
      <c r="IYE278" s="147"/>
      <c r="IYF278" s="147"/>
      <c r="IYG278" s="147"/>
      <c r="IYH278" s="147"/>
      <c r="IYI278" s="147"/>
      <c r="IYJ278" s="147"/>
      <c r="IYK278" s="147"/>
      <c r="IYL278" s="147"/>
      <c r="IYM278" s="147"/>
      <c r="IYN278" s="147"/>
      <c r="IYO278" s="147"/>
      <c r="IYP278" s="147"/>
      <c r="IYQ278" s="147"/>
      <c r="IYR278" s="147"/>
      <c r="IYS278" s="147"/>
      <c r="IYT278" s="147"/>
      <c r="IYU278" s="147"/>
      <c r="IYV278" s="147"/>
      <c r="IYW278" s="147"/>
      <c r="IYX278" s="147"/>
      <c r="IYY278" s="147"/>
      <c r="IYZ278" s="147"/>
      <c r="IZA278" s="147"/>
      <c r="IZB278" s="147"/>
      <c r="IZC278" s="147"/>
      <c r="IZD278" s="147"/>
      <c r="IZE278" s="147"/>
      <c r="IZF278" s="147"/>
      <c r="IZG278" s="147"/>
      <c r="IZH278" s="147"/>
      <c r="IZI278" s="147"/>
      <c r="IZJ278" s="147"/>
      <c r="IZK278" s="147"/>
      <c r="IZL278" s="147"/>
      <c r="IZM278" s="147"/>
      <c r="IZN278" s="147"/>
      <c r="IZO278" s="147"/>
      <c r="IZP278" s="147"/>
      <c r="IZQ278" s="147"/>
      <c r="IZR278" s="147"/>
      <c r="IZS278" s="147"/>
      <c r="IZT278" s="147"/>
      <c r="IZU278" s="147"/>
      <c r="IZV278" s="147"/>
      <c r="IZW278" s="147"/>
      <c r="IZX278" s="147"/>
      <c r="IZY278" s="147"/>
      <c r="IZZ278" s="147"/>
      <c r="JAA278" s="147"/>
      <c r="JAB278" s="147"/>
      <c r="JAC278" s="147"/>
      <c r="JAD278" s="147"/>
      <c r="JAE278" s="147"/>
      <c r="JAF278" s="147"/>
      <c r="JAG278" s="147"/>
      <c r="JAH278" s="147"/>
      <c r="JAI278" s="147"/>
      <c r="JAJ278" s="147"/>
      <c r="JAK278" s="147"/>
      <c r="JAL278" s="147"/>
      <c r="JAM278" s="147"/>
      <c r="JAN278" s="147"/>
      <c r="JAO278" s="147"/>
      <c r="JAP278" s="147"/>
      <c r="JAQ278" s="147"/>
      <c r="JAR278" s="147"/>
      <c r="JAS278" s="147"/>
      <c r="JAT278" s="147"/>
      <c r="JAU278" s="147"/>
      <c r="JAV278" s="147"/>
      <c r="JAW278" s="147"/>
      <c r="JAX278" s="147"/>
      <c r="JAY278" s="147"/>
      <c r="JAZ278" s="147"/>
      <c r="JBA278" s="147"/>
      <c r="JBB278" s="147"/>
      <c r="JBC278" s="147"/>
      <c r="JBD278" s="147"/>
      <c r="JBE278" s="147"/>
      <c r="JBF278" s="147"/>
      <c r="JBG278" s="147"/>
      <c r="JBH278" s="147"/>
      <c r="JBI278" s="147"/>
      <c r="JBJ278" s="147"/>
      <c r="JBK278" s="147"/>
      <c r="JBL278" s="147"/>
      <c r="JBM278" s="147"/>
      <c r="JBN278" s="147"/>
      <c r="JBO278" s="147"/>
      <c r="JBP278" s="147"/>
      <c r="JBQ278" s="147"/>
      <c r="JBR278" s="147"/>
      <c r="JBS278" s="147"/>
      <c r="JBT278" s="147"/>
      <c r="JBU278" s="147"/>
      <c r="JBV278" s="147"/>
      <c r="JBW278" s="147"/>
      <c r="JBX278" s="147"/>
      <c r="JBY278" s="147"/>
      <c r="JBZ278" s="147"/>
      <c r="JCA278" s="147"/>
      <c r="JCB278" s="147"/>
      <c r="JCC278" s="147"/>
      <c r="JCD278" s="147"/>
      <c r="JCE278" s="147"/>
      <c r="JCF278" s="147"/>
      <c r="JCG278" s="147"/>
      <c r="JCH278" s="147"/>
      <c r="JCI278" s="147"/>
      <c r="JCJ278" s="147"/>
      <c r="JCK278" s="147"/>
      <c r="JCL278" s="147"/>
      <c r="JCM278" s="147"/>
      <c r="JCN278" s="147"/>
      <c r="JCO278" s="147"/>
      <c r="JCP278" s="147"/>
      <c r="JCQ278" s="147"/>
      <c r="JCR278" s="147"/>
      <c r="JCS278" s="147"/>
      <c r="JCT278" s="147"/>
      <c r="JCU278" s="147"/>
      <c r="JCV278" s="147"/>
      <c r="JCW278" s="147"/>
      <c r="JCX278" s="147"/>
      <c r="JCY278" s="147"/>
      <c r="JCZ278" s="147"/>
      <c r="JDA278" s="147"/>
      <c r="JDB278" s="147"/>
      <c r="JDC278" s="147"/>
      <c r="JDD278" s="147"/>
      <c r="JDE278" s="147"/>
      <c r="JDF278" s="147"/>
      <c r="JDG278" s="147"/>
      <c r="JDH278" s="147"/>
      <c r="JDI278" s="147"/>
      <c r="JDJ278" s="147"/>
      <c r="JDK278" s="147"/>
      <c r="JDL278" s="147"/>
      <c r="JDM278" s="147"/>
      <c r="JDN278" s="147"/>
      <c r="JDO278" s="147"/>
      <c r="JDP278" s="147"/>
      <c r="JDQ278" s="147"/>
      <c r="JDR278" s="147"/>
      <c r="JDS278" s="147"/>
      <c r="JDT278" s="147"/>
      <c r="JDU278" s="147"/>
      <c r="JDV278" s="147"/>
      <c r="JDW278" s="147"/>
      <c r="JDX278" s="147"/>
      <c r="JDY278" s="147"/>
      <c r="JDZ278" s="147"/>
      <c r="JEA278" s="147"/>
      <c r="JEB278" s="147"/>
      <c r="JEC278" s="147"/>
      <c r="JED278" s="147"/>
      <c r="JEE278" s="147"/>
      <c r="JEF278" s="147"/>
      <c r="JEG278" s="147"/>
      <c r="JEH278" s="147"/>
      <c r="JEI278" s="147"/>
      <c r="JEJ278" s="147"/>
      <c r="JEK278" s="147"/>
      <c r="JEL278" s="147"/>
      <c r="JEM278" s="147"/>
      <c r="JEN278" s="147"/>
      <c r="JEO278" s="147"/>
      <c r="JEP278" s="147"/>
      <c r="JEQ278" s="147"/>
      <c r="JER278" s="147"/>
      <c r="JES278" s="147"/>
      <c r="JET278" s="147"/>
      <c r="JEU278" s="147"/>
      <c r="JEV278" s="147"/>
      <c r="JEW278" s="147"/>
      <c r="JEX278" s="147"/>
      <c r="JEY278" s="147"/>
      <c r="JEZ278" s="147"/>
      <c r="JFA278" s="147"/>
      <c r="JFB278" s="147"/>
      <c r="JFC278" s="147"/>
      <c r="JFD278" s="147"/>
      <c r="JFE278" s="147"/>
      <c r="JFF278" s="147"/>
      <c r="JFG278" s="147"/>
      <c r="JFH278" s="147"/>
      <c r="JFI278" s="147"/>
      <c r="JFJ278" s="147"/>
      <c r="JFK278" s="147"/>
      <c r="JFL278" s="147"/>
      <c r="JFM278" s="147"/>
      <c r="JFN278" s="147"/>
      <c r="JFO278" s="147"/>
      <c r="JFP278" s="147"/>
      <c r="JFQ278" s="147"/>
      <c r="JFR278" s="147"/>
      <c r="JFS278" s="147"/>
      <c r="JFT278" s="147"/>
      <c r="JFU278" s="147"/>
      <c r="JFV278" s="147"/>
      <c r="JFW278" s="147"/>
      <c r="JFX278" s="147"/>
      <c r="JFY278" s="147"/>
      <c r="JFZ278" s="147"/>
      <c r="JGA278" s="147"/>
      <c r="JGB278" s="147"/>
      <c r="JGC278" s="147"/>
      <c r="JGD278" s="147"/>
      <c r="JGE278" s="147"/>
      <c r="JGF278" s="147"/>
      <c r="JGG278" s="147"/>
      <c r="JGH278" s="147"/>
      <c r="JGI278" s="147"/>
      <c r="JGJ278" s="147"/>
      <c r="JGK278" s="147"/>
      <c r="JGL278" s="147"/>
      <c r="JGM278" s="147"/>
      <c r="JGN278" s="147"/>
      <c r="JGO278" s="147"/>
      <c r="JGP278" s="147"/>
      <c r="JGQ278" s="147"/>
      <c r="JGR278" s="147"/>
      <c r="JGS278" s="147"/>
      <c r="JGT278" s="147"/>
      <c r="JGU278" s="147"/>
      <c r="JGV278" s="147"/>
      <c r="JGW278" s="147"/>
      <c r="JGX278" s="147"/>
      <c r="JGY278" s="147"/>
      <c r="JGZ278" s="147"/>
      <c r="JHA278" s="147"/>
      <c r="JHB278" s="147"/>
      <c r="JHC278" s="147"/>
      <c r="JHD278" s="147"/>
      <c r="JHE278" s="147"/>
      <c r="JHF278" s="147"/>
      <c r="JHG278" s="147"/>
      <c r="JHH278" s="147"/>
      <c r="JHI278" s="147"/>
      <c r="JHJ278" s="147"/>
      <c r="JHK278" s="147"/>
      <c r="JHL278" s="147"/>
      <c r="JHM278" s="147"/>
      <c r="JHN278" s="147"/>
      <c r="JHO278" s="147"/>
      <c r="JHP278" s="147"/>
      <c r="JHQ278" s="147"/>
      <c r="JHR278" s="147"/>
      <c r="JHS278" s="147"/>
      <c r="JHT278" s="147"/>
      <c r="JHU278" s="147"/>
      <c r="JHV278" s="147"/>
      <c r="JHW278" s="147"/>
      <c r="JHX278" s="147"/>
      <c r="JHY278" s="147"/>
      <c r="JHZ278" s="147"/>
      <c r="JIA278" s="147"/>
      <c r="JIB278" s="147"/>
      <c r="JIC278" s="147"/>
      <c r="JID278" s="147"/>
      <c r="JIE278" s="147"/>
      <c r="JIF278" s="147"/>
      <c r="JIG278" s="147"/>
      <c r="JIH278" s="147"/>
      <c r="JII278" s="147"/>
      <c r="JIJ278" s="147"/>
      <c r="JIK278" s="147"/>
      <c r="JIL278" s="147"/>
      <c r="JIM278" s="147"/>
      <c r="JIN278" s="147"/>
      <c r="JIO278" s="147"/>
      <c r="JIP278" s="147"/>
      <c r="JIQ278" s="147"/>
      <c r="JIR278" s="147"/>
      <c r="JIS278" s="147"/>
      <c r="JIT278" s="147"/>
      <c r="JIU278" s="147"/>
      <c r="JIV278" s="147"/>
      <c r="JIW278" s="147"/>
      <c r="JIX278" s="147"/>
      <c r="JIY278" s="147"/>
      <c r="JIZ278" s="147"/>
      <c r="JJA278" s="147"/>
      <c r="JJB278" s="147"/>
      <c r="JJC278" s="147"/>
      <c r="JJD278" s="147"/>
      <c r="JJE278" s="147"/>
      <c r="JJF278" s="147"/>
      <c r="JJG278" s="147"/>
      <c r="JJH278" s="147"/>
      <c r="JJI278" s="147"/>
      <c r="JJJ278" s="147"/>
      <c r="JJK278" s="147"/>
      <c r="JJL278" s="147"/>
      <c r="JJM278" s="147"/>
      <c r="JJN278" s="147"/>
      <c r="JJO278" s="147"/>
      <c r="JJP278" s="147"/>
      <c r="JJQ278" s="147"/>
      <c r="JJR278" s="147"/>
      <c r="JJS278" s="147"/>
      <c r="JJT278" s="147"/>
      <c r="JJU278" s="147"/>
      <c r="JJV278" s="147"/>
      <c r="JJW278" s="147"/>
      <c r="JJX278" s="147"/>
      <c r="JJY278" s="147"/>
      <c r="JJZ278" s="147"/>
      <c r="JKA278" s="147"/>
      <c r="JKB278" s="147"/>
      <c r="JKC278" s="147"/>
      <c r="JKD278" s="147"/>
      <c r="JKE278" s="147"/>
      <c r="JKF278" s="147"/>
      <c r="JKG278" s="147"/>
      <c r="JKH278" s="147"/>
      <c r="JKI278" s="147"/>
      <c r="JKJ278" s="147"/>
      <c r="JKK278" s="147"/>
      <c r="JKL278" s="147"/>
      <c r="JKM278" s="147"/>
      <c r="JKN278" s="147"/>
      <c r="JKO278" s="147"/>
      <c r="JKP278" s="147"/>
      <c r="JKQ278" s="147"/>
      <c r="JKR278" s="147"/>
      <c r="JKS278" s="147"/>
      <c r="JKT278" s="147"/>
      <c r="JKU278" s="147"/>
      <c r="JKV278" s="147"/>
      <c r="JKW278" s="147"/>
      <c r="JKX278" s="147"/>
      <c r="JKY278" s="147"/>
      <c r="JKZ278" s="147"/>
      <c r="JLA278" s="147"/>
      <c r="JLB278" s="147"/>
      <c r="JLC278" s="147"/>
      <c r="JLD278" s="147"/>
      <c r="JLE278" s="147"/>
      <c r="JLF278" s="147"/>
      <c r="JLG278" s="147"/>
      <c r="JLH278" s="147"/>
      <c r="JLI278" s="147"/>
      <c r="JLJ278" s="147"/>
      <c r="JLK278" s="147"/>
      <c r="JLL278" s="147"/>
      <c r="JLM278" s="147"/>
      <c r="JLN278" s="147"/>
      <c r="JLO278" s="147"/>
      <c r="JLP278" s="147"/>
      <c r="JLQ278" s="147"/>
      <c r="JLR278" s="147"/>
      <c r="JLS278" s="147"/>
      <c r="JLT278" s="147"/>
      <c r="JLU278" s="147"/>
      <c r="JLV278" s="147"/>
      <c r="JLW278" s="147"/>
      <c r="JLX278" s="147"/>
      <c r="JLY278" s="147"/>
      <c r="JLZ278" s="147"/>
      <c r="JMA278" s="147"/>
      <c r="JMB278" s="147"/>
      <c r="JMC278" s="147"/>
      <c r="JMD278" s="147"/>
      <c r="JME278" s="147"/>
      <c r="JMF278" s="147"/>
      <c r="JMG278" s="147"/>
      <c r="JMH278" s="147"/>
      <c r="JMI278" s="147"/>
      <c r="JMJ278" s="147"/>
      <c r="JMK278" s="147"/>
      <c r="JML278" s="147"/>
      <c r="JMM278" s="147"/>
      <c r="JMN278" s="147"/>
      <c r="JMO278" s="147"/>
      <c r="JMP278" s="147"/>
      <c r="JMQ278" s="147"/>
      <c r="JMR278" s="147"/>
      <c r="JMS278" s="147"/>
      <c r="JMT278" s="147"/>
      <c r="JMU278" s="147"/>
      <c r="JMV278" s="147"/>
      <c r="JMW278" s="147"/>
      <c r="JMX278" s="147"/>
      <c r="JMY278" s="147"/>
      <c r="JMZ278" s="147"/>
      <c r="JNA278" s="147"/>
      <c r="JNB278" s="147"/>
      <c r="JNC278" s="147"/>
      <c r="JND278" s="147"/>
      <c r="JNE278" s="147"/>
      <c r="JNF278" s="147"/>
      <c r="JNG278" s="147"/>
      <c r="JNH278" s="147"/>
      <c r="JNI278" s="147"/>
      <c r="JNJ278" s="147"/>
      <c r="JNK278" s="147"/>
      <c r="JNL278" s="147"/>
      <c r="JNM278" s="147"/>
      <c r="JNN278" s="147"/>
      <c r="JNO278" s="147"/>
      <c r="JNP278" s="147"/>
      <c r="JNQ278" s="147"/>
      <c r="JNR278" s="147"/>
      <c r="JNS278" s="147"/>
      <c r="JNT278" s="147"/>
      <c r="JNU278" s="147"/>
      <c r="JNV278" s="147"/>
      <c r="JNW278" s="147"/>
      <c r="JNX278" s="147"/>
      <c r="JNY278" s="147"/>
      <c r="JNZ278" s="147"/>
      <c r="JOA278" s="147"/>
      <c r="JOB278" s="147"/>
      <c r="JOC278" s="147"/>
      <c r="JOD278" s="147"/>
      <c r="JOE278" s="147"/>
      <c r="JOF278" s="147"/>
      <c r="JOG278" s="147"/>
      <c r="JOH278" s="147"/>
      <c r="JOI278" s="147"/>
      <c r="JOJ278" s="147"/>
      <c r="JOK278" s="147"/>
      <c r="JOL278" s="147"/>
      <c r="JOM278" s="147"/>
      <c r="JON278" s="147"/>
      <c r="JOO278" s="147"/>
      <c r="JOP278" s="147"/>
      <c r="JOQ278" s="147"/>
      <c r="JOR278" s="147"/>
      <c r="JOS278" s="147"/>
      <c r="JOT278" s="147"/>
      <c r="JOU278" s="147"/>
      <c r="JOV278" s="147"/>
      <c r="JOW278" s="147"/>
      <c r="JOX278" s="147"/>
      <c r="JOY278" s="147"/>
      <c r="JOZ278" s="147"/>
      <c r="JPA278" s="147"/>
      <c r="JPB278" s="147"/>
      <c r="JPC278" s="147"/>
      <c r="JPD278" s="147"/>
      <c r="JPE278" s="147"/>
      <c r="JPF278" s="147"/>
      <c r="JPG278" s="147"/>
      <c r="JPH278" s="147"/>
      <c r="JPI278" s="147"/>
      <c r="JPJ278" s="147"/>
      <c r="JPK278" s="147"/>
      <c r="JPL278" s="147"/>
      <c r="JPM278" s="147"/>
      <c r="JPN278" s="147"/>
      <c r="JPO278" s="147"/>
      <c r="JPP278" s="147"/>
      <c r="JPQ278" s="147"/>
      <c r="JPR278" s="147"/>
      <c r="JPS278" s="147"/>
      <c r="JPT278" s="147"/>
      <c r="JPU278" s="147"/>
      <c r="JPV278" s="147"/>
      <c r="JPW278" s="147"/>
      <c r="JPX278" s="147"/>
      <c r="JPY278" s="147"/>
      <c r="JPZ278" s="147"/>
      <c r="JQA278" s="147"/>
      <c r="JQB278" s="147"/>
      <c r="JQC278" s="147"/>
      <c r="JQD278" s="147"/>
      <c r="JQE278" s="147"/>
      <c r="JQF278" s="147"/>
      <c r="JQG278" s="147"/>
      <c r="JQH278" s="147"/>
      <c r="JQI278" s="147"/>
      <c r="JQJ278" s="147"/>
      <c r="JQK278" s="147"/>
      <c r="JQL278" s="147"/>
      <c r="JQM278" s="147"/>
      <c r="JQN278" s="147"/>
      <c r="JQO278" s="147"/>
      <c r="JQP278" s="147"/>
      <c r="JQQ278" s="147"/>
      <c r="JQR278" s="147"/>
      <c r="JQS278" s="147"/>
      <c r="JQT278" s="147"/>
      <c r="JQU278" s="147"/>
      <c r="JQV278" s="147"/>
      <c r="JQW278" s="147"/>
      <c r="JQX278" s="147"/>
      <c r="JQY278" s="147"/>
      <c r="JQZ278" s="147"/>
      <c r="JRA278" s="147"/>
      <c r="JRB278" s="147"/>
      <c r="JRC278" s="147"/>
      <c r="JRD278" s="147"/>
      <c r="JRE278" s="147"/>
      <c r="JRF278" s="147"/>
      <c r="JRG278" s="147"/>
      <c r="JRH278" s="147"/>
      <c r="JRI278" s="147"/>
      <c r="JRJ278" s="147"/>
      <c r="JRK278" s="147"/>
      <c r="JRL278" s="147"/>
      <c r="JRM278" s="147"/>
      <c r="JRN278" s="147"/>
      <c r="JRO278" s="147"/>
      <c r="JRP278" s="147"/>
      <c r="JRQ278" s="147"/>
      <c r="JRR278" s="147"/>
      <c r="JRS278" s="147"/>
      <c r="JRT278" s="147"/>
      <c r="JRU278" s="147"/>
      <c r="JRV278" s="147"/>
      <c r="JRW278" s="147"/>
      <c r="JRX278" s="147"/>
      <c r="JRY278" s="147"/>
      <c r="JRZ278" s="147"/>
      <c r="JSA278" s="147"/>
      <c r="JSB278" s="147"/>
      <c r="JSC278" s="147"/>
      <c r="JSD278" s="147"/>
      <c r="JSE278" s="147"/>
      <c r="JSF278" s="147"/>
      <c r="JSG278" s="147"/>
      <c r="JSH278" s="147"/>
      <c r="JSI278" s="147"/>
      <c r="JSJ278" s="147"/>
      <c r="JSK278" s="147"/>
      <c r="JSL278" s="147"/>
      <c r="JSM278" s="147"/>
      <c r="JSN278" s="147"/>
      <c r="JSO278" s="147"/>
      <c r="JSP278" s="147"/>
      <c r="JSQ278" s="147"/>
      <c r="JSR278" s="147"/>
      <c r="JSS278" s="147"/>
      <c r="JST278" s="147"/>
      <c r="JSU278" s="147"/>
      <c r="JSV278" s="147"/>
      <c r="JSW278" s="147"/>
      <c r="JSX278" s="147"/>
      <c r="JSY278" s="147"/>
      <c r="JSZ278" s="147"/>
      <c r="JTA278" s="147"/>
      <c r="JTB278" s="147"/>
      <c r="JTC278" s="147"/>
      <c r="JTD278" s="147"/>
      <c r="JTE278" s="147"/>
      <c r="JTF278" s="147"/>
      <c r="JTG278" s="147"/>
      <c r="JTH278" s="147"/>
      <c r="JTI278" s="147"/>
      <c r="JTJ278" s="147"/>
      <c r="JTK278" s="147"/>
      <c r="JTL278" s="147"/>
      <c r="JTM278" s="147"/>
      <c r="JTN278" s="147"/>
      <c r="JTO278" s="147"/>
      <c r="JTP278" s="147"/>
      <c r="JTQ278" s="147"/>
      <c r="JTR278" s="147"/>
      <c r="JTS278" s="147"/>
      <c r="JTT278" s="147"/>
      <c r="JTU278" s="147"/>
      <c r="JTV278" s="147"/>
      <c r="JTW278" s="147"/>
      <c r="JTX278" s="147"/>
      <c r="JTY278" s="147"/>
      <c r="JTZ278" s="147"/>
      <c r="JUA278" s="147"/>
      <c r="JUB278" s="147"/>
      <c r="JUC278" s="147"/>
      <c r="JUD278" s="147"/>
      <c r="JUE278" s="147"/>
      <c r="JUF278" s="147"/>
      <c r="JUG278" s="147"/>
      <c r="JUH278" s="147"/>
      <c r="JUI278" s="147"/>
      <c r="JUJ278" s="147"/>
      <c r="JUK278" s="147"/>
      <c r="JUL278" s="147"/>
      <c r="JUM278" s="147"/>
      <c r="JUN278" s="147"/>
      <c r="JUO278" s="147"/>
      <c r="JUP278" s="147"/>
      <c r="JUQ278" s="147"/>
      <c r="JUR278" s="147"/>
      <c r="JUS278" s="147"/>
      <c r="JUT278" s="147"/>
      <c r="JUU278" s="147"/>
      <c r="JUV278" s="147"/>
      <c r="JUW278" s="147"/>
      <c r="JUX278" s="147"/>
      <c r="JUY278" s="147"/>
      <c r="JUZ278" s="147"/>
      <c r="JVA278" s="147"/>
      <c r="JVB278" s="147"/>
      <c r="JVC278" s="147"/>
      <c r="JVD278" s="147"/>
      <c r="JVE278" s="147"/>
      <c r="JVF278" s="147"/>
      <c r="JVG278" s="147"/>
      <c r="JVH278" s="147"/>
      <c r="JVI278" s="147"/>
      <c r="JVJ278" s="147"/>
      <c r="JVK278" s="147"/>
      <c r="JVL278" s="147"/>
      <c r="JVM278" s="147"/>
      <c r="JVN278" s="147"/>
      <c r="JVO278" s="147"/>
      <c r="JVP278" s="147"/>
      <c r="JVQ278" s="147"/>
      <c r="JVR278" s="147"/>
      <c r="JVS278" s="147"/>
      <c r="JVT278" s="147"/>
      <c r="JVU278" s="147"/>
      <c r="JVV278" s="147"/>
      <c r="JVW278" s="147"/>
      <c r="JVX278" s="147"/>
      <c r="JVY278" s="147"/>
      <c r="JVZ278" s="147"/>
      <c r="JWA278" s="147"/>
      <c r="JWB278" s="147"/>
      <c r="JWC278" s="147"/>
      <c r="JWD278" s="147"/>
      <c r="JWE278" s="147"/>
      <c r="JWF278" s="147"/>
      <c r="JWG278" s="147"/>
      <c r="JWH278" s="147"/>
      <c r="JWI278" s="147"/>
      <c r="JWJ278" s="147"/>
      <c r="JWK278" s="147"/>
      <c r="JWL278" s="147"/>
      <c r="JWM278" s="147"/>
      <c r="JWN278" s="147"/>
      <c r="JWO278" s="147"/>
      <c r="JWP278" s="147"/>
      <c r="JWQ278" s="147"/>
      <c r="JWR278" s="147"/>
      <c r="JWS278" s="147"/>
      <c r="JWT278" s="147"/>
      <c r="JWU278" s="147"/>
      <c r="JWV278" s="147"/>
      <c r="JWW278" s="147"/>
      <c r="JWX278" s="147"/>
      <c r="JWY278" s="147"/>
      <c r="JWZ278" s="147"/>
      <c r="JXA278" s="147"/>
      <c r="JXB278" s="147"/>
      <c r="JXC278" s="147"/>
      <c r="JXD278" s="147"/>
      <c r="JXE278" s="147"/>
      <c r="JXF278" s="147"/>
      <c r="JXG278" s="147"/>
      <c r="JXH278" s="147"/>
      <c r="JXI278" s="147"/>
      <c r="JXJ278" s="147"/>
      <c r="JXK278" s="147"/>
      <c r="JXL278" s="147"/>
      <c r="JXM278" s="147"/>
      <c r="JXN278" s="147"/>
      <c r="JXO278" s="147"/>
      <c r="JXP278" s="147"/>
      <c r="JXQ278" s="147"/>
      <c r="JXR278" s="147"/>
      <c r="JXS278" s="147"/>
      <c r="JXT278" s="147"/>
      <c r="JXU278" s="147"/>
      <c r="JXV278" s="147"/>
      <c r="JXW278" s="147"/>
      <c r="JXX278" s="147"/>
      <c r="JXY278" s="147"/>
      <c r="JXZ278" s="147"/>
      <c r="JYA278" s="147"/>
      <c r="JYB278" s="147"/>
      <c r="JYC278" s="147"/>
      <c r="JYD278" s="147"/>
      <c r="JYE278" s="147"/>
      <c r="JYF278" s="147"/>
      <c r="JYG278" s="147"/>
      <c r="JYH278" s="147"/>
      <c r="JYI278" s="147"/>
      <c r="JYJ278" s="147"/>
      <c r="JYK278" s="147"/>
      <c r="JYL278" s="147"/>
      <c r="JYM278" s="147"/>
      <c r="JYN278" s="147"/>
      <c r="JYO278" s="147"/>
      <c r="JYP278" s="147"/>
      <c r="JYQ278" s="147"/>
      <c r="JYR278" s="147"/>
      <c r="JYS278" s="147"/>
      <c r="JYT278" s="147"/>
      <c r="JYU278" s="147"/>
      <c r="JYV278" s="147"/>
      <c r="JYW278" s="147"/>
      <c r="JYX278" s="147"/>
      <c r="JYY278" s="147"/>
      <c r="JYZ278" s="147"/>
      <c r="JZA278" s="147"/>
      <c r="JZB278" s="147"/>
      <c r="JZC278" s="147"/>
      <c r="JZD278" s="147"/>
      <c r="JZE278" s="147"/>
      <c r="JZF278" s="147"/>
      <c r="JZG278" s="147"/>
      <c r="JZH278" s="147"/>
      <c r="JZI278" s="147"/>
      <c r="JZJ278" s="147"/>
      <c r="JZK278" s="147"/>
      <c r="JZL278" s="147"/>
      <c r="JZM278" s="147"/>
      <c r="JZN278" s="147"/>
      <c r="JZO278" s="147"/>
      <c r="JZP278" s="147"/>
      <c r="JZQ278" s="147"/>
      <c r="JZR278" s="147"/>
      <c r="JZS278" s="147"/>
      <c r="JZT278" s="147"/>
      <c r="JZU278" s="147"/>
      <c r="JZV278" s="147"/>
      <c r="JZW278" s="147"/>
      <c r="JZX278" s="147"/>
      <c r="JZY278" s="147"/>
      <c r="JZZ278" s="147"/>
      <c r="KAA278" s="147"/>
      <c r="KAB278" s="147"/>
      <c r="KAC278" s="147"/>
      <c r="KAD278" s="147"/>
      <c r="KAE278" s="147"/>
      <c r="KAF278" s="147"/>
      <c r="KAG278" s="147"/>
      <c r="KAH278" s="147"/>
      <c r="KAI278" s="147"/>
      <c r="KAJ278" s="147"/>
      <c r="KAK278" s="147"/>
      <c r="KAL278" s="147"/>
      <c r="KAM278" s="147"/>
      <c r="KAN278" s="147"/>
      <c r="KAO278" s="147"/>
      <c r="KAP278" s="147"/>
      <c r="KAQ278" s="147"/>
      <c r="KAR278" s="147"/>
      <c r="KAS278" s="147"/>
      <c r="KAT278" s="147"/>
      <c r="KAU278" s="147"/>
      <c r="KAV278" s="147"/>
      <c r="KAW278" s="147"/>
      <c r="KAX278" s="147"/>
      <c r="KAY278" s="147"/>
      <c r="KAZ278" s="147"/>
      <c r="KBA278" s="147"/>
      <c r="KBB278" s="147"/>
      <c r="KBC278" s="147"/>
      <c r="KBD278" s="147"/>
      <c r="KBE278" s="147"/>
      <c r="KBF278" s="147"/>
      <c r="KBG278" s="147"/>
      <c r="KBH278" s="147"/>
      <c r="KBI278" s="147"/>
      <c r="KBJ278" s="147"/>
      <c r="KBK278" s="147"/>
      <c r="KBL278" s="147"/>
      <c r="KBM278" s="147"/>
      <c r="KBN278" s="147"/>
      <c r="KBO278" s="147"/>
      <c r="KBP278" s="147"/>
      <c r="KBQ278" s="147"/>
      <c r="KBR278" s="147"/>
      <c r="KBS278" s="147"/>
      <c r="KBT278" s="147"/>
      <c r="KBU278" s="147"/>
      <c r="KBV278" s="147"/>
      <c r="KBW278" s="147"/>
      <c r="KBX278" s="147"/>
      <c r="KBY278" s="147"/>
      <c r="KBZ278" s="147"/>
      <c r="KCA278" s="147"/>
      <c r="KCB278" s="147"/>
      <c r="KCC278" s="147"/>
      <c r="KCD278" s="147"/>
      <c r="KCE278" s="147"/>
      <c r="KCF278" s="147"/>
      <c r="KCG278" s="147"/>
      <c r="KCH278" s="147"/>
      <c r="KCI278" s="147"/>
      <c r="KCJ278" s="147"/>
      <c r="KCK278" s="147"/>
      <c r="KCL278" s="147"/>
      <c r="KCM278" s="147"/>
      <c r="KCN278" s="147"/>
      <c r="KCO278" s="147"/>
      <c r="KCP278" s="147"/>
      <c r="KCQ278" s="147"/>
      <c r="KCR278" s="147"/>
      <c r="KCS278" s="147"/>
      <c r="KCT278" s="147"/>
      <c r="KCU278" s="147"/>
      <c r="KCV278" s="147"/>
      <c r="KCW278" s="147"/>
      <c r="KCX278" s="147"/>
      <c r="KCY278" s="147"/>
      <c r="KCZ278" s="147"/>
      <c r="KDA278" s="147"/>
      <c r="KDB278" s="147"/>
      <c r="KDC278" s="147"/>
      <c r="KDD278" s="147"/>
      <c r="KDE278" s="147"/>
      <c r="KDF278" s="147"/>
      <c r="KDG278" s="147"/>
      <c r="KDH278" s="147"/>
      <c r="KDI278" s="147"/>
      <c r="KDJ278" s="147"/>
      <c r="KDK278" s="147"/>
      <c r="KDL278" s="147"/>
      <c r="KDM278" s="147"/>
      <c r="KDN278" s="147"/>
      <c r="KDO278" s="147"/>
      <c r="KDP278" s="147"/>
      <c r="KDQ278" s="147"/>
      <c r="KDR278" s="147"/>
      <c r="KDS278" s="147"/>
      <c r="KDT278" s="147"/>
      <c r="KDU278" s="147"/>
      <c r="KDV278" s="147"/>
      <c r="KDW278" s="147"/>
      <c r="KDX278" s="147"/>
      <c r="KDY278" s="147"/>
      <c r="KDZ278" s="147"/>
      <c r="KEA278" s="147"/>
      <c r="KEB278" s="147"/>
      <c r="KEC278" s="147"/>
      <c r="KED278" s="147"/>
      <c r="KEE278" s="147"/>
      <c r="KEF278" s="147"/>
      <c r="KEG278" s="147"/>
      <c r="KEH278" s="147"/>
      <c r="KEI278" s="147"/>
      <c r="KEJ278" s="147"/>
      <c r="KEK278" s="147"/>
      <c r="KEL278" s="147"/>
      <c r="KEM278" s="147"/>
      <c r="KEN278" s="147"/>
      <c r="KEO278" s="147"/>
      <c r="KEP278" s="147"/>
      <c r="KEQ278" s="147"/>
      <c r="KER278" s="147"/>
      <c r="KES278" s="147"/>
      <c r="KET278" s="147"/>
      <c r="KEU278" s="147"/>
      <c r="KEV278" s="147"/>
      <c r="KEW278" s="147"/>
      <c r="KEX278" s="147"/>
      <c r="KEY278" s="147"/>
      <c r="KEZ278" s="147"/>
      <c r="KFA278" s="147"/>
      <c r="KFB278" s="147"/>
      <c r="KFC278" s="147"/>
      <c r="KFD278" s="147"/>
      <c r="KFE278" s="147"/>
      <c r="KFF278" s="147"/>
      <c r="KFG278" s="147"/>
      <c r="KFH278" s="147"/>
      <c r="KFI278" s="147"/>
      <c r="KFJ278" s="147"/>
      <c r="KFK278" s="147"/>
      <c r="KFL278" s="147"/>
      <c r="KFM278" s="147"/>
      <c r="KFN278" s="147"/>
      <c r="KFO278" s="147"/>
      <c r="KFP278" s="147"/>
      <c r="KFQ278" s="147"/>
      <c r="KFR278" s="147"/>
      <c r="KFS278" s="147"/>
      <c r="KFT278" s="147"/>
      <c r="KFU278" s="147"/>
      <c r="KFV278" s="147"/>
      <c r="KFW278" s="147"/>
      <c r="KFX278" s="147"/>
      <c r="KFY278" s="147"/>
      <c r="KFZ278" s="147"/>
      <c r="KGA278" s="147"/>
      <c r="KGB278" s="147"/>
      <c r="KGC278" s="147"/>
      <c r="KGD278" s="147"/>
      <c r="KGE278" s="147"/>
      <c r="KGF278" s="147"/>
      <c r="KGG278" s="147"/>
      <c r="KGH278" s="147"/>
      <c r="KGI278" s="147"/>
      <c r="KGJ278" s="147"/>
      <c r="KGK278" s="147"/>
      <c r="KGL278" s="147"/>
      <c r="KGM278" s="147"/>
      <c r="KGN278" s="147"/>
      <c r="KGO278" s="147"/>
      <c r="KGP278" s="147"/>
      <c r="KGQ278" s="147"/>
      <c r="KGR278" s="147"/>
      <c r="KGS278" s="147"/>
      <c r="KGT278" s="147"/>
      <c r="KGU278" s="147"/>
      <c r="KGV278" s="147"/>
      <c r="KGW278" s="147"/>
      <c r="KGX278" s="147"/>
      <c r="KGY278" s="147"/>
      <c r="KGZ278" s="147"/>
      <c r="KHA278" s="147"/>
      <c r="KHB278" s="147"/>
      <c r="KHC278" s="147"/>
      <c r="KHD278" s="147"/>
      <c r="KHE278" s="147"/>
      <c r="KHF278" s="147"/>
      <c r="KHG278" s="147"/>
      <c r="KHH278" s="147"/>
      <c r="KHI278" s="147"/>
      <c r="KHJ278" s="147"/>
      <c r="KHK278" s="147"/>
      <c r="KHL278" s="147"/>
      <c r="KHM278" s="147"/>
      <c r="KHN278" s="147"/>
      <c r="KHO278" s="147"/>
      <c r="KHP278" s="147"/>
      <c r="KHQ278" s="147"/>
      <c r="KHR278" s="147"/>
      <c r="KHS278" s="147"/>
      <c r="KHT278" s="147"/>
      <c r="KHU278" s="147"/>
      <c r="KHV278" s="147"/>
      <c r="KHW278" s="147"/>
      <c r="KHX278" s="147"/>
      <c r="KHY278" s="147"/>
      <c r="KHZ278" s="147"/>
      <c r="KIA278" s="147"/>
      <c r="KIB278" s="147"/>
      <c r="KIC278" s="147"/>
      <c r="KID278" s="147"/>
      <c r="KIE278" s="147"/>
      <c r="KIF278" s="147"/>
      <c r="KIG278" s="147"/>
      <c r="KIH278" s="147"/>
      <c r="KII278" s="147"/>
      <c r="KIJ278" s="147"/>
      <c r="KIK278" s="147"/>
      <c r="KIL278" s="147"/>
      <c r="KIM278" s="147"/>
      <c r="KIN278" s="147"/>
      <c r="KIO278" s="147"/>
      <c r="KIP278" s="147"/>
      <c r="KIQ278" s="147"/>
      <c r="KIR278" s="147"/>
      <c r="KIS278" s="147"/>
      <c r="KIT278" s="147"/>
      <c r="KIU278" s="147"/>
      <c r="KIV278" s="147"/>
      <c r="KIW278" s="147"/>
      <c r="KIX278" s="147"/>
      <c r="KIY278" s="147"/>
      <c r="KIZ278" s="147"/>
      <c r="KJA278" s="147"/>
      <c r="KJB278" s="147"/>
      <c r="KJC278" s="147"/>
      <c r="KJD278" s="147"/>
      <c r="KJE278" s="147"/>
      <c r="KJF278" s="147"/>
      <c r="KJG278" s="147"/>
      <c r="KJH278" s="147"/>
      <c r="KJI278" s="147"/>
      <c r="KJJ278" s="147"/>
      <c r="KJK278" s="147"/>
      <c r="KJL278" s="147"/>
      <c r="KJM278" s="147"/>
      <c r="KJN278" s="147"/>
      <c r="KJO278" s="147"/>
      <c r="KJP278" s="147"/>
      <c r="KJQ278" s="147"/>
      <c r="KJR278" s="147"/>
      <c r="KJS278" s="147"/>
      <c r="KJT278" s="147"/>
      <c r="KJU278" s="147"/>
      <c r="KJV278" s="147"/>
      <c r="KJW278" s="147"/>
      <c r="KJX278" s="147"/>
      <c r="KJY278" s="147"/>
      <c r="KJZ278" s="147"/>
      <c r="KKA278" s="147"/>
      <c r="KKB278" s="147"/>
      <c r="KKC278" s="147"/>
      <c r="KKD278" s="147"/>
      <c r="KKE278" s="147"/>
      <c r="KKF278" s="147"/>
      <c r="KKG278" s="147"/>
      <c r="KKH278" s="147"/>
      <c r="KKI278" s="147"/>
      <c r="KKJ278" s="147"/>
      <c r="KKK278" s="147"/>
      <c r="KKL278" s="147"/>
      <c r="KKM278" s="147"/>
      <c r="KKN278" s="147"/>
      <c r="KKO278" s="147"/>
      <c r="KKP278" s="147"/>
      <c r="KKQ278" s="147"/>
      <c r="KKR278" s="147"/>
      <c r="KKS278" s="147"/>
      <c r="KKT278" s="147"/>
      <c r="KKU278" s="147"/>
      <c r="KKV278" s="147"/>
      <c r="KKW278" s="147"/>
      <c r="KKX278" s="147"/>
      <c r="KKY278" s="147"/>
      <c r="KKZ278" s="147"/>
      <c r="KLA278" s="147"/>
      <c r="KLB278" s="147"/>
      <c r="KLC278" s="147"/>
      <c r="KLD278" s="147"/>
      <c r="KLE278" s="147"/>
      <c r="KLF278" s="147"/>
      <c r="KLG278" s="147"/>
      <c r="KLH278" s="147"/>
      <c r="KLI278" s="147"/>
      <c r="KLJ278" s="147"/>
      <c r="KLK278" s="147"/>
      <c r="KLL278" s="147"/>
      <c r="KLM278" s="147"/>
      <c r="KLN278" s="147"/>
      <c r="KLO278" s="147"/>
      <c r="KLP278" s="147"/>
      <c r="KLQ278" s="147"/>
      <c r="KLR278" s="147"/>
      <c r="KLS278" s="147"/>
      <c r="KLT278" s="147"/>
      <c r="KLU278" s="147"/>
      <c r="KLV278" s="147"/>
      <c r="KLW278" s="147"/>
      <c r="KLX278" s="147"/>
      <c r="KLY278" s="147"/>
      <c r="KLZ278" s="147"/>
      <c r="KMA278" s="147"/>
      <c r="KMB278" s="147"/>
      <c r="KMC278" s="147"/>
      <c r="KMD278" s="147"/>
      <c r="KME278" s="147"/>
      <c r="KMF278" s="147"/>
      <c r="KMG278" s="147"/>
      <c r="KMH278" s="147"/>
      <c r="KMI278" s="147"/>
      <c r="KMJ278" s="147"/>
      <c r="KMK278" s="147"/>
      <c r="KML278" s="147"/>
      <c r="KMM278" s="147"/>
      <c r="KMN278" s="147"/>
      <c r="KMO278" s="147"/>
      <c r="KMP278" s="147"/>
      <c r="KMQ278" s="147"/>
      <c r="KMR278" s="147"/>
      <c r="KMS278" s="147"/>
      <c r="KMT278" s="147"/>
      <c r="KMU278" s="147"/>
      <c r="KMV278" s="147"/>
      <c r="KMW278" s="147"/>
      <c r="KMX278" s="147"/>
      <c r="KMY278" s="147"/>
      <c r="KMZ278" s="147"/>
      <c r="KNA278" s="147"/>
      <c r="KNB278" s="147"/>
      <c r="KNC278" s="147"/>
      <c r="KND278" s="147"/>
      <c r="KNE278" s="147"/>
      <c r="KNF278" s="147"/>
      <c r="KNG278" s="147"/>
      <c r="KNH278" s="147"/>
      <c r="KNI278" s="147"/>
      <c r="KNJ278" s="147"/>
      <c r="KNK278" s="147"/>
      <c r="KNL278" s="147"/>
      <c r="KNM278" s="147"/>
      <c r="KNN278" s="147"/>
      <c r="KNO278" s="147"/>
      <c r="KNP278" s="147"/>
      <c r="KNQ278" s="147"/>
      <c r="KNR278" s="147"/>
      <c r="KNS278" s="147"/>
      <c r="KNT278" s="147"/>
      <c r="KNU278" s="147"/>
      <c r="KNV278" s="147"/>
      <c r="KNW278" s="147"/>
      <c r="KNX278" s="147"/>
      <c r="KNY278" s="147"/>
      <c r="KNZ278" s="147"/>
      <c r="KOA278" s="147"/>
      <c r="KOB278" s="147"/>
      <c r="KOC278" s="147"/>
      <c r="KOD278" s="147"/>
      <c r="KOE278" s="147"/>
      <c r="KOF278" s="147"/>
      <c r="KOG278" s="147"/>
      <c r="KOH278" s="147"/>
      <c r="KOI278" s="147"/>
      <c r="KOJ278" s="147"/>
      <c r="KOK278" s="147"/>
      <c r="KOL278" s="147"/>
      <c r="KOM278" s="147"/>
      <c r="KON278" s="147"/>
      <c r="KOO278" s="147"/>
      <c r="KOP278" s="147"/>
      <c r="KOQ278" s="147"/>
      <c r="KOR278" s="147"/>
      <c r="KOS278" s="147"/>
      <c r="KOT278" s="147"/>
      <c r="KOU278" s="147"/>
      <c r="KOV278" s="147"/>
      <c r="KOW278" s="147"/>
      <c r="KOX278" s="147"/>
      <c r="KOY278" s="147"/>
      <c r="KOZ278" s="147"/>
      <c r="KPA278" s="147"/>
      <c r="KPB278" s="147"/>
      <c r="KPC278" s="147"/>
      <c r="KPD278" s="147"/>
      <c r="KPE278" s="147"/>
      <c r="KPF278" s="147"/>
      <c r="KPG278" s="147"/>
      <c r="KPH278" s="147"/>
      <c r="KPI278" s="147"/>
      <c r="KPJ278" s="147"/>
      <c r="KPK278" s="147"/>
      <c r="KPL278" s="147"/>
      <c r="KPM278" s="147"/>
      <c r="KPN278" s="147"/>
      <c r="KPO278" s="147"/>
      <c r="KPP278" s="147"/>
      <c r="KPQ278" s="147"/>
      <c r="KPR278" s="147"/>
      <c r="KPS278" s="147"/>
      <c r="KPT278" s="147"/>
      <c r="KPU278" s="147"/>
      <c r="KPV278" s="147"/>
      <c r="KPW278" s="147"/>
      <c r="KPX278" s="147"/>
      <c r="KPY278" s="147"/>
      <c r="KPZ278" s="147"/>
      <c r="KQA278" s="147"/>
      <c r="KQB278" s="147"/>
      <c r="KQC278" s="147"/>
      <c r="KQD278" s="147"/>
      <c r="KQE278" s="147"/>
      <c r="KQF278" s="147"/>
      <c r="KQG278" s="147"/>
      <c r="KQH278" s="147"/>
      <c r="KQI278" s="147"/>
      <c r="KQJ278" s="147"/>
      <c r="KQK278" s="147"/>
      <c r="KQL278" s="147"/>
      <c r="KQM278" s="147"/>
      <c r="KQN278" s="147"/>
      <c r="KQO278" s="147"/>
      <c r="KQP278" s="147"/>
      <c r="KQQ278" s="147"/>
      <c r="KQR278" s="147"/>
      <c r="KQS278" s="147"/>
      <c r="KQT278" s="147"/>
      <c r="KQU278" s="147"/>
      <c r="KQV278" s="147"/>
      <c r="KQW278" s="147"/>
      <c r="KQX278" s="147"/>
      <c r="KQY278" s="147"/>
      <c r="KQZ278" s="147"/>
      <c r="KRA278" s="147"/>
      <c r="KRB278" s="147"/>
      <c r="KRC278" s="147"/>
      <c r="KRD278" s="147"/>
      <c r="KRE278" s="147"/>
      <c r="KRF278" s="147"/>
      <c r="KRG278" s="147"/>
      <c r="KRH278" s="147"/>
      <c r="KRI278" s="147"/>
      <c r="KRJ278" s="147"/>
      <c r="KRK278" s="147"/>
      <c r="KRL278" s="147"/>
      <c r="KRM278" s="147"/>
      <c r="KRN278" s="147"/>
      <c r="KRO278" s="147"/>
      <c r="KRP278" s="147"/>
      <c r="KRQ278" s="147"/>
      <c r="KRR278" s="147"/>
      <c r="KRS278" s="147"/>
      <c r="KRT278" s="147"/>
      <c r="KRU278" s="147"/>
      <c r="KRV278" s="147"/>
      <c r="KRW278" s="147"/>
      <c r="KRX278" s="147"/>
      <c r="KRY278" s="147"/>
      <c r="KRZ278" s="147"/>
      <c r="KSA278" s="147"/>
      <c r="KSB278" s="147"/>
      <c r="KSC278" s="147"/>
      <c r="KSD278" s="147"/>
      <c r="KSE278" s="147"/>
      <c r="KSF278" s="147"/>
      <c r="KSG278" s="147"/>
      <c r="KSH278" s="147"/>
      <c r="KSI278" s="147"/>
      <c r="KSJ278" s="147"/>
      <c r="KSK278" s="147"/>
      <c r="KSL278" s="147"/>
      <c r="KSM278" s="147"/>
      <c r="KSN278" s="147"/>
      <c r="KSO278" s="147"/>
      <c r="KSP278" s="147"/>
      <c r="KSQ278" s="147"/>
      <c r="KSR278" s="147"/>
      <c r="KSS278" s="147"/>
      <c r="KST278" s="147"/>
      <c r="KSU278" s="147"/>
      <c r="KSV278" s="147"/>
      <c r="KSW278" s="147"/>
      <c r="KSX278" s="147"/>
      <c r="KSY278" s="147"/>
      <c r="KSZ278" s="147"/>
      <c r="KTA278" s="147"/>
      <c r="KTB278" s="147"/>
      <c r="KTC278" s="147"/>
      <c r="KTD278" s="147"/>
      <c r="KTE278" s="147"/>
      <c r="KTF278" s="147"/>
      <c r="KTG278" s="147"/>
      <c r="KTH278" s="147"/>
      <c r="KTI278" s="147"/>
      <c r="KTJ278" s="147"/>
      <c r="KTK278" s="147"/>
      <c r="KTL278" s="147"/>
      <c r="KTM278" s="147"/>
      <c r="KTN278" s="147"/>
      <c r="KTO278" s="147"/>
      <c r="KTP278" s="147"/>
      <c r="KTQ278" s="147"/>
      <c r="KTR278" s="147"/>
      <c r="KTS278" s="147"/>
      <c r="KTT278" s="147"/>
      <c r="KTU278" s="147"/>
      <c r="KTV278" s="147"/>
      <c r="KTW278" s="147"/>
      <c r="KTX278" s="147"/>
      <c r="KTY278" s="147"/>
      <c r="KTZ278" s="147"/>
      <c r="KUA278" s="147"/>
      <c r="KUB278" s="147"/>
      <c r="KUC278" s="147"/>
      <c r="KUD278" s="147"/>
      <c r="KUE278" s="147"/>
      <c r="KUF278" s="147"/>
      <c r="KUG278" s="147"/>
      <c r="KUH278" s="147"/>
      <c r="KUI278" s="147"/>
      <c r="KUJ278" s="147"/>
      <c r="KUK278" s="147"/>
      <c r="KUL278" s="147"/>
      <c r="KUM278" s="147"/>
      <c r="KUN278" s="147"/>
      <c r="KUO278" s="147"/>
      <c r="KUP278" s="147"/>
      <c r="KUQ278" s="147"/>
      <c r="KUR278" s="147"/>
      <c r="KUS278" s="147"/>
      <c r="KUT278" s="147"/>
      <c r="KUU278" s="147"/>
      <c r="KUV278" s="147"/>
      <c r="KUW278" s="147"/>
      <c r="KUX278" s="147"/>
      <c r="KUY278" s="147"/>
      <c r="KUZ278" s="147"/>
      <c r="KVA278" s="147"/>
      <c r="KVB278" s="147"/>
      <c r="KVC278" s="147"/>
      <c r="KVD278" s="147"/>
      <c r="KVE278" s="147"/>
      <c r="KVF278" s="147"/>
      <c r="KVG278" s="147"/>
      <c r="KVH278" s="147"/>
      <c r="KVI278" s="147"/>
      <c r="KVJ278" s="147"/>
      <c r="KVK278" s="147"/>
      <c r="KVL278" s="147"/>
      <c r="KVM278" s="147"/>
      <c r="KVN278" s="147"/>
      <c r="KVO278" s="147"/>
      <c r="KVP278" s="147"/>
      <c r="KVQ278" s="147"/>
      <c r="KVR278" s="147"/>
      <c r="KVS278" s="147"/>
      <c r="KVT278" s="147"/>
      <c r="KVU278" s="147"/>
      <c r="KVV278" s="147"/>
      <c r="KVW278" s="147"/>
      <c r="KVX278" s="147"/>
      <c r="KVY278" s="147"/>
      <c r="KVZ278" s="147"/>
      <c r="KWA278" s="147"/>
      <c r="KWB278" s="147"/>
      <c r="KWC278" s="147"/>
      <c r="KWD278" s="147"/>
      <c r="KWE278" s="147"/>
      <c r="KWF278" s="147"/>
      <c r="KWG278" s="147"/>
      <c r="KWH278" s="147"/>
      <c r="KWI278" s="147"/>
      <c r="KWJ278" s="147"/>
      <c r="KWK278" s="147"/>
      <c r="KWL278" s="147"/>
      <c r="KWM278" s="147"/>
      <c r="KWN278" s="147"/>
      <c r="KWO278" s="147"/>
      <c r="KWP278" s="147"/>
      <c r="KWQ278" s="147"/>
      <c r="KWR278" s="147"/>
      <c r="KWS278" s="147"/>
      <c r="KWT278" s="147"/>
      <c r="KWU278" s="147"/>
      <c r="KWV278" s="147"/>
      <c r="KWW278" s="147"/>
      <c r="KWX278" s="147"/>
      <c r="KWY278" s="147"/>
      <c r="KWZ278" s="147"/>
      <c r="KXA278" s="147"/>
      <c r="KXB278" s="147"/>
      <c r="KXC278" s="147"/>
      <c r="KXD278" s="147"/>
      <c r="KXE278" s="147"/>
      <c r="KXF278" s="147"/>
      <c r="KXG278" s="147"/>
      <c r="KXH278" s="147"/>
      <c r="KXI278" s="147"/>
      <c r="KXJ278" s="147"/>
      <c r="KXK278" s="147"/>
      <c r="KXL278" s="147"/>
      <c r="KXM278" s="147"/>
      <c r="KXN278" s="147"/>
      <c r="KXO278" s="147"/>
      <c r="KXP278" s="147"/>
      <c r="KXQ278" s="147"/>
      <c r="KXR278" s="147"/>
      <c r="KXS278" s="147"/>
      <c r="KXT278" s="147"/>
      <c r="KXU278" s="147"/>
      <c r="KXV278" s="147"/>
      <c r="KXW278" s="147"/>
      <c r="KXX278" s="147"/>
      <c r="KXY278" s="147"/>
      <c r="KXZ278" s="147"/>
      <c r="KYA278" s="147"/>
      <c r="KYB278" s="147"/>
      <c r="KYC278" s="147"/>
      <c r="KYD278" s="147"/>
      <c r="KYE278" s="147"/>
      <c r="KYF278" s="147"/>
      <c r="KYG278" s="147"/>
      <c r="KYH278" s="147"/>
      <c r="KYI278" s="147"/>
      <c r="KYJ278" s="147"/>
      <c r="KYK278" s="147"/>
      <c r="KYL278" s="147"/>
      <c r="KYM278" s="147"/>
      <c r="KYN278" s="147"/>
      <c r="KYO278" s="147"/>
      <c r="KYP278" s="147"/>
      <c r="KYQ278" s="147"/>
      <c r="KYR278" s="147"/>
      <c r="KYS278" s="147"/>
      <c r="KYT278" s="147"/>
      <c r="KYU278" s="147"/>
      <c r="KYV278" s="147"/>
      <c r="KYW278" s="147"/>
      <c r="KYX278" s="147"/>
      <c r="KYY278" s="147"/>
      <c r="KYZ278" s="147"/>
      <c r="KZA278" s="147"/>
      <c r="KZB278" s="147"/>
      <c r="KZC278" s="147"/>
      <c r="KZD278" s="147"/>
      <c r="KZE278" s="147"/>
      <c r="KZF278" s="147"/>
      <c r="KZG278" s="147"/>
      <c r="KZH278" s="147"/>
      <c r="KZI278" s="147"/>
      <c r="KZJ278" s="147"/>
      <c r="KZK278" s="147"/>
      <c r="KZL278" s="147"/>
      <c r="KZM278" s="147"/>
      <c r="KZN278" s="147"/>
      <c r="KZO278" s="147"/>
      <c r="KZP278" s="147"/>
      <c r="KZQ278" s="147"/>
      <c r="KZR278" s="147"/>
      <c r="KZS278" s="147"/>
      <c r="KZT278" s="147"/>
      <c r="KZU278" s="147"/>
      <c r="KZV278" s="147"/>
      <c r="KZW278" s="147"/>
      <c r="KZX278" s="147"/>
      <c r="KZY278" s="147"/>
      <c r="KZZ278" s="147"/>
      <c r="LAA278" s="147"/>
      <c r="LAB278" s="147"/>
      <c r="LAC278" s="147"/>
      <c r="LAD278" s="147"/>
      <c r="LAE278" s="147"/>
      <c r="LAF278" s="147"/>
      <c r="LAG278" s="147"/>
      <c r="LAH278" s="147"/>
      <c r="LAI278" s="147"/>
      <c r="LAJ278" s="147"/>
      <c r="LAK278" s="147"/>
      <c r="LAL278" s="147"/>
      <c r="LAM278" s="147"/>
      <c r="LAN278" s="147"/>
      <c r="LAO278" s="147"/>
      <c r="LAP278" s="147"/>
      <c r="LAQ278" s="147"/>
      <c r="LAR278" s="147"/>
      <c r="LAS278" s="147"/>
      <c r="LAT278" s="147"/>
      <c r="LAU278" s="147"/>
      <c r="LAV278" s="147"/>
      <c r="LAW278" s="147"/>
      <c r="LAX278" s="147"/>
      <c r="LAY278" s="147"/>
      <c r="LAZ278" s="147"/>
      <c r="LBA278" s="147"/>
      <c r="LBB278" s="147"/>
      <c r="LBC278" s="147"/>
      <c r="LBD278" s="147"/>
      <c r="LBE278" s="147"/>
      <c r="LBF278" s="147"/>
      <c r="LBG278" s="147"/>
      <c r="LBH278" s="147"/>
      <c r="LBI278" s="147"/>
      <c r="LBJ278" s="147"/>
      <c r="LBK278" s="147"/>
      <c r="LBL278" s="147"/>
      <c r="LBM278" s="147"/>
      <c r="LBN278" s="147"/>
      <c r="LBO278" s="147"/>
      <c r="LBP278" s="147"/>
      <c r="LBQ278" s="147"/>
      <c r="LBR278" s="147"/>
      <c r="LBS278" s="147"/>
      <c r="LBT278" s="147"/>
      <c r="LBU278" s="147"/>
      <c r="LBV278" s="147"/>
      <c r="LBW278" s="147"/>
      <c r="LBX278" s="147"/>
      <c r="LBY278" s="147"/>
      <c r="LBZ278" s="147"/>
      <c r="LCA278" s="147"/>
      <c r="LCB278" s="147"/>
      <c r="LCC278" s="147"/>
      <c r="LCD278" s="147"/>
      <c r="LCE278" s="147"/>
      <c r="LCF278" s="147"/>
      <c r="LCG278" s="147"/>
      <c r="LCH278" s="147"/>
      <c r="LCI278" s="147"/>
      <c r="LCJ278" s="147"/>
      <c r="LCK278" s="147"/>
      <c r="LCL278" s="147"/>
      <c r="LCM278" s="147"/>
      <c r="LCN278" s="147"/>
      <c r="LCO278" s="147"/>
      <c r="LCP278" s="147"/>
      <c r="LCQ278" s="147"/>
      <c r="LCR278" s="147"/>
      <c r="LCS278" s="147"/>
      <c r="LCT278" s="147"/>
      <c r="LCU278" s="147"/>
      <c r="LCV278" s="147"/>
      <c r="LCW278" s="147"/>
      <c r="LCX278" s="147"/>
      <c r="LCY278" s="147"/>
      <c r="LCZ278" s="147"/>
      <c r="LDA278" s="147"/>
      <c r="LDB278" s="147"/>
      <c r="LDC278" s="147"/>
      <c r="LDD278" s="147"/>
      <c r="LDE278" s="147"/>
      <c r="LDF278" s="147"/>
      <c r="LDG278" s="147"/>
      <c r="LDH278" s="147"/>
      <c r="LDI278" s="147"/>
      <c r="LDJ278" s="147"/>
      <c r="LDK278" s="147"/>
      <c r="LDL278" s="147"/>
      <c r="LDM278" s="147"/>
      <c r="LDN278" s="147"/>
      <c r="LDO278" s="147"/>
      <c r="LDP278" s="147"/>
      <c r="LDQ278" s="147"/>
      <c r="LDR278" s="147"/>
      <c r="LDS278" s="147"/>
      <c r="LDT278" s="147"/>
      <c r="LDU278" s="147"/>
      <c r="LDV278" s="147"/>
      <c r="LDW278" s="147"/>
      <c r="LDX278" s="147"/>
      <c r="LDY278" s="147"/>
      <c r="LDZ278" s="147"/>
      <c r="LEA278" s="147"/>
      <c r="LEB278" s="147"/>
      <c r="LEC278" s="147"/>
      <c r="LED278" s="147"/>
      <c r="LEE278" s="147"/>
      <c r="LEF278" s="147"/>
      <c r="LEG278" s="147"/>
      <c r="LEH278" s="147"/>
      <c r="LEI278" s="147"/>
      <c r="LEJ278" s="147"/>
      <c r="LEK278" s="147"/>
      <c r="LEL278" s="147"/>
      <c r="LEM278" s="147"/>
      <c r="LEN278" s="147"/>
      <c r="LEO278" s="147"/>
      <c r="LEP278" s="147"/>
      <c r="LEQ278" s="147"/>
      <c r="LER278" s="147"/>
      <c r="LES278" s="147"/>
      <c r="LET278" s="147"/>
      <c r="LEU278" s="147"/>
      <c r="LEV278" s="147"/>
      <c r="LEW278" s="147"/>
      <c r="LEX278" s="147"/>
      <c r="LEY278" s="147"/>
      <c r="LEZ278" s="147"/>
      <c r="LFA278" s="147"/>
      <c r="LFB278" s="147"/>
      <c r="LFC278" s="147"/>
      <c r="LFD278" s="147"/>
      <c r="LFE278" s="147"/>
      <c r="LFF278" s="147"/>
      <c r="LFG278" s="147"/>
      <c r="LFH278" s="147"/>
      <c r="LFI278" s="147"/>
      <c r="LFJ278" s="147"/>
      <c r="LFK278" s="147"/>
      <c r="LFL278" s="147"/>
      <c r="LFM278" s="147"/>
      <c r="LFN278" s="147"/>
      <c r="LFO278" s="147"/>
      <c r="LFP278" s="147"/>
      <c r="LFQ278" s="147"/>
      <c r="LFR278" s="147"/>
      <c r="LFS278" s="147"/>
      <c r="LFT278" s="147"/>
      <c r="LFU278" s="147"/>
      <c r="LFV278" s="147"/>
      <c r="LFW278" s="147"/>
      <c r="LFX278" s="147"/>
      <c r="LFY278" s="147"/>
      <c r="LFZ278" s="147"/>
      <c r="LGA278" s="147"/>
      <c r="LGB278" s="147"/>
      <c r="LGC278" s="147"/>
      <c r="LGD278" s="147"/>
      <c r="LGE278" s="147"/>
      <c r="LGF278" s="147"/>
      <c r="LGG278" s="147"/>
      <c r="LGH278" s="147"/>
      <c r="LGI278" s="147"/>
      <c r="LGJ278" s="147"/>
      <c r="LGK278" s="147"/>
      <c r="LGL278" s="147"/>
      <c r="LGM278" s="147"/>
      <c r="LGN278" s="147"/>
      <c r="LGO278" s="147"/>
      <c r="LGP278" s="147"/>
      <c r="LGQ278" s="147"/>
      <c r="LGR278" s="147"/>
      <c r="LGS278" s="147"/>
      <c r="LGT278" s="147"/>
      <c r="LGU278" s="147"/>
      <c r="LGV278" s="147"/>
      <c r="LGW278" s="147"/>
      <c r="LGX278" s="147"/>
      <c r="LGY278" s="147"/>
      <c r="LGZ278" s="147"/>
      <c r="LHA278" s="147"/>
      <c r="LHB278" s="147"/>
      <c r="LHC278" s="147"/>
      <c r="LHD278" s="147"/>
      <c r="LHE278" s="147"/>
      <c r="LHF278" s="147"/>
      <c r="LHG278" s="147"/>
      <c r="LHH278" s="147"/>
      <c r="LHI278" s="147"/>
      <c r="LHJ278" s="147"/>
      <c r="LHK278" s="147"/>
      <c r="LHL278" s="147"/>
      <c r="LHM278" s="147"/>
      <c r="LHN278" s="147"/>
      <c r="LHO278" s="147"/>
      <c r="LHP278" s="147"/>
      <c r="LHQ278" s="147"/>
      <c r="LHR278" s="147"/>
      <c r="LHS278" s="147"/>
      <c r="LHT278" s="147"/>
      <c r="LHU278" s="147"/>
      <c r="LHV278" s="147"/>
      <c r="LHW278" s="147"/>
      <c r="LHX278" s="147"/>
      <c r="LHY278" s="147"/>
      <c r="LHZ278" s="147"/>
      <c r="LIA278" s="147"/>
      <c r="LIB278" s="147"/>
      <c r="LIC278" s="147"/>
      <c r="LID278" s="147"/>
      <c r="LIE278" s="147"/>
      <c r="LIF278" s="147"/>
      <c r="LIG278" s="147"/>
      <c r="LIH278" s="147"/>
      <c r="LII278" s="147"/>
      <c r="LIJ278" s="147"/>
      <c r="LIK278" s="147"/>
      <c r="LIL278" s="147"/>
      <c r="LIM278" s="147"/>
      <c r="LIN278" s="147"/>
      <c r="LIO278" s="147"/>
      <c r="LIP278" s="147"/>
      <c r="LIQ278" s="147"/>
      <c r="LIR278" s="147"/>
      <c r="LIS278" s="147"/>
      <c r="LIT278" s="147"/>
      <c r="LIU278" s="147"/>
      <c r="LIV278" s="147"/>
      <c r="LIW278" s="147"/>
      <c r="LIX278" s="147"/>
      <c r="LIY278" s="147"/>
      <c r="LIZ278" s="147"/>
      <c r="LJA278" s="147"/>
      <c r="LJB278" s="147"/>
      <c r="LJC278" s="147"/>
      <c r="LJD278" s="147"/>
      <c r="LJE278" s="147"/>
      <c r="LJF278" s="147"/>
      <c r="LJG278" s="147"/>
      <c r="LJH278" s="147"/>
      <c r="LJI278" s="147"/>
      <c r="LJJ278" s="147"/>
      <c r="LJK278" s="147"/>
      <c r="LJL278" s="147"/>
      <c r="LJM278" s="147"/>
      <c r="LJN278" s="147"/>
      <c r="LJO278" s="147"/>
      <c r="LJP278" s="147"/>
      <c r="LJQ278" s="147"/>
      <c r="LJR278" s="147"/>
      <c r="LJS278" s="147"/>
      <c r="LJT278" s="147"/>
      <c r="LJU278" s="147"/>
      <c r="LJV278" s="147"/>
      <c r="LJW278" s="147"/>
      <c r="LJX278" s="147"/>
      <c r="LJY278" s="147"/>
      <c r="LJZ278" s="147"/>
      <c r="LKA278" s="147"/>
      <c r="LKB278" s="147"/>
      <c r="LKC278" s="147"/>
      <c r="LKD278" s="147"/>
      <c r="LKE278" s="147"/>
      <c r="LKF278" s="147"/>
      <c r="LKG278" s="147"/>
      <c r="LKH278" s="147"/>
      <c r="LKI278" s="147"/>
      <c r="LKJ278" s="147"/>
      <c r="LKK278" s="147"/>
      <c r="LKL278" s="147"/>
      <c r="LKM278" s="147"/>
      <c r="LKN278" s="147"/>
      <c r="LKO278" s="147"/>
      <c r="LKP278" s="147"/>
      <c r="LKQ278" s="147"/>
      <c r="LKR278" s="147"/>
      <c r="LKS278" s="147"/>
      <c r="LKT278" s="147"/>
      <c r="LKU278" s="147"/>
      <c r="LKV278" s="147"/>
      <c r="LKW278" s="147"/>
      <c r="LKX278" s="147"/>
      <c r="LKY278" s="147"/>
      <c r="LKZ278" s="147"/>
      <c r="LLA278" s="147"/>
      <c r="LLB278" s="147"/>
      <c r="LLC278" s="147"/>
      <c r="LLD278" s="147"/>
      <c r="LLE278" s="147"/>
      <c r="LLF278" s="147"/>
      <c r="LLG278" s="147"/>
      <c r="LLH278" s="147"/>
      <c r="LLI278" s="147"/>
      <c r="LLJ278" s="147"/>
      <c r="LLK278" s="147"/>
      <c r="LLL278" s="147"/>
      <c r="LLM278" s="147"/>
      <c r="LLN278" s="147"/>
      <c r="LLO278" s="147"/>
      <c r="LLP278" s="147"/>
      <c r="LLQ278" s="147"/>
      <c r="LLR278" s="147"/>
      <c r="LLS278" s="147"/>
      <c r="LLT278" s="147"/>
      <c r="LLU278" s="147"/>
      <c r="LLV278" s="147"/>
      <c r="LLW278" s="147"/>
      <c r="LLX278" s="147"/>
      <c r="LLY278" s="147"/>
      <c r="LLZ278" s="147"/>
      <c r="LMA278" s="147"/>
      <c r="LMB278" s="147"/>
      <c r="LMC278" s="147"/>
      <c r="LMD278" s="147"/>
      <c r="LME278" s="147"/>
      <c r="LMF278" s="147"/>
      <c r="LMG278" s="147"/>
      <c r="LMH278" s="147"/>
      <c r="LMI278" s="147"/>
      <c r="LMJ278" s="147"/>
      <c r="LMK278" s="147"/>
      <c r="LML278" s="147"/>
      <c r="LMM278" s="147"/>
      <c r="LMN278" s="147"/>
      <c r="LMO278" s="147"/>
      <c r="LMP278" s="147"/>
      <c r="LMQ278" s="147"/>
      <c r="LMR278" s="147"/>
      <c r="LMS278" s="147"/>
      <c r="LMT278" s="147"/>
      <c r="LMU278" s="147"/>
      <c r="LMV278" s="147"/>
      <c r="LMW278" s="147"/>
      <c r="LMX278" s="147"/>
      <c r="LMY278" s="147"/>
      <c r="LMZ278" s="147"/>
      <c r="LNA278" s="147"/>
      <c r="LNB278" s="147"/>
      <c r="LNC278" s="147"/>
      <c r="LND278" s="147"/>
      <c r="LNE278" s="147"/>
      <c r="LNF278" s="147"/>
      <c r="LNG278" s="147"/>
      <c r="LNH278" s="147"/>
      <c r="LNI278" s="147"/>
      <c r="LNJ278" s="147"/>
      <c r="LNK278" s="147"/>
      <c r="LNL278" s="147"/>
      <c r="LNM278" s="147"/>
      <c r="LNN278" s="147"/>
      <c r="LNO278" s="147"/>
      <c r="LNP278" s="147"/>
      <c r="LNQ278" s="147"/>
      <c r="LNR278" s="147"/>
      <c r="LNS278" s="147"/>
      <c r="LNT278" s="147"/>
      <c r="LNU278" s="147"/>
      <c r="LNV278" s="147"/>
      <c r="LNW278" s="147"/>
      <c r="LNX278" s="147"/>
      <c r="LNY278" s="147"/>
      <c r="LNZ278" s="147"/>
      <c r="LOA278" s="147"/>
      <c r="LOB278" s="147"/>
      <c r="LOC278" s="147"/>
      <c r="LOD278" s="147"/>
      <c r="LOE278" s="147"/>
      <c r="LOF278" s="147"/>
      <c r="LOG278" s="147"/>
      <c r="LOH278" s="147"/>
      <c r="LOI278" s="147"/>
      <c r="LOJ278" s="147"/>
      <c r="LOK278" s="147"/>
      <c r="LOL278" s="147"/>
      <c r="LOM278" s="147"/>
      <c r="LON278" s="147"/>
      <c r="LOO278" s="147"/>
      <c r="LOP278" s="147"/>
      <c r="LOQ278" s="147"/>
      <c r="LOR278" s="147"/>
      <c r="LOS278" s="147"/>
      <c r="LOT278" s="147"/>
      <c r="LOU278" s="147"/>
      <c r="LOV278" s="147"/>
      <c r="LOW278" s="147"/>
      <c r="LOX278" s="147"/>
      <c r="LOY278" s="147"/>
      <c r="LOZ278" s="147"/>
      <c r="LPA278" s="147"/>
      <c r="LPB278" s="147"/>
      <c r="LPC278" s="147"/>
      <c r="LPD278" s="147"/>
      <c r="LPE278" s="147"/>
      <c r="LPF278" s="147"/>
      <c r="LPG278" s="147"/>
      <c r="LPH278" s="147"/>
      <c r="LPI278" s="147"/>
      <c r="LPJ278" s="147"/>
      <c r="LPK278" s="147"/>
      <c r="LPL278" s="147"/>
      <c r="LPM278" s="147"/>
      <c r="LPN278" s="147"/>
      <c r="LPO278" s="147"/>
      <c r="LPP278" s="147"/>
      <c r="LPQ278" s="147"/>
      <c r="LPR278" s="147"/>
      <c r="LPS278" s="147"/>
      <c r="LPT278" s="147"/>
      <c r="LPU278" s="147"/>
      <c r="LPV278" s="147"/>
      <c r="LPW278" s="147"/>
      <c r="LPX278" s="147"/>
      <c r="LPY278" s="147"/>
      <c r="LPZ278" s="147"/>
      <c r="LQA278" s="147"/>
      <c r="LQB278" s="147"/>
      <c r="LQC278" s="147"/>
      <c r="LQD278" s="147"/>
      <c r="LQE278" s="147"/>
      <c r="LQF278" s="147"/>
      <c r="LQG278" s="147"/>
      <c r="LQH278" s="147"/>
      <c r="LQI278" s="147"/>
      <c r="LQJ278" s="147"/>
      <c r="LQK278" s="147"/>
      <c r="LQL278" s="147"/>
      <c r="LQM278" s="147"/>
      <c r="LQN278" s="147"/>
      <c r="LQO278" s="147"/>
      <c r="LQP278" s="147"/>
      <c r="LQQ278" s="147"/>
      <c r="LQR278" s="147"/>
      <c r="LQS278" s="147"/>
      <c r="LQT278" s="147"/>
      <c r="LQU278" s="147"/>
      <c r="LQV278" s="147"/>
      <c r="LQW278" s="147"/>
      <c r="LQX278" s="147"/>
      <c r="LQY278" s="147"/>
      <c r="LQZ278" s="147"/>
      <c r="LRA278" s="147"/>
      <c r="LRB278" s="147"/>
      <c r="LRC278" s="147"/>
      <c r="LRD278" s="147"/>
      <c r="LRE278" s="147"/>
      <c r="LRF278" s="147"/>
      <c r="LRG278" s="147"/>
      <c r="LRH278" s="147"/>
      <c r="LRI278" s="147"/>
      <c r="LRJ278" s="147"/>
      <c r="LRK278" s="147"/>
      <c r="LRL278" s="147"/>
      <c r="LRM278" s="147"/>
      <c r="LRN278" s="147"/>
      <c r="LRO278" s="147"/>
      <c r="LRP278" s="147"/>
      <c r="LRQ278" s="147"/>
      <c r="LRR278" s="147"/>
      <c r="LRS278" s="147"/>
      <c r="LRT278" s="147"/>
      <c r="LRU278" s="147"/>
      <c r="LRV278" s="147"/>
      <c r="LRW278" s="147"/>
      <c r="LRX278" s="147"/>
      <c r="LRY278" s="147"/>
      <c r="LRZ278" s="147"/>
      <c r="LSA278" s="147"/>
      <c r="LSB278" s="147"/>
      <c r="LSC278" s="147"/>
      <c r="LSD278" s="147"/>
      <c r="LSE278" s="147"/>
      <c r="LSF278" s="147"/>
      <c r="LSG278" s="147"/>
      <c r="LSH278" s="147"/>
      <c r="LSI278" s="147"/>
      <c r="LSJ278" s="147"/>
      <c r="LSK278" s="147"/>
      <c r="LSL278" s="147"/>
      <c r="LSM278" s="147"/>
      <c r="LSN278" s="147"/>
      <c r="LSO278" s="147"/>
      <c r="LSP278" s="147"/>
      <c r="LSQ278" s="147"/>
      <c r="LSR278" s="147"/>
      <c r="LSS278" s="147"/>
      <c r="LST278" s="147"/>
      <c r="LSU278" s="147"/>
      <c r="LSV278" s="147"/>
      <c r="LSW278" s="147"/>
      <c r="LSX278" s="147"/>
      <c r="LSY278" s="147"/>
      <c r="LSZ278" s="147"/>
      <c r="LTA278" s="147"/>
      <c r="LTB278" s="147"/>
      <c r="LTC278" s="147"/>
      <c r="LTD278" s="147"/>
      <c r="LTE278" s="147"/>
      <c r="LTF278" s="147"/>
      <c r="LTG278" s="147"/>
      <c r="LTH278" s="147"/>
      <c r="LTI278" s="147"/>
      <c r="LTJ278" s="147"/>
      <c r="LTK278" s="147"/>
      <c r="LTL278" s="147"/>
      <c r="LTM278" s="147"/>
      <c r="LTN278" s="147"/>
      <c r="LTO278" s="147"/>
      <c r="LTP278" s="147"/>
      <c r="LTQ278" s="147"/>
      <c r="LTR278" s="147"/>
      <c r="LTS278" s="147"/>
      <c r="LTT278" s="147"/>
      <c r="LTU278" s="147"/>
      <c r="LTV278" s="147"/>
      <c r="LTW278" s="147"/>
      <c r="LTX278" s="147"/>
      <c r="LTY278" s="147"/>
      <c r="LTZ278" s="147"/>
      <c r="LUA278" s="147"/>
      <c r="LUB278" s="147"/>
      <c r="LUC278" s="147"/>
      <c r="LUD278" s="147"/>
      <c r="LUE278" s="147"/>
      <c r="LUF278" s="147"/>
      <c r="LUG278" s="147"/>
      <c r="LUH278" s="147"/>
      <c r="LUI278" s="147"/>
      <c r="LUJ278" s="147"/>
      <c r="LUK278" s="147"/>
      <c r="LUL278" s="147"/>
      <c r="LUM278" s="147"/>
      <c r="LUN278" s="147"/>
      <c r="LUO278" s="147"/>
      <c r="LUP278" s="147"/>
      <c r="LUQ278" s="147"/>
      <c r="LUR278" s="147"/>
      <c r="LUS278" s="147"/>
      <c r="LUT278" s="147"/>
      <c r="LUU278" s="147"/>
      <c r="LUV278" s="147"/>
      <c r="LUW278" s="147"/>
      <c r="LUX278" s="147"/>
      <c r="LUY278" s="147"/>
      <c r="LUZ278" s="147"/>
      <c r="LVA278" s="147"/>
      <c r="LVB278" s="147"/>
      <c r="LVC278" s="147"/>
      <c r="LVD278" s="147"/>
      <c r="LVE278" s="147"/>
      <c r="LVF278" s="147"/>
      <c r="LVG278" s="147"/>
      <c r="LVH278" s="147"/>
      <c r="LVI278" s="147"/>
      <c r="LVJ278" s="147"/>
      <c r="LVK278" s="147"/>
      <c r="LVL278" s="147"/>
      <c r="LVM278" s="147"/>
      <c r="LVN278" s="147"/>
      <c r="LVO278" s="147"/>
      <c r="LVP278" s="147"/>
      <c r="LVQ278" s="147"/>
      <c r="LVR278" s="147"/>
      <c r="LVS278" s="147"/>
      <c r="LVT278" s="147"/>
      <c r="LVU278" s="147"/>
      <c r="LVV278" s="147"/>
      <c r="LVW278" s="147"/>
      <c r="LVX278" s="147"/>
      <c r="LVY278" s="147"/>
      <c r="LVZ278" s="147"/>
      <c r="LWA278" s="147"/>
      <c r="LWB278" s="147"/>
      <c r="LWC278" s="147"/>
      <c r="LWD278" s="147"/>
      <c r="LWE278" s="147"/>
      <c r="LWF278" s="147"/>
      <c r="LWG278" s="147"/>
      <c r="LWH278" s="147"/>
      <c r="LWI278" s="147"/>
      <c r="LWJ278" s="147"/>
      <c r="LWK278" s="147"/>
      <c r="LWL278" s="147"/>
      <c r="LWM278" s="147"/>
      <c r="LWN278" s="147"/>
      <c r="LWO278" s="147"/>
      <c r="LWP278" s="147"/>
      <c r="LWQ278" s="147"/>
      <c r="LWR278" s="147"/>
      <c r="LWS278" s="147"/>
      <c r="LWT278" s="147"/>
      <c r="LWU278" s="147"/>
      <c r="LWV278" s="147"/>
      <c r="LWW278" s="147"/>
      <c r="LWX278" s="147"/>
      <c r="LWY278" s="147"/>
      <c r="LWZ278" s="147"/>
      <c r="LXA278" s="147"/>
      <c r="LXB278" s="147"/>
      <c r="LXC278" s="147"/>
      <c r="LXD278" s="147"/>
      <c r="LXE278" s="147"/>
      <c r="LXF278" s="147"/>
      <c r="LXG278" s="147"/>
      <c r="LXH278" s="147"/>
      <c r="LXI278" s="147"/>
      <c r="LXJ278" s="147"/>
      <c r="LXK278" s="147"/>
      <c r="LXL278" s="147"/>
      <c r="LXM278" s="147"/>
      <c r="LXN278" s="147"/>
      <c r="LXO278" s="147"/>
      <c r="LXP278" s="147"/>
      <c r="LXQ278" s="147"/>
      <c r="LXR278" s="147"/>
      <c r="LXS278" s="147"/>
      <c r="LXT278" s="147"/>
      <c r="LXU278" s="147"/>
      <c r="LXV278" s="147"/>
      <c r="LXW278" s="147"/>
      <c r="LXX278" s="147"/>
      <c r="LXY278" s="147"/>
      <c r="LXZ278" s="147"/>
      <c r="LYA278" s="147"/>
      <c r="LYB278" s="147"/>
      <c r="LYC278" s="147"/>
      <c r="LYD278" s="147"/>
      <c r="LYE278" s="147"/>
      <c r="LYF278" s="147"/>
      <c r="LYG278" s="147"/>
      <c r="LYH278" s="147"/>
      <c r="LYI278" s="147"/>
      <c r="LYJ278" s="147"/>
      <c r="LYK278" s="147"/>
      <c r="LYL278" s="147"/>
      <c r="LYM278" s="147"/>
      <c r="LYN278" s="147"/>
      <c r="LYO278" s="147"/>
      <c r="LYP278" s="147"/>
      <c r="LYQ278" s="147"/>
      <c r="LYR278" s="147"/>
      <c r="LYS278" s="147"/>
      <c r="LYT278" s="147"/>
      <c r="LYU278" s="147"/>
      <c r="LYV278" s="147"/>
      <c r="LYW278" s="147"/>
      <c r="LYX278" s="147"/>
      <c r="LYY278" s="147"/>
      <c r="LYZ278" s="147"/>
      <c r="LZA278" s="147"/>
      <c r="LZB278" s="147"/>
      <c r="LZC278" s="147"/>
      <c r="LZD278" s="147"/>
      <c r="LZE278" s="147"/>
      <c r="LZF278" s="147"/>
      <c r="LZG278" s="147"/>
      <c r="LZH278" s="147"/>
      <c r="LZI278" s="147"/>
      <c r="LZJ278" s="147"/>
      <c r="LZK278" s="147"/>
      <c r="LZL278" s="147"/>
      <c r="LZM278" s="147"/>
      <c r="LZN278" s="147"/>
      <c r="LZO278" s="147"/>
      <c r="LZP278" s="147"/>
      <c r="LZQ278" s="147"/>
      <c r="LZR278" s="147"/>
      <c r="LZS278" s="147"/>
      <c r="LZT278" s="147"/>
      <c r="LZU278" s="147"/>
      <c r="LZV278" s="147"/>
      <c r="LZW278" s="147"/>
      <c r="LZX278" s="147"/>
      <c r="LZY278" s="147"/>
      <c r="LZZ278" s="147"/>
      <c r="MAA278" s="147"/>
      <c r="MAB278" s="147"/>
      <c r="MAC278" s="147"/>
      <c r="MAD278" s="147"/>
      <c r="MAE278" s="147"/>
      <c r="MAF278" s="147"/>
      <c r="MAG278" s="147"/>
      <c r="MAH278" s="147"/>
      <c r="MAI278" s="147"/>
      <c r="MAJ278" s="147"/>
      <c r="MAK278" s="147"/>
      <c r="MAL278" s="147"/>
      <c r="MAM278" s="147"/>
      <c r="MAN278" s="147"/>
      <c r="MAO278" s="147"/>
      <c r="MAP278" s="147"/>
      <c r="MAQ278" s="147"/>
      <c r="MAR278" s="147"/>
      <c r="MAS278" s="147"/>
      <c r="MAT278" s="147"/>
      <c r="MAU278" s="147"/>
      <c r="MAV278" s="147"/>
      <c r="MAW278" s="147"/>
      <c r="MAX278" s="147"/>
      <c r="MAY278" s="147"/>
      <c r="MAZ278" s="147"/>
      <c r="MBA278" s="147"/>
      <c r="MBB278" s="147"/>
      <c r="MBC278" s="147"/>
      <c r="MBD278" s="147"/>
      <c r="MBE278" s="147"/>
      <c r="MBF278" s="147"/>
      <c r="MBG278" s="147"/>
      <c r="MBH278" s="147"/>
      <c r="MBI278" s="147"/>
      <c r="MBJ278" s="147"/>
      <c r="MBK278" s="147"/>
      <c r="MBL278" s="147"/>
      <c r="MBM278" s="147"/>
      <c r="MBN278" s="147"/>
      <c r="MBO278" s="147"/>
      <c r="MBP278" s="147"/>
      <c r="MBQ278" s="147"/>
      <c r="MBR278" s="147"/>
      <c r="MBS278" s="147"/>
      <c r="MBT278" s="147"/>
      <c r="MBU278" s="147"/>
      <c r="MBV278" s="147"/>
      <c r="MBW278" s="147"/>
      <c r="MBX278" s="147"/>
      <c r="MBY278" s="147"/>
      <c r="MBZ278" s="147"/>
      <c r="MCA278" s="147"/>
      <c r="MCB278" s="147"/>
      <c r="MCC278" s="147"/>
      <c r="MCD278" s="147"/>
      <c r="MCE278" s="147"/>
      <c r="MCF278" s="147"/>
      <c r="MCG278" s="147"/>
      <c r="MCH278" s="147"/>
      <c r="MCI278" s="147"/>
      <c r="MCJ278" s="147"/>
      <c r="MCK278" s="147"/>
      <c r="MCL278" s="147"/>
      <c r="MCM278" s="147"/>
      <c r="MCN278" s="147"/>
      <c r="MCO278" s="147"/>
      <c r="MCP278" s="147"/>
      <c r="MCQ278" s="147"/>
      <c r="MCR278" s="147"/>
      <c r="MCS278" s="147"/>
      <c r="MCT278" s="147"/>
      <c r="MCU278" s="147"/>
      <c r="MCV278" s="147"/>
      <c r="MCW278" s="147"/>
      <c r="MCX278" s="147"/>
      <c r="MCY278" s="147"/>
      <c r="MCZ278" s="147"/>
      <c r="MDA278" s="147"/>
      <c r="MDB278" s="147"/>
      <c r="MDC278" s="147"/>
      <c r="MDD278" s="147"/>
      <c r="MDE278" s="147"/>
      <c r="MDF278" s="147"/>
      <c r="MDG278" s="147"/>
      <c r="MDH278" s="147"/>
      <c r="MDI278" s="147"/>
      <c r="MDJ278" s="147"/>
      <c r="MDK278" s="147"/>
      <c r="MDL278" s="147"/>
      <c r="MDM278" s="147"/>
      <c r="MDN278" s="147"/>
      <c r="MDO278" s="147"/>
      <c r="MDP278" s="147"/>
      <c r="MDQ278" s="147"/>
      <c r="MDR278" s="147"/>
      <c r="MDS278" s="147"/>
      <c r="MDT278" s="147"/>
      <c r="MDU278" s="147"/>
      <c r="MDV278" s="147"/>
      <c r="MDW278" s="147"/>
      <c r="MDX278" s="147"/>
      <c r="MDY278" s="147"/>
      <c r="MDZ278" s="147"/>
      <c r="MEA278" s="147"/>
      <c r="MEB278" s="147"/>
      <c r="MEC278" s="147"/>
      <c r="MED278" s="147"/>
      <c r="MEE278" s="147"/>
      <c r="MEF278" s="147"/>
      <c r="MEG278" s="147"/>
      <c r="MEH278" s="147"/>
      <c r="MEI278" s="147"/>
      <c r="MEJ278" s="147"/>
      <c r="MEK278" s="147"/>
      <c r="MEL278" s="147"/>
      <c r="MEM278" s="147"/>
      <c r="MEN278" s="147"/>
      <c r="MEO278" s="147"/>
      <c r="MEP278" s="147"/>
      <c r="MEQ278" s="147"/>
      <c r="MER278" s="147"/>
      <c r="MES278" s="147"/>
      <c r="MET278" s="147"/>
      <c r="MEU278" s="147"/>
      <c r="MEV278" s="147"/>
      <c r="MEW278" s="147"/>
      <c r="MEX278" s="147"/>
      <c r="MEY278" s="147"/>
      <c r="MEZ278" s="147"/>
      <c r="MFA278" s="147"/>
      <c r="MFB278" s="147"/>
      <c r="MFC278" s="147"/>
      <c r="MFD278" s="147"/>
      <c r="MFE278" s="147"/>
      <c r="MFF278" s="147"/>
      <c r="MFG278" s="147"/>
      <c r="MFH278" s="147"/>
      <c r="MFI278" s="147"/>
      <c r="MFJ278" s="147"/>
      <c r="MFK278" s="147"/>
      <c r="MFL278" s="147"/>
      <c r="MFM278" s="147"/>
      <c r="MFN278" s="147"/>
      <c r="MFO278" s="147"/>
      <c r="MFP278" s="147"/>
      <c r="MFQ278" s="147"/>
      <c r="MFR278" s="147"/>
      <c r="MFS278" s="147"/>
      <c r="MFT278" s="147"/>
      <c r="MFU278" s="147"/>
      <c r="MFV278" s="147"/>
      <c r="MFW278" s="147"/>
      <c r="MFX278" s="147"/>
      <c r="MFY278" s="147"/>
      <c r="MFZ278" s="147"/>
      <c r="MGA278" s="147"/>
      <c r="MGB278" s="147"/>
      <c r="MGC278" s="147"/>
      <c r="MGD278" s="147"/>
      <c r="MGE278" s="147"/>
      <c r="MGF278" s="147"/>
      <c r="MGG278" s="147"/>
      <c r="MGH278" s="147"/>
      <c r="MGI278" s="147"/>
      <c r="MGJ278" s="147"/>
      <c r="MGK278" s="147"/>
      <c r="MGL278" s="147"/>
      <c r="MGM278" s="147"/>
      <c r="MGN278" s="147"/>
      <c r="MGO278" s="147"/>
      <c r="MGP278" s="147"/>
      <c r="MGQ278" s="147"/>
      <c r="MGR278" s="147"/>
      <c r="MGS278" s="147"/>
      <c r="MGT278" s="147"/>
      <c r="MGU278" s="147"/>
      <c r="MGV278" s="147"/>
      <c r="MGW278" s="147"/>
      <c r="MGX278" s="147"/>
      <c r="MGY278" s="147"/>
      <c r="MGZ278" s="147"/>
      <c r="MHA278" s="147"/>
      <c r="MHB278" s="147"/>
      <c r="MHC278" s="147"/>
      <c r="MHD278" s="147"/>
      <c r="MHE278" s="147"/>
      <c r="MHF278" s="147"/>
      <c r="MHG278" s="147"/>
      <c r="MHH278" s="147"/>
      <c r="MHI278" s="147"/>
      <c r="MHJ278" s="147"/>
      <c r="MHK278" s="147"/>
      <c r="MHL278" s="147"/>
      <c r="MHM278" s="147"/>
      <c r="MHN278" s="147"/>
      <c r="MHO278" s="147"/>
      <c r="MHP278" s="147"/>
      <c r="MHQ278" s="147"/>
      <c r="MHR278" s="147"/>
      <c r="MHS278" s="147"/>
      <c r="MHT278" s="147"/>
      <c r="MHU278" s="147"/>
      <c r="MHV278" s="147"/>
      <c r="MHW278" s="147"/>
      <c r="MHX278" s="147"/>
      <c r="MHY278" s="147"/>
      <c r="MHZ278" s="147"/>
      <c r="MIA278" s="147"/>
      <c r="MIB278" s="147"/>
      <c r="MIC278" s="147"/>
      <c r="MID278" s="147"/>
      <c r="MIE278" s="147"/>
      <c r="MIF278" s="147"/>
      <c r="MIG278" s="147"/>
      <c r="MIH278" s="147"/>
      <c r="MII278" s="147"/>
      <c r="MIJ278" s="147"/>
      <c r="MIK278" s="147"/>
      <c r="MIL278" s="147"/>
      <c r="MIM278" s="147"/>
      <c r="MIN278" s="147"/>
      <c r="MIO278" s="147"/>
      <c r="MIP278" s="147"/>
      <c r="MIQ278" s="147"/>
      <c r="MIR278" s="147"/>
      <c r="MIS278" s="147"/>
      <c r="MIT278" s="147"/>
      <c r="MIU278" s="147"/>
      <c r="MIV278" s="147"/>
      <c r="MIW278" s="147"/>
      <c r="MIX278" s="147"/>
      <c r="MIY278" s="147"/>
      <c r="MIZ278" s="147"/>
      <c r="MJA278" s="147"/>
      <c r="MJB278" s="147"/>
      <c r="MJC278" s="147"/>
      <c r="MJD278" s="147"/>
      <c r="MJE278" s="147"/>
      <c r="MJF278" s="147"/>
      <c r="MJG278" s="147"/>
      <c r="MJH278" s="147"/>
      <c r="MJI278" s="147"/>
      <c r="MJJ278" s="147"/>
      <c r="MJK278" s="147"/>
      <c r="MJL278" s="147"/>
      <c r="MJM278" s="147"/>
      <c r="MJN278" s="147"/>
      <c r="MJO278" s="147"/>
      <c r="MJP278" s="147"/>
      <c r="MJQ278" s="147"/>
      <c r="MJR278" s="147"/>
      <c r="MJS278" s="147"/>
      <c r="MJT278" s="147"/>
      <c r="MJU278" s="147"/>
      <c r="MJV278" s="147"/>
      <c r="MJW278" s="147"/>
      <c r="MJX278" s="147"/>
      <c r="MJY278" s="147"/>
      <c r="MJZ278" s="147"/>
      <c r="MKA278" s="147"/>
      <c r="MKB278" s="147"/>
      <c r="MKC278" s="147"/>
      <c r="MKD278" s="147"/>
      <c r="MKE278" s="147"/>
      <c r="MKF278" s="147"/>
      <c r="MKG278" s="147"/>
      <c r="MKH278" s="147"/>
      <c r="MKI278" s="147"/>
      <c r="MKJ278" s="147"/>
      <c r="MKK278" s="147"/>
      <c r="MKL278" s="147"/>
      <c r="MKM278" s="147"/>
      <c r="MKN278" s="147"/>
      <c r="MKO278" s="147"/>
      <c r="MKP278" s="147"/>
      <c r="MKQ278" s="147"/>
      <c r="MKR278" s="147"/>
      <c r="MKS278" s="147"/>
      <c r="MKT278" s="147"/>
      <c r="MKU278" s="147"/>
      <c r="MKV278" s="147"/>
      <c r="MKW278" s="147"/>
      <c r="MKX278" s="147"/>
      <c r="MKY278" s="147"/>
      <c r="MKZ278" s="147"/>
      <c r="MLA278" s="147"/>
      <c r="MLB278" s="147"/>
      <c r="MLC278" s="147"/>
      <c r="MLD278" s="147"/>
      <c r="MLE278" s="147"/>
      <c r="MLF278" s="147"/>
      <c r="MLG278" s="147"/>
      <c r="MLH278" s="147"/>
      <c r="MLI278" s="147"/>
      <c r="MLJ278" s="147"/>
      <c r="MLK278" s="147"/>
      <c r="MLL278" s="147"/>
      <c r="MLM278" s="147"/>
      <c r="MLN278" s="147"/>
      <c r="MLO278" s="147"/>
      <c r="MLP278" s="147"/>
      <c r="MLQ278" s="147"/>
      <c r="MLR278" s="147"/>
      <c r="MLS278" s="147"/>
      <c r="MLT278" s="147"/>
      <c r="MLU278" s="147"/>
      <c r="MLV278" s="147"/>
      <c r="MLW278" s="147"/>
      <c r="MLX278" s="147"/>
      <c r="MLY278" s="147"/>
      <c r="MLZ278" s="147"/>
      <c r="MMA278" s="147"/>
      <c r="MMB278" s="147"/>
      <c r="MMC278" s="147"/>
      <c r="MMD278" s="147"/>
      <c r="MME278" s="147"/>
      <c r="MMF278" s="147"/>
      <c r="MMG278" s="147"/>
      <c r="MMH278" s="147"/>
      <c r="MMI278" s="147"/>
      <c r="MMJ278" s="147"/>
      <c r="MMK278" s="147"/>
      <c r="MML278" s="147"/>
      <c r="MMM278" s="147"/>
      <c r="MMN278" s="147"/>
      <c r="MMO278" s="147"/>
      <c r="MMP278" s="147"/>
      <c r="MMQ278" s="147"/>
      <c r="MMR278" s="147"/>
      <c r="MMS278" s="147"/>
      <c r="MMT278" s="147"/>
      <c r="MMU278" s="147"/>
      <c r="MMV278" s="147"/>
      <c r="MMW278" s="147"/>
      <c r="MMX278" s="147"/>
      <c r="MMY278" s="147"/>
      <c r="MMZ278" s="147"/>
      <c r="MNA278" s="147"/>
      <c r="MNB278" s="147"/>
      <c r="MNC278" s="147"/>
      <c r="MND278" s="147"/>
      <c r="MNE278" s="147"/>
      <c r="MNF278" s="147"/>
      <c r="MNG278" s="147"/>
      <c r="MNH278" s="147"/>
      <c r="MNI278" s="147"/>
      <c r="MNJ278" s="147"/>
      <c r="MNK278" s="147"/>
      <c r="MNL278" s="147"/>
      <c r="MNM278" s="147"/>
      <c r="MNN278" s="147"/>
      <c r="MNO278" s="147"/>
      <c r="MNP278" s="147"/>
      <c r="MNQ278" s="147"/>
      <c r="MNR278" s="147"/>
      <c r="MNS278" s="147"/>
      <c r="MNT278" s="147"/>
      <c r="MNU278" s="147"/>
      <c r="MNV278" s="147"/>
      <c r="MNW278" s="147"/>
      <c r="MNX278" s="147"/>
      <c r="MNY278" s="147"/>
      <c r="MNZ278" s="147"/>
      <c r="MOA278" s="147"/>
      <c r="MOB278" s="147"/>
      <c r="MOC278" s="147"/>
      <c r="MOD278" s="147"/>
      <c r="MOE278" s="147"/>
      <c r="MOF278" s="147"/>
      <c r="MOG278" s="147"/>
      <c r="MOH278" s="147"/>
      <c r="MOI278" s="147"/>
      <c r="MOJ278" s="147"/>
      <c r="MOK278" s="147"/>
      <c r="MOL278" s="147"/>
      <c r="MOM278" s="147"/>
      <c r="MON278" s="147"/>
      <c r="MOO278" s="147"/>
      <c r="MOP278" s="147"/>
      <c r="MOQ278" s="147"/>
      <c r="MOR278" s="147"/>
      <c r="MOS278" s="147"/>
      <c r="MOT278" s="147"/>
      <c r="MOU278" s="147"/>
      <c r="MOV278" s="147"/>
      <c r="MOW278" s="147"/>
      <c r="MOX278" s="147"/>
      <c r="MOY278" s="147"/>
      <c r="MOZ278" s="147"/>
      <c r="MPA278" s="147"/>
      <c r="MPB278" s="147"/>
      <c r="MPC278" s="147"/>
      <c r="MPD278" s="147"/>
      <c r="MPE278" s="147"/>
      <c r="MPF278" s="147"/>
      <c r="MPG278" s="147"/>
      <c r="MPH278" s="147"/>
      <c r="MPI278" s="147"/>
      <c r="MPJ278" s="147"/>
      <c r="MPK278" s="147"/>
      <c r="MPL278" s="147"/>
      <c r="MPM278" s="147"/>
      <c r="MPN278" s="147"/>
      <c r="MPO278" s="147"/>
      <c r="MPP278" s="147"/>
      <c r="MPQ278" s="147"/>
      <c r="MPR278" s="147"/>
      <c r="MPS278" s="147"/>
      <c r="MPT278" s="147"/>
      <c r="MPU278" s="147"/>
      <c r="MPV278" s="147"/>
      <c r="MPW278" s="147"/>
      <c r="MPX278" s="147"/>
      <c r="MPY278" s="147"/>
      <c r="MPZ278" s="147"/>
      <c r="MQA278" s="147"/>
      <c r="MQB278" s="147"/>
      <c r="MQC278" s="147"/>
      <c r="MQD278" s="147"/>
      <c r="MQE278" s="147"/>
      <c r="MQF278" s="147"/>
      <c r="MQG278" s="147"/>
      <c r="MQH278" s="147"/>
      <c r="MQI278" s="147"/>
      <c r="MQJ278" s="147"/>
      <c r="MQK278" s="147"/>
      <c r="MQL278" s="147"/>
      <c r="MQM278" s="147"/>
      <c r="MQN278" s="147"/>
      <c r="MQO278" s="147"/>
      <c r="MQP278" s="147"/>
      <c r="MQQ278" s="147"/>
      <c r="MQR278" s="147"/>
      <c r="MQS278" s="147"/>
      <c r="MQT278" s="147"/>
      <c r="MQU278" s="147"/>
      <c r="MQV278" s="147"/>
      <c r="MQW278" s="147"/>
      <c r="MQX278" s="147"/>
      <c r="MQY278" s="147"/>
      <c r="MQZ278" s="147"/>
      <c r="MRA278" s="147"/>
      <c r="MRB278" s="147"/>
      <c r="MRC278" s="147"/>
      <c r="MRD278" s="147"/>
      <c r="MRE278" s="147"/>
      <c r="MRF278" s="147"/>
      <c r="MRG278" s="147"/>
      <c r="MRH278" s="147"/>
      <c r="MRI278" s="147"/>
      <c r="MRJ278" s="147"/>
      <c r="MRK278" s="147"/>
      <c r="MRL278" s="147"/>
      <c r="MRM278" s="147"/>
      <c r="MRN278" s="147"/>
      <c r="MRO278" s="147"/>
      <c r="MRP278" s="147"/>
      <c r="MRQ278" s="147"/>
      <c r="MRR278" s="147"/>
      <c r="MRS278" s="147"/>
      <c r="MRT278" s="147"/>
      <c r="MRU278" s="147"/>
      <c r="MRV278" s="147"/>
      <c r="MRW278" s="147"/>
      <c r="MRX278" s="147"/>
      <c r="MRY278" s="147"/>
      <c r="MRZ278" s="147"/>
      <c r="MSA278" s="147"/>
      <c r="MSB278" s="147"/>
      <c r="MSC278" s="147"/>
      <c r="MSD278" s="147"/>
      <c r="MSE278" s="147"/>
      <c r="MSF278" s="147"/>
      <c r="MSG278" s="147"/>
      <c r="MSH278" s="147"/>
      <c r="MSI278" s="147"/>
      <c r="MSJ278" s="147"/>
      <c r="MSK278" s="147"/>
      <c r="MSL278" s="147"/>
      <c r="MSM278" s="147"/>
      <c r="MSN278" s="147"/>
      <c r="MSO278" s="147"/>
      <c r="MSP278" s="147"/>
      <c r="MSQ278" s="147"/>
      <c r="MSR278" s="147"/>
      <c r="MSS278" s="147"/>
      <c r="MST278" s="147"/>
      <c r="MSU278" s="147"/>
      <c r="MSV278" s="147"/>
      <c r="MSW278" s="147"/>
      <c r="MSX278" s="147"/>
      <c r="MSY278" s="147"/>
      <c r="MSZ278" s="147"/>
      <c r="MTA278" s="147"/>
      <c r="MTB278" s="147"/>
      <c r="MTC278" s="147"/>
      <c r="MTD278" s="147"/>
      <c r="MTE278" s="147"/>
      <c r="MTF278" s="147"/>
      <c r="MTG278" s="147"/>
      <c r="MTH278" s="147"/>
      <c r="MTI278" s="147"/>
      <c r="MTJ278" s="147"/>
      <c r="MTK278" s="147"/>
      <c r="MTL278" s="147"/>
      <c r="MTM278" s="147"/>
      <c r="MTN278" s="147"/>
      <c r="MTO278" s="147"/>
      <c r="MTP278" s="147"/>
      <c r="MTQ278" s="147"/>
      <c r="MTR278" s="147"/>
      <c r="MTS278" s="147"/>
      <c r="MTT278" s="147"/>
      <c r="MTU278" s="147"/>
      <c r="MTV278" s="147"/>
      <c r="MTW278" s="147"/>
      <c r="MTX278" s="147"/>
      <c r="MTY278" s="147"/>
      <c r="MTZ278" s="147"/>
      <c r="MUA278" s="147"/>
      <c r="MUB278" s="147"/>
      <c r="MUC278" s="147"/>
      <c r="MUD278" s="147"/>
      <c r="MUE278" s="147"/>
      <c r="MUF278" s="147"/>
      <c r="MUG278" s="147"/>
      <c r="MUH278" s="147"/>
      <c r="MUI278" s="147"/>
      <c r="MUJ278" s="147"/>
      <c r="MUK278" s="147"/>
      <c r="MUL278" s="147"/>
      <c r="MUM278" s="147"/>
      <c r="MUN278" s="147"/>
      <c r="MUO278" s="147"/>
      <c r="MUP278" s="147"/>
      <c r="MUQ278" s="147"/>
      <c r="MUR278" s="147"/>
      <c r="MUS278" s="147"/>
      <c r="MUT278" s="147"/>
      <c r="MUU278" s="147"/>
      <c r="MUV278" s="147"/>
      <c r="MUW278" s="147"/>
      <c r="MUX278" s="147"/>
      <c r="MUY278" s="147"/>
      <c r="MUZ278" s="147"/>
      <c r="MVA278" s="147"/>
      <c r="MVB278" s="147"/>
      <c r="MVC278" s="147"/>
      <c r="MVD278" s="147"/>
      <c r="MVE278" s="147"/>
      <c r="MVF278" s="147"/>
      <c r="MVG278" s="147"/>
      <c r="MVH278" s="147"/>
      <c r="MVI278" s="147"/>
      <c r="MVJ278" s="147"/>
      <c r="MVK278" s="147"/>
      <c r="MVL278" s="147"/>
      <c r="MVM278" s="147"/>
      <c r="MVN278" s="147"/>
      <c r="MVO278" s="147"/>
      <c r="MVP278" s="147"/>
      <c r="MVQ278" s="147"/>
      <c r="MVR278" s="147"/>
      <c r="MVS278" s="147"/>
      <c r="MVT278" s="147"/>
      <c r="MVU278" s="147"/>
      <c r="MVV278" s="147"/>
      <c r="MVW278" s="147"/>
      <c r="MVX278" s="147"/>
      <c r="MVY278" s="147"/>
      <c r="MVZ278" s="147"/>
      <c r="MWA278" s="147"/>
      <c r="MWB278" s="147"/>
      <c r="MWC278" s="147"/>
      <c r="MWD278" s="147"/>
      <c r="MWE278" s="147"/>
      <c r="MWF278" s="147"/>
      <c r="MWG278" s="147"/>
      <c r="MWH278" s="147"/>
      <c r="MWI278" s="147"/>
      <c r="MWJ278" s="147"/>
      <c r="MWK278" s="147"/>
      <c r="MWL278" s="147"/>
      <c r="MWM278" s="147"/>
      <c r="MWN278" s="147"/>
      <c r="MWO278" s="147"/>
      <c r="MWP278" s="147"/>
      <c r="MWQ278" s="147"/>
      <c r="MWR278" s="147"/>
      <c r="MWS278" s="147"/>
      <c r="MWT278" s="147"/>
      <c r="MWU278" s="147"/>
      <c r="MWV278" s="147"/>
      <c r="MWW278" s="147"/>
      <c r="MWX278" s="147"/>
      <c r="MWY278" s="147"/>
      <c r="MWZ278" s="147"/>
      <c r="MXA278" s="147"/>
      <c r="MXB278" s="147"/>
      <c r="MXC278" s="147"/>
      <c r="MXD278" s="147"/>
      <c r="MXE278" s="147"/>
      <c r="MXF278" s="147"/>
      <c r="MXG278" s="147"/>
      <c r="MXH278" s="147"/>
      <c r="MXI278" s="147"/>
      <c r="MXJ278" s="147"/>
      <c r="MXK278" s="147"/>
      <c r="MXL278" s="147"/>
      <c r="MXM278" s="147"/>
      <c r="MXN278" s="147"/>
      <c r="MXO278" s="147"/>
      <c r="MXP278" s="147"/>
      <c r="MXQ278" s="147"/>
      <c r="MXR278" s="147"/>
      <c r="MXS278" s="147"/>
      <c r="MXT278" s="147"/>
      <c r="MXU278" s="147"/>
      <c r="MXV278" s="147"/>
      <c r="MXW278" s="147"/>
      <c r="MXX278" s="147"/>
      <c r="MXY278" s="147"/>
      <c r="MXZ278" s="147"/>
      <c r="MYA278" s="147"/>
      <c r="MYB278" s="147"/>
      <c r="MYC278" s="147"/>
      <c r="MYD278" s="147"/>
      <c r="MYE278" s="147"/>
      <c r="MYF278" s="147"/>
      <c r="MYG278" s="147"/>
      <c r="MYH278" s="147"/>
      <c r="MYI278" s="147"/>
      <c r="MYJ278" s="147"/>
      <c r="MYK278" s="147"/>
      <c r="MYL278" s="147"/>
      <c r="MYM278" s="147"/>
      <c r="MYN278" s="147"/>
      <c r="MYO278" s="147"/>
      <c r="MYP278" s="147"/>
      <c r="MYQ278" s="147"/>
      <c r="MYR278" s="147"/>
      <c r="MYS278" s="147"/>
      <c r="MYT278" s="147"/>
      <c r="MYU278" s="147"/>
      <c r="MYV278" s="147"/>
      <c r="MYW278" s="147"/>
      <c r="MYX278" s="147"/>
      <c r="MYY278" s="147"/>
      <c r="MYZ278" s="147"/>
      <c r="MZA278" s="147"/>
      <c r="MZB278" s="147"/>
      <c r="MZC278" s="147"/>
      <c r="MZD278" s="147"/>
      <c r="MZE278" s="147"/>
      <c r="MZF278" s="147"/>
      <c r="MZG278" s="147"/>
      <c r="MZH278" s="147"/>
      <c r="MZI278" s="147"/>
      <c r="MZJ278" s="147"/>
      <c r="MZK278" s="147"/>
      <c r="MZL278" s="147"/>
      <c r="MZM278" s="147"/>
      <c r="MZN278" s="147"/>
      <c r="MZO278" s="147"/>
      <c r="MZP278" s="147"/>
      <c r="MZQ278" s="147"/>
      <c r="MZR278" s="147"/>
      <c r="MZS278" s="147"/>
      <c r="MZT278" s="147"/>
      <c r="MZU278" s="147"/>
      <c r="MZV278" s="147"/>
      <c r="MZW278" s="147"/>
      <c r="MZX278" s="147"/>
      <c r="MZY278" s="147"/>
      <c r="MZZ278" s="147"/>
      <c r="NAA278" s="147"/>
      <c r="NAB278" s="147"/>
      <c r="NAC278" s="147"/>
      <c r="NAD278" s="147"/>
      <c r="NAE278" s="147"/>
      <c r="NAF278" s="147"/>
      <c r="NAG278" s="147"/>
      <c r="NAH278" s="147"/>
      <c r="NAI278" s="147"/>
      <c r="NAJ278" s="147"/>
      <c r="NAK278" s="147"/>
      <c r="NAL278" s="147"/>
      <c r="NAM278" s="147"/>
      <c r="NAN278" s="147"/>
      <c r="NAO278" s="147"/>
      <c r="NAP278" s="147"/>
      <c r="NAQ278" s="147"/>
      <c r="NAR278" s="147"/>
      <c r="NAS278" s="147"/>
      <c r="NAT278" s="147"/>
      <c r="NAU278" s="147"/>
      <c r="NAV278" s="147"/>
      <c r="NAW278" s="147"/>
      <c r="NAX278" s="147"/>
      <c r="NAY278" s="147"/>
      <c r="NAZ278" s="147"/>
      <c r="NBA278" s="147"/>
      <c r="NBB278" s="147"/>
      <c r="NBC278" s="147"/>
      <c r="NBD278" s="147"/>
      <c r="NBE278" s="147"/>
      <c r="NBF278" s="147"/>
      <c r="NBG278" s="147"/>
      <c r="NBH278" s="147"/>
      <c r="NBI278" s="147"/>
      <c r="NBJ278" s="147"/>
      <c r="NBK278" s="147"/>
      <c r="NBL278" s="147"/>
      <c r="NBM278" s="147"/>
      <c r="NBN278" s="147"/>
      <c r="NBO278" s="147"/>
      <c r="NBP278" s="147"/>
      <c r="NBQ278" s="147"/>
      <c r="NBR278" s="147"/>
      <c r="NBS278" s="147"/>
      <c r="NBT278" s="147"/>
      <c r="NBU278" s="147"/>
      <c r="NBV278" s="147"/>
      <c r="NBW278" s="147"/>
      <c r="NBX278" s="147"/>
      <c r="NBY278" s="147"/>
      <c r="NBZ278" s="147"/>
      <c r="NCA278" s="147"/>
      <c r="NCB278" s="147"/>
      <c r="NCC278" s="147"/>
      <c r="NCD278" s="147"/>
      <c r="NCE278" s="147"/>
      <c r="NCF278" s="147"/>
      <c r="NCG278" s="147"/>
      <c r="NCH278" s="147"/>
      <c r="NCI278" s="147"/>
      <c r="NCJ278" s="147"/>
      <c r="NCK278" s="147"/>
      <c r="NCL278" s="147"/>
      <c r="NCM278" s="147"/>
      <c r="NCN278" s="147"/>
      <c r="NCO278" s="147"/>
      <c r="NCP278" s="147"/>
      <c r="NCQ278" s="147"/>
      <c r="NCR278" s="147"/>
      <c r="NCS278" s="147"/>
      <c r="NCT278" s="147"/>
      <c r="NCU278" s="147"/>
      <c r="NCV278" s="147"/>
      <c r="NCW278" s="147"/>
      <c r="NCX278" s="147"/>
      <c r="NCY278" s="147"/>
      <c r="NCZ278" s="147"/>
      <c r="NDA278" s="147"/>
      <c r="NDB278" s="147"/>
      <c r="NDC278" s="147"/>
      <c r="NDD278" s="147"/>
      <c r="NDE278" s="147"/>
      <c r="NDF278" s="147"/>
      <c r="NDG278" s="147"/>
      <c r="NDH278" s="147"/>
      <c r="NDI278" s="147"/>
      <c r="NDJ278" s="147"/>
      <c r="NDK278" s="147"/>
      <c r="NDL278" s="147"/>
      <c r="NDM278" s="147"/>
      <c r="NDN278" s="147"/>
      <c r="NDO278" s="147"/>
      <c r="NDP278" s="147"/>
      <c r="NDQ278" s="147"/>
      <c r="NDR278" s="147"/>
      <c r="NDS278" s="147"/>
      <c r="NDT278" s="147"/>
      <c r="NDU278" s="147"/>
      <c r="NDV278" s="147"/>
      <c r="NDW278" s="147"/>
      <c r="NDX278" s="147"/>
      <c r="NDY278" s="147"/>
      <c r="NDZ278" s="147"/>
      <c r="NEA278" s="147"/>
      <c r="NEB278" s="147"/>
      <c r="NEC278" s="147"/>
      <c r="NED278" s="147"/>
      <c r="NEE278" s="147"/>
      <c r="NEF278" s="147"/>
      <c r="NEG278" s="147"/>
      <c r="NEH278" s="147"/>
      <c r="NEI278" s="147"/>
      <c r="NEJ278" s="147"/>
      <c r="NEK278" s="147"/>
      <c r="NEL278" s="147"/>
      <c r="NEM278" s="147"/>
      <c r="NEN278" s="147"/>
      <c r="NEO278" s="147"/>
      <c r="NEP278" s="147"/>
      <c r="NEQ278" s="147"/>
      <c r="NER278" s="147"/>
      <c r="NES278" s="147"/>
      <c r="NET278" s="147"/>
      <c r="NEU278" s="147"/>
      <c r="NEV278" s="147"/>
      <c r="NEW278" s="147"/>
      <c r="NEX278" s="147"/>
      <c r="NEY278" s="147"/>
      <c r="NEZ278" s="147"/>
      <c r="NFA278" s="147"/>
      <c r="NFB278" s="147"/>
      <c r="NFC278" s="147"/>
      <c r="NFD278" s="147"/>
      <c r="NFE278" s="147"/>
      <c r="NFF278" s="147"/>
      <c r="NFG278" s="147"/>
      <c r="NFH278" s="147"/>
      <c r="NFI278" s="147"/>
      <c r="NFJ278" s="147"/>
      <c r="NFK278" s="147"/>
      <c r="NFL278" s="147"/>
      <c r="NFM278" s="147"/>
      <c r="NFN278" s="147"/>
      <c r="NFO278" s="147"/>
      <c r="NFP278" s="147"/>
      <c r="NFQ278" s="147"/>
      <c r="NFR278" s="147"/>
      <c r="NFS278" s="147"/>
      <c r="NFT278" s="147"/>
      <c r="NFU278" s="147"/>
      <c r="NFV278" s="147"/>
      <c r="NFW278" s="147"/>
      <c r="NFX278" s="147"/>
      <c r="NFY278" s="147"/>
      <c r="NFZ278" s="147"/>
      <c r="NGA278" s="147"/>
      <c r="NGB278" s="147"/>
      <c r="NGC278" s="147"/>
      <c r="NGD278" s="147"/>
      <c r="NGE278" s="147"/>
      <c r="NGF278" s="147"/>
      <c r="NGG278" s="147"/>
      <c r="NGH278" s="147"/>
      <c r="NGI278" s="147"/>
      <c r="NGJ278" s="147"/>
      <c r="NGK278" s="147"/>
      <c r="NGL278" s="147"/>
      <c r="NGM278" s="147"/>
      <c r="NGN278" s="147"/>
      <c r="NGO278" s="147"/>
      <c r="NGP278" s="147"/>
      <c r="NGQ278" s="147"/>
      <c r="NGR278" s="147"/>
      <c r="NGS278" s="147"/>
      <c r="NGT278" s="147"/>
      <c r="NGU278" s="147"/>
      <c r="NGV278" s="147"/>
      <c r="NGW278" s="147"/>
      <c r="NGX278" s="147"/>
      <c r="NGY278" s="147"/>
      <c r="NGZ278" s="147"/>
      <c r="NHA278" s="147"/>
      <c r="NHB278" s="147"/>
      <c r="NHC278" s="147"/>
      <c r="NHD278" s="147"/>
      <c r="NHE278" s="147"/>
      <c r="NHF278" s="147"/>
      <c r="NHG278" s="147"/>
      <c r="NHH278" s="147"/>
      <c r="NHI278" s="147"/>
      <c r="NHJ278" s="147"/>
      <c r="NHK278" s="147"/>
      <c r="NHL278" s="147"/>
      <c r="NHM278" s="147"/>
      <c r="NHN278" s="147"/>
      <c r="NHO278" s="147"/>
      <c r="NHP278" s="147"/>
      <c r="NHQ278" s="147"/>
      <c r="NHR278" s="147"/>
      <c r="NHS278" s="147"/>
      <c r="NHT278" s="147"/>
      <c r="NHU278" s="147"/>
      <c r="NHV278" s="147"/>
      <c r="NHW278" s="147"/>
      <c r="NHX278" s="147"/>
      <c r="NHY278" s="147"/>
      <c r="NHZ278" s="147"/>
      <c r="NIA278" s="147"/>
      <c r="NIB278" s="147"/>
      <c r="NIC278" s="147"/>
      <c r="NID278" s="147"/>
      <c r="NIE278" s="147"/>
      <c r="NIF278" s="147"/>
      <c r="NIG278" s="147"/>
      <c r="NIH278" s="147"/>
      <c r="NII278" s="147"/>
      <c r="NIJ278" s="147"/>
      <c r="NIK278" s="147"/>
      <c r="NIL278" s="147"/>
      <c r="NIM278" s="147"/>
      <c r="NIN278" s="147"/>
      <c r="NIO278" s="147"/>
      <c r="NIP278" s="147"/>
      <c r="NIQ278" s="147"/>
      <c r="NIR278" s="147"/>
      <c r="NIS278" s="147"/>
      <c r="NIT278" s="147"/>
      <c r="NIU278" s="147"/>
      <c r="NIV278" s="147"/>
      <c r="NIW278" s="147"/>
      <c r="NIX278" s="147"/>
      <c r="NIY278" s="147"/>
      <c r="NIZ278" s="147"/>
      <c r="NJA278" s="147"/>
      <c r="NJB278" s="147"/>
      <c r="NJC278" s="147"/>
      <c r="NJD278" s="147"/>
      <c r="NJE278" s="147"/>
      <c r="NJF278" s="147"/>
      <c r="NJG278" s="147"/>
      <c r="NJH278" s="147"/>
      <c r="NJI278" s="147"/>
      <c r="NJJ278" s="147"/>
      <c r="NJK278" s="147"/>
      <c r="NJL278" s="147"/>
      <c r="NJM278" s="147"/>
      <c r="NJN278" s="147"/>
      <c r="NJO278" s="147"/>
      <c r="NJP278" s="147"/>
      <c r="NJQ278" s="147"/>
      <c r="NJR278" s="147"/>
      <c r="NJS278" s="147"/>
      <c r="NJT278" s="147"/>
      <c r="NJU278" s="147"/>
      <c r="NJV278" s="147"/>
      <c r="NJW278" s="147"/>
      <c r="NJX278" s="147"/>
      <c r="NJY278" s="147"/>
      <c r="NJZ278" s="147"/>
      <c r="NKA278" s="147"/>
      <c r="NKB278" s="147"/>
      <c r="NKC278" s="147"/>
      <c r="NKD278" s="147"/>
      <c r="NKE278" s="147"/>
      <c r="NKF278" s="147"/>
      <c r="NKG278" s="147"/>
      <c r="NKH278" s="147"/>
      <c r="NKI278" s="147"/>
      <c r="NKJ278" s="147"/>
      <c r="NKK278" s="147"/>
      <c r="NKL278" s="147"/>
      <c r="NKM278" s="147"/>
      <c r="NKN278" s="147"/>
      <c r="NKO278" s="147"/>
      <c r="NKP278" s="147"/>
      <c r="NKQ278" s="147"/>
      <c r="NKR278" s="147"/>
      <c r="NKS278" s="147"/>
      <c r="NKT278" s="147"/>
      <c r="NKU278" s="147"/>
      <c r="NKV278" s="147"/>
      <c r="NKW278" s="147"/>
      <c r="NKX278" s="147"/>
      <c r="NKY278" s="147"/>
      <c r="NKZ278" s="147"/>
      <c r="NLA278" s="147"/>
      <c r="NLB278" s="147"/>
      <c r="NLC278" s="147"/>
      <c r="NLD278" s="147"/>
      <c r="NLE278" s="147"/>
      <c r="NLF278" s="147"/>
      <c r="NLG278" s="147"/>
      <c r="NLH278" s="147"/>
      <c r="NLI278" s="147"/>
      <c r="NLJ278" s="147"/>
      <c r="NLK278" s="147"/>
      <c r="NLL278" s="147"/>
      <c r="NLM278" s="147"/>
      <c r="NLN278" s="147"/>
      <c r="NLO278" s="147"/>
      <c r="NLP278" s="147"/>
      <c r="NLQ278" s="147"/>
      <c r="NLR278" s="147"/>
      <c r="NLS278" s="147"/>
      <c r="NLT278" s="147"/>
      <c r="NLU278" s="147"/>
      <c r="NLV278" s="147"/>
      <c r="NLW278" s="147"/>
      <c r="NLX278" s="147"/>
      <c r="NLY278" s="147"/>
      <c r="NLZ278" s="147"/>
      <c r="NMA278" s="147"/>
      <c r="NMB278" s="147"/>
      <c r="NMC278" s="147"/>
      <c r="NMD278" s="147"/>
      <c r="NME278" s="147"/>
      <c r="NMF278" s="147"/>
      <c r="NMG278" s="147"/>
      <c r="NMH278" s="147"/>
      <c r="NMI278" s="147"/>
      <c r="NMJ278" s="147"/>
      <c r="NMK278" s="147"/>
      <c r="NML278" s="147"/>
      <c r="NMM278" s="147"/>
      <c r="NMN278" s="147"/>
      <c r="NMO278" s="147"/>
      <c r="NMP278" s="147"/>
      <c r="NMQ278" s="147"/>
      <c r="NMR278" s="147"/>
      <c r="NMS278" s="147"/>
      <c r="NMT278" s="147"/>
      <c r="NMU278" s="147"/>
      <c r="NMV278" s="147"/>
      <c r="NMW278" s="147"/>
      <c r="NMX278" s="147"/>
      <c r="NMY278" s="147"/>
      <c r="NMZ278" s="147"/>
      <c r="NNA278" s="147"/>
      <c r="NNB278" s="147"/>
      <c r="NNC278" s="147"/>
      <c r="NND278" s="147"/>
      <c r="NNE278" s="147"/>
      <c r="NNF278" s="147"/>
      <c r="NNG278" s="147"/>
      <c r="NNH278" s="147"/>
      <c r="NNI278" s="147"/>
      <c r="NNJ278" s="147"/>
      <c r="NNK278" s="147"/>
      <c r="NNL278" s="147"/>
      <c r="NNM278" s="147"/>
      <c r="NNN278" s="147"/>
      <c r="NNO278" s="147"/>
      <c r="NNP278" s="147"/>
      <c r="NNQ278" s="147"/>
      <c r="NNR278" s="147"/>
      <c r="NNS278" s="147"/>
      <c r="NNT278" s="147"/>
      <c r="NNU278" s="147"/>
      <c r="NNV278" s="147"/>
      <c r="NNW278" s="147"/>
      <c r="NNX278" s="147"/>
      <c r="NNY278" s="147"/>
      <c r="NNZ278" s="147"/>
      <c r="NOA278" s="147"/>
      <c r="NOB278" s="147"/>
      <c r="NOC278" s="147"/>
      <c r="NOD278" s="147"/>
      <c r="NOE278" s="147"/>
      <c r="NOF278" s="147"/>
      <c r="NOG278" s="147"/>
      <c r="NOH278" s="147"/>
      <c r="NOI278" s="147"/>
      <c r="NOJ278" s="147"/>
      <c r="NOK278" s="147"/>
      <c r="NOL278" s="147"/>
      <c r="NOM278" s="147"/>
      <c r="NON278" s="147"/>
      <c r="NOO278" s="147"/>
      <c r="NOP278" s="147"/>
      <c r="NOQ278" s="147"/>
      <c r="NOR278" s="147"/>
      <c r="NOS278" s="147"/>
      <c r="NOT278" s="147"/>
      <c r="NOU278" s="147"/>
      <c r="NOV278" s="147"/>
      <c r="NOW278" s="147"/>
      <c r="NOX278" s="147"/>
      <c r="NOY278" s="147"/>
      <c r="NOZ278" s="147"/>
      <c r="NPA278" s="147"/>
      <c r="NPB278" s="147"/>
      <c r="NPC278" s="147"/>
      <c r="NPD278" s="147"/>
      <c r="NPE278" s="147"/>
      <c r="NPF278" s="147"/>
      <c r="NPG278" s="147"/>
      <c r="NPH278" s="147"/>
      <c r="NPI278" s="147"/>
      <c r="NPJ278" s="147"/>
      <c r="NPK278" s="147"/>
      <c r="NPL278" s="147"/>
      <c r="NPM278" s="147"/>
      <c r="NPN278" s="147"/>
      <c r="NPO278" s="147"/>
      <c r="NPP278" s="147"/>
      <c r="NPQ278" s="147"/>
      <c r="NPR278" s="147"/>
      <c r="NPS278" s="147"/>
      <c r="NPT278" s="147"/>
      <c r="NPU278" s="147"/>
      <c r="NPV278" s="147"/>
      <c r="NPW278" s="147"/>
      <c r="NPX278" s="147"/>
      <c r="NPY278" s="147"/>
      <c r="NPZ278" s="147"/>
      <c r="NQA278" s="147"/>
      <c r="NQB278" s="147"/>
      <c r="NQC278" s="147"/>
      <c r="NQD278" s="147"/>
      <c r="NQE278" s="147"/>
      <c r="NQF278" s="147"/>
      <c r="NQG278" s="147"/>
      <c r="NQH278" s="147"/>
      <c r="NQI278" s="147"/>
      <c r="NQJ278" s="147"/>
      <c r="NQK278" s="147"/>
      <c r="NQL278" s="147"/>
      <c r="NQM278" s="147"/>
      <c r="NQN278" s="147"/>
      <c r="NQO278" s="147"/>
      <c r="NQP278" s="147"/>
      <c r="NQQ278" s="147"/>
      <c r="NQR278" s="147"/>
      <c r="NQS278" s="147"/>
      <c r="NQT278" s="147"/>
      <c r="NQU278" s="147"/>
      <c r="NQV278" s="147"/>
      <c r="NQW278" s="147"/>
      <c r="NQX278" s="147"/>
      <c r="NQY278" s="147"/>
      <c r="NQZ278" s="147"/>
      <c r="NRA278" s="147"/>
      <c r="NRB278" s="147"/>
      <c r="NRC278" s="147"/>
      <c r="NRD278" s="147"/>
      <c r="NRE278" s="147"/>
      <c r="NRF278" s="147"/>
      <c r="NRG278" s="147"/>
      <c r="NRH278" s="147"/>
      <c r="NRI278" s="147"/>
      <c r="NRJ278" s="147"/>
      <c r="NRK278" s="147"/>
      <c r="NRL278" s="147"/>
      <c r="NRM278" s="147"/>
      <c r="NRN278" s="147"/>
      <c r="NRO278" s="147"/>
      <c r="NRP278" s="147"/>
      <c r="NRQ278" s="147"/>
      <c r="NRR278" s="147"/>
      <c r="NRS278" s="147"/>
      <c r="NRT278" s="147"/>
      <c r="NRU278" s="147"/>
      <c r="NRV278" s="147"/>
      <c r="NRW278" s="147"/>
      <c r="NRX278" s="147"/>
      <c r="NRY278" s="147"/>
      <c r="NRZ278" s="147"/>
      <c r="NSA278" s="147"/>
      <c r="NSB278" s="147"/>
      <c r="NSC278" s="147"/>
      <c r="NSD278" s="147"/>
      <c r="NSE278" s="147"/>
      <c r="NSF278" s="147"/>
      <c r="NSG278" s="147"/>
      <c r="NSH278" s="147"/>
      <c r="NSI278" s="147"/>
      <c r="NSJ278" s="147"/>
      <c r="NSK278" s="147"/>
      <c r="NSL278" s="147"/>
      <c r="NSM278" s="147"/>
      <c r="NSN278" s="147"/>
      <c r="NSO278" s="147"/>
      <c r="NSP278" s="147"/>
      <c r="NSQ278" s="147"/>
      <c r="NSR278" s="147"/>
      <c r="NSS278" s="147"/>
      <c r="NST278" s="147"/>
      <c r="NSU278" s="147"/>
      <c r="NSV278" s="147"/>
      <c r="NSW278" s="147"/>
      <c r="NSX278" s="147"/>
      <c r="NSY278" s="147"/>
      <c r="NSZ278" s="147"/>
      <c r="NTA278" s="147"/>
      <c r="NTB278" s="147"/>
      <c r="NTC278" s="147"/>
      <c r="NTD278" s="147"/>
      <c r="NTE278" s="147"/>
      <c r="NTF278" s="147"/>
      <c r="NTG278" s="147"/>
      <c r="NTH278" s="147"/>
      <c r="NTI278" s="147"/>
      <c r="NTJ278" s="147"/>
      <c r="NTK278" s="147"/>
      <c r="NTL278" s="147"/>
      <c r="NTM278" s="147"/>
      <c r="NTN278" s="147"/>
      <c r="NTO278" s="147"/>
      <c r="NTP278" s="147"/>
      <c r="NTQ278" s="147"/>
      <c r="NTR278" s="147"/>
      <c r="NTS278" s="147"/>
      <c r="NTT278" s="147"/>
      <c r="NTU278" s="147"/>
      <c r="NTV278" s="147"/>
      <c r="NTW278" s="147"/>
      <c r="NTX278" s="147"/>
      <c r="NTY278" s="147"/>
      <c r="NTZ278" s="147"/>
      <c r="NUA278" s="147"/>
      <c r="NUB278" s="147"/>
      <c r="NUC278" s="147"/>
      <c r="NUD278" s="147"/>
      <c r="NUE278" s="147"/>
      <c r="NUF278" s="147"/>
      <c r="NUG278" s="147"/>
      <c r="NUH278" s="147"/>
      <c r="NUI278" s="147"/>
      <c r="NUJ278" s="147"/>
      <c r="NUK278" s="147"/>
      <c r="NUL278" s="147"/>
      <c r="NUM278" s="147"/>
      <c r="NUN278" s="147"/>
      <c r="NUO278" s="147"/>
      <c r="NUP278" s="147"/>
      <c r="NUQ278" s="147"/>
      <c r="NUR278" s="147"/>
      <c r="NUS278" s="147"/>
      <c r="NUT278" s="147"/>
      <c r="NUU278" s="147"/>
      <c r="NUV278" s="147"/>
      <c r="NUW278" s="147"/>
      <c r="NUX278" s="147"/>
      <c r="NUY278" s="147"/>
      <c r="NUZ278" s="147"/>
      <c r="NVA278" s="147"/>
      <c r="NVB278" s="147"/>
      <c r="NVC278" s="147"/>
      <c r="NVD278" s="147"/>
      <c r="NVE278" s="147"/>
      <c r="NVF278" s="147"/>
      <c r="NVG278" s="147"/>
      <c r="NVH278" s="147"/>
      <c r="NVI278" s="147"/>
      <c r="NVJ278" s="147"/>
      <c r="NVK278" s="147"/>
      <c r="NVL278" s="147"/>
      <c r="NVM278" s="147"/>
      <c r="NVN278" s="147"/>
      <c r="NVO278" s="147"/>
      <c r="NVP278" s="147"/>
      <c r="NVQ278" s="147"/>
      <c r="NVR278" s="147"/>
      <c r="NVS278" s="147"/>
      <c r="NVT278" s="147"/>
      <c r="NVU278" s="147"/>
      <c r="NVV278" s="147"/>
      <c r="NVW278" s="147"/>
      <c r="NVX278" s="147"/>
      <c r="NVY278" s="147"/>
      <c r="NVZ278" s="147"/>
      <c r="NWA278" s="147"/>
      <c r="NWB278" s="147"/>
      <c r="NWC278" s="147"/>
      <c r="NWD278" s="147"/>
      <c r="NWE278" s="147"/>
      <c r="NWF278" s="147"/>
      <c r="NWG278" s="147"/>
      <c r="NWH278" s="147"/>
      <c r="NWI278" s="147"/>
      <c r="NWJ278" s="147"/>
      <c r="NWK278" s="147"/>
      <c r="NWL278" s="147"/>
      <c r="NWM278" s="147"/>
      <c r="NWN278" s="147"/>
      <c r="NWO278" s="147"/>
      <c r="NWP278" s="147"/>
      <c r="NWQ278" s="147"/>
      <c r="NWR278" s="147"/>
      <c r="NWS278" s="147"/>
      <c r="NWT278" s="147"/>
      <c r="NWU278" s="147"/>
      <c r="NWV278" s="147"/>
      <c r="NWW278" s="147"/>
      <c r="NWX278" s="147"/>
      <c r="NWY278" s="147"/>
      <c r="NWZ278" s="147"/>
      <c r="NXA278" s="147"/>
      <c r="NXB278" s="147"/>
      <c r="NXC278" s="147"/>
      <c r="NXD278" s="147"/>
      <c r="NXE278" s="147"/>
      <c r="NXF278" s="147"/>
      <c r="NXG278" s="147"/>
      <c r="NXH278" s="147"/>
      <c r="NXI278" s="147"/>
      <c r="NXJ278" s="147"/>
      <c r="NXK278" s="147"/>
      <c r="NXL278" s="147"/>
      <c r="NXM278" s="147"/>
      <c r="NXN278" s="147"/>
      <c r="NXO278" s="147"/>
      <c r="NXP278" s="147"/>
      <c r="NXQ278" s="147"/>
      <c r="NXR278" s="147"/>
      <c r="NXS278" s="147"/>
      <c r="NXT278" s="147"/>
      <c r="NXU278" s="147"/>
      <c r="NXV278" s="147"/>
      <c r="NXW278" s="147"/>
      <c r="NXX278" s="147"/>
      <c r="NXY278" s="147"/>
      <c r="NXZ278" s="147"/>
      <c r="NYA278" s="147"/>
      <c r="NYB278" s="147"/>
      <c r="NYC278" s="147"/>
      <c r="NYD278" s="147"/>
      <c r="NYE278" s="147"/>
      <c r="NYF278" s="147"/>
      <c r="NYG278" s="147"/>
      <c r="NYH278" s="147"/>
      <c r="NYI278" s="147"/>
      <c r="NYJ278" s="147"/>
      <c r="NYK278" s="147"/>
      <c r="NYL278" s="147"/>
      <c r="NYM278" s="147"/>
      <c r="NYN278" s="147"/>
      <c r="NYO278" s="147"/>
      <c r="NYP278" s="147"/>
      <c r="NYQ278" s="147"/>
      <c r="NYR278" s="147"/>
      <c r="NYS278" s="147"/>
      <c r="NYT278" s="147"/>
      <c r="NYU278" s="147"/>
      <c r="NYV278" s="147"/>
      <c r="NYW278" s="147"/>
      <c r="NYX278" s="147"/>
      <c r="NYY278" s="147"/>
      <c r="NYZ278" s="147"/>
      <c r="NZA278" s="147"/>
      <c r="NZB278" s="147"/>
      <c r="NZC278" s="147"/>
      <c r="NZD278" s="147"/>
      <c r="NZE278" s="147"/>
      <c r="NZF278" s="147"/>
      <c r="NZG278" s="147"/>
      <c r="NZH278" s="147"/>
      <c r="NZI278" s="147"/>
      <c r="NZJ278" s="147"/>
      <c r="NZK278" s="147"/>
      <c r="NZL278" s="147"/>
      <c r="NZM278" s="147"/>
      <c r="NZN278" s="147"/>
      <c r="NZO278" s="147"/>
      <c r="NZP278" s="147"/>
      <c r="NZQ278" s="147"/>
      <c r="NZR278" s="147"/>
      <c r="NZS278" s="147"/>
      <c r="NZT278" s="147"/>
      <c r="NZU278" s="147"/>
      <c r="NZV278" s="147"/>
      <c r="NZW278" s="147"/>
      <c r="NZX278" s="147"/>
      <c r="NZY278" s="147"/>
      <c r="NZZ278" s="147"/>
      <c r="OAA278" s="147"/>
      <c r="OAB278" s="147"/>
      <c r="OAC278" s="147"/>
      <c r="OAD278" s="147"/>
      <c r="OAE278" s="147"/>
      <c r="OAF278" s="147"/>
      <c r="OAG278" s="147"/>
      <c r="OAH278" s="147"/>
      <c r="OAI278" s="147"/>
      <c r="OAJ278" s="147"/>
      <c r="OAK278" s="147"/>
      <c r="OAL278" s="147"/>
      <c r="OAM278" s="147"/>
      <c r="OAN278" s="147"/>
      <c r="OAO278" s="147"/>
      <c r="OAP278" s="147"/>
      <c r="OAQ278" s="147"/>
      <c r="OAR278" s="147"/>
      <c r="OAS278" s="147"/>
      <c r="OAT278" s="147"/>
      <c r="OAU278" s="147"/>
      <c r="OAV278" s="147"/>
      <c r="OAW278" s="147"/>
      <c r="OAX278" s="147"/>
      <c r="OAY278" s="147"/>
      <c r="OAZ278" s="147"/>
      <c r="OBA278" s="147"/>
      <c r="OBB278" s="147"/>
      <c r="OBC278" s="147"/>
      <c r="OBD278" s="147"/>
      <c r="OBE278" s="147"/>
      <c r="OBF278" s="147"/>
      <c r="OBG278" s="147"/>
      <c r="OBH278" s="147"/>
      <c r="OBI278" s="147"/>
      <c r="OBJ278" s="147"/>
      <c r="OBK278" s="147"/>
      <c r="OBL278" s="147"/>
      <c r="OBM278" s="147"/>
      <c r="OBN278" s="147"/>
      <c r="OBO278" s="147"/>
      <c r="OBP278" s="147"/>
      <c r="OBQ278" s="147"/>
      <c r="OBR278" s="147"/>
      <c r="OBS278" s="147"/>
      <c r="OBT278" s="147"/>
      <c r="OBU278" s="147"/>
      <c r="OBV278" s="147"/>
      <c r="OBW278" s="147"/>
      <c r="OBX278" s="147"/>
      <c r="OBY278" s="147"/>
      <c r="OBZ278" s="147"/>
      <c r="OCA278" s="147"/>
      <c r="OCB278" s="147"/>
      <c r="OCC278" s="147"/>
      <c r="OCD278" s="147"/>
      <c r="OCE278" s="147"/>
      <c r="OCF278" s="147"/>
      <c r="OCG278" s="147"/>
      <c r="OCH278" s="147"/>
      <c r="OCI278" s="147"/>
      <c r="OCJ278" s="147"/>
      <c r="OCK278" s="147"/>
      <c r="OCL278" s="147"/>
      <c r="OCM278" s="147"/>
      <c r="OCN278" s="147"/>
      <c r="OCO278" s="147"/>
      <c r="OCP278" s="147"/>
      <c r="OCQ278" s="147"/>
      <c r="OCR278" s="147"/>
      <c r="OCS278" s="147"/>
      <c r="OCT278" s="147"/>
      <c r="OCU278" s="147"/>
      <c r="OCV278" s="147"/>
      <c r="OCW278" s="147"/>
      <c r="OCX278" s="147"/>
      <c r="OCY278" s="147"/>
      <c r="OCZ278" s="147"/>
      <c r="ODA278" s="147"/>
      <c r="ODB278" s="147"/>
      <c r="ODC278" s="147"/>
      <c r="ODD278" s="147"/>
      <c r="ODE278" s="147"/>
      <c r="ODF278" s="147"/>
      <c r="ODG278" s="147"/>
      <c r="ODH278" s="147"/>
      <c r="ODI278" s="147"/>
      <c r="ODJ278" s="147"/>
      <c r="ODK278" s="147"/>
      <c r="ODL278" s="147"/>
      <c r="ODM278" s="147"/>
      <c r="ODN278" s="147"/>
      <c r="ODO278" s="147"/>
      <c r="ODP278" s="147"/>
      <c r="ODQ278" s="147"/>
      <c r="ODR278" s="147"/>
      <c r="ODS278" s="147"/>
      <c r="ODT278" s="147"/>
      <c r="ODU278" s="147"/>
      <c r="ODV278" s="147"/>
      <c r="ODW278" s="147"/>
      <c r="ODX278" s="147"/>
      <c r="ODY278" s="147"/>
      <c r="ODZ278" s="147"/>
      <c r="OEA278" s="147"/>
      <c r="OEB278" s="147"/>
      <c r="OEC278" s="147"/>
      <c r="OED278" s="147"/>
      <c r="OEE278" s="147"/>
      <c r="OEF278" s="147"/>
      <c r="OEG278" s="147"/>
      <c r="OEH278" s="147"/>
      <c r="OEI278" s="147"/>
      <c r="OEJ278" s="147"/>
      <c r="OEK278" s="147"/>
      <c r="OEL278" s="147"/>
      <c r="OEM278" s="147"/>
      <c r="OEN278" s="147"/>
      <c r="OEO278" s="147"/>
      <c r="OEP278" s="147"/>
      <c r="OEQ278" s="147"/>
      <c r="OER278" s="147"/>
      <c r="OES278" s="147"/>
      <c r="OET278" s="147"/>
      <c r="OEU278" s="147"/>
      <c r="OEV278" s="147"/>
      <c r="OEW278" s="147"/>
      <c r="OEX278" s="147"/>
      <c r="OEY278" s="147"/>
      <c r="OEZ278" s="147"/>
      <c r="OFA278" s="147"/>
      <c r="OFB278" s="147"/>
      <c r="OFC278" s="147"/>
      <c r="OFD278" s="147"/>
      <c r="OFE278" s="147"/>
      <c r="OFF278" s="147"/>
      <c r="OFG278" s="147"/>
      <c r="OFH278" s="147"/>
      <c r="OFI278" s="147"/>
      <c r="OFJ278" s="147"/>
      <c r="OFK278" s="147"/>
      <c r="OFL278" s="147"/>
      <c r="OFM278" s="147"/>
      <c r="OFN278" s="147"/>
      <c r="OFO278" s="147"/>
      <c r="OFP278" s="147"/>
      <c r="OFQ278" s="147"/>
      <c r="OFR278" s="147"/>
      <c r="OFS278" s="147"/>
      <c r="OFT278" s="147"/>
      <c r="OFU278" s="147"/>
      <c r="OFV278" s="147"/>
      <c r="OFW278" s="147"/>
      <c r="OFX278" s="147"/>
      <c r="OFY278" s="147"/>
      <c r="OFZ278" s="147"/>
      <c r="OGA278" s="147"/>
      <c r="OGB278" s="147"/>
      <c r="OGC278" s="147"/>
      <c r="OGD278" s="147"/>
      <c r="OGE278" s="147"/>
      <c r="OGF278" s="147"/>
      <c r="OGG278" s="147"/>
      <c r="OGH278" s="147"/>
      <c r="OGI278" s="147"/>
      <c r="OGJ278" s="147"/>
      <c r="OGK278" s="147"/>
      <c r="OGL278" s="147"/>
      <c r="OGM278" s="147"/>
      <c r="OGN278" s="147"/>
      <c r="OGO278" s="147"/>
      <c r="OGP278" s="147"/>
      <c r="OGQ278" s="147"/>
      <c r="OGR278" s="147"/>
      <c r="OGS278" s="147"/>
      <c r="OGT278" s="147"/>
      <c r="OGU278" s="147"/>
      <c r="OGV278" s="147"/>
      <c r="OGW278" s="147"/>
      <c r="OGX278" s="147"/>
      <c r="OGY278" s="147"/>
      <c r="OGZ278" s="147"/>
      <c r="OHA278" s="147"/>
      <c r="OHB278" s="147"/>
      <c r="OHC278" s="147"/>
      <c r="OHD278" s="147"/>
      <c r="OHE278" s="147"/>
      <c r="OHF278" s="147"/>
      <c r="OHG278" s="147"/>
      <c r="OHH278" s="147"/>
      <c r="OHI278" s="147"/>
      <c r="OHJ278" s="147"/>
      <c r="OHK278" s="147"/>
      <c r="OHL278" s="147"/>
      <c r="OHM278" s="147"/>
      <c r="OHN278" s="147"/>
      <c r="OHO278" s="147"/>
      <c r="OHP278" s="147"/>
      <c r="OHQ278" s="147"/>
      <c r="OHR278" s="147"/>
      <c r="OHS278" s="147"/>
      <c r="OHT278" s="147"/>
      <c r="OHU278" s="147"/>
      <c r="OHV278" s="147"/>
      <c r="OHW278" s="147"/>
      <c r="OHX278" s="147"/>
      <c r="OHY278" s="147"/>
      <c r="OHZ278" s="147"/>
      <c r="OIA278" s="147"/>
      <c r="OIB278" s="147"/>
      <c r="OIC278" s="147"/>
      <c r="OID278" s="147"/>
      <c r="OIE278" s="147"/>
      <c r="OIF278" s="147"/>
      <c r="OIG278" s="147"/>
      <c r="OIH278" s="147"/>
      <c r="OII278" s="147"/>
      <c r="OIJ278" s="147"/>
      <c r="OIK278" s="147"/>
      <c r="OIL278" s="147"/>
      <c r="OIM278" s="147"/>
      <c r="OIN278" s="147"/>
      <c r="OIO278" s="147"/>
      <c r="OIP278" s="147"/>
      <c r="OIQ278" s="147"/>
      <c r="OIR278" s="147"/>
      <c r="OIS278" s="147"/>
      <c r="OIT278" s="147"/>
      <c r="OIU278" s="147"/>
      <c r="OIV278" s="147"/>
      <c r="OIW278" s="147"/>
      <c r="OIX278" s="147"/>
      <c r="OIY278" s="147"/>
      <c r="OIZ278" s="147"/>
      <c r="OJA278" s="147"/>
      <c r="OJB278" s="147"/>
      <c r="OJC278" s="147"/>
      <c r="OJD278" s="147"/>
      <c r="OJE278" s="147"/>
      <c r="OJF278" s="147"/>
      <c r="OJG278" s="147"/>
      <c r="OJH278" s="147"/>
      <c r="OJI278" s="147"/>
      <c r="OJJ278" s="147"/>
      <c r="OJK278" s="147"/>
      <c r="OJL278" s="147"/>
      <c r="OJM278" s="147"/>
      <c r="OJN278" s="147"/>
      <c r="OJO278" s="147"/>
      <c r="OJP278" s="147"/>
      <c r="OJQ278" s="147"/>
      <c r="OJR278" s="147"/>
      <c r="OJS278" s="147"/>
      <c r="OJT278" s="147"/>
      <c r="OJU278" s="147"/>
      <c r="OJV278" s="147"/>
      <c r="OJW278" s="147"/>
      <c r="OJX278" s="147"/>
      <c r="OJY278" s="147"/>
      <c r="OJZ278" s="147"/>
      <c r="OKA278" s="147"/>
      <c r="OKB278" s="147"/>
      <c r="OKC278" s="147"/>
      <c r="OKD278" s="147"/>
      <c r="OKE278" s="147"/>
      <c r="OKF278" s="147"/>
      <c r="OKG278" s="147"/>
      <c r="OKH278" s="147"/>
      <c r="OKI278" s="147"/>
      <c r="OKJ278" s="147"/>
      <c r="OKK278" s="147"/>
      <c r="OKL278" s="147"/>
      <c r="OKM278" s="147"/>
      <c r="OKN278" s="147"/>
      <c r="OKO278" s="147"/>
      <c r="OKP278" s="147"/>
      <c r="OKQ278" s="147"/>
      <c r="OKR278" s="147"/>
      <c r="OKS278" s="147"/>
      <c r="OKT278" s="147"/>
      <c r="OKU278" s="147"/>
      <c r="OKV278" s="147"/>
      <c r="OKW278" s="147"/>
      <c r="OKX278" s="147"/>
      <c r="OKY278" s="147"/>
      <c r="OKZ278" s="147"/>
      <c r="OLA278" s="147"/>
      <c r="OLB278" s="147"/>
      <c r="OLC278" s="147"/>
      <c r="OLD278" s="147"/>
      <c r="OLE278" s="147"/>
      <c r="OLF278" s="147"/>
      <c r="OLG278" s="147"/>
      <c r="OLH278" s="147"/>
      <c r="OLI278" s="147"/>
      <c r="OLJ278" s="147"/>
      <c r="OLK278" s="147"/>
      <c r="OLL278" s="147"/>
      <c r="OLM278" s="147"/>
      <c r="OLN278" s="147"/>
      <c r="OLO278" s="147"/>
      <c r="OLP278" s="147"/>
      <c r="OLQ278" s="147"/>
      <c r="OLR278" s="147"/>
      <c r="OLS278" s="147"/>
      <c r="OLT278" s="147"/>
      <c r="OLU278" s="147"/>
      <c r="OLV278" s="147"/>
      <c r="OLW278" s="147"/>
      <c r="OLX278" s="147"/>
      <c r="OLY278" s="147"/>
      <c r="OLZ278" s="147"/>
      <c r="OMA278" s="147"/>
      <c r="OMB278" s="147"/>
      <c r="OMC278" s="147"/>
      <c r="OMD278" s="147"/>
      <c r="OME278" s="147"/>
      <c r="OMF278" s="147"/>
      <c r="OMG278" s="147"/>
      <c r="OMH278" s="147"/>
      <c r="OMI278" s="147"/>
      <c r="OMJ278" s="147"/>
      <c r="OMK278" s="147"/>
      <c r="OML278" s="147"/>
      <c r="OMM278" s="147"/>
      <c r="OMN278" s="147"/>
      <c r="OMO278" s="147"/>
      <c r="OMP278" s="147"/>
      <c r="OMQ278" s="147"/>
      <c r="OMR278" s="147"/>
      <c r="OMS278" s="147"/>
      <c r="OMT278" s="147"/>
      <c r="OMU278" s="147"/>
      <c r="OMV278" s="147"/>
      <c r="OMW278" s="147"/>
      <c r="OMX278" s="147"/>
      <c r="OMY278" s="147"/>
      <c r="OMZ278" s="147"/>
      <c r="ONA278" s="147"/>
      <c r="ONB278" s="147"/>
      <c r="ONC278" s="147"/>
      <c r="OND278" s="147"/>
      <c r="ONE278" s="147"/>
      <c r="ONF278" s="147"/>
      <c r="ONG278" s="147"/>
      <c r="ONH278" s="147"/>
      <c r="ONI278" s="147"/>
      <c r="ONJ278" s="147"/>
      <c r="ONK278" s="147"/>
      <c r="ONL278" s="147"/>
      <c r="ONM278" s="147"/>
      <c r="ONN278" s="147"/>
      <c r="ONO278" s="147"/>
      <c r="ONP278" s="147"/>
      <c r="ONQ278" s="147"/>
      <c r="ONR278" s="147"/>
      <c r="ONS278" s="147"/>
      <c r="ONT278" s="147"/>
      <c r="ONU278" s="147"/>
      <c r="ONV278" s="147"/>
      <c r="ONW278" s="147"/>
      <c r="ONX278" s="147"/>
      <c r="ONY278" s="147"/>
      <c r="ONZ278" s="147"/>
      <c r="OOA278" s="147"/>
      <c r="OOB278" s="147"/>
      <c r="OOC278" s="147"/>
      <c r="OOD278" s="147"/>
      <c r="OOE278" s="147"/>
      <c r="OOF278" s="147"/>
      <c r="OOG278" s="147"/>
      <c r="OOH278" s="147"/>
      <c r="OOI278" s="147"/>
      <c r="OOJ278" s="147"/>
      <c r="OOK278" s="147"/>
      <c r="OOL278" s="147"/>
      <c r="OOM278" s="147"/>
      <c r="OON278" s="147"/>
      <c r="OOO278" s="147"/>
      <c r="OOP278" s="147"/>
      <c r="OOQ278" s="147"/>
      <c r="OOR278" s="147"/>
      <c r="OOS278" s="147"/>
      <c r="OOT278" s="147"/>
      <c r="OOU278" s="147"/>
      <c r="OOV278" s="147"/>
      <c r="OOW278" s="147"/>
      <c r="OOX278" s="147"/>
      <c r="OOY278" s="147"/>
      <c r="OOZ278" s="147"/>
      <c r="OPA278" s="147"/>
      <c r="OPB278" s="147"/>
      <c r="OPC278" s="147"/>
      <c r="OPD278" s="147"/>
      <c r="OPE278" s="147"/>
      <c r="OPF278" s="147"/>
      <c r="OPG278" s="147"/>
      <c r="OPH278" s="147"/>
      <c r="OPI278" s="147"/>
      <c r="OPJ278" s="147"/>
      <c r="OPK278" s="147"/>
      <c r="OPL278" s="147"/>
      <c r="OPM278" s="147"/>
      <c r="OPN278" s="147"/>
      <c r="OPO278" s="147"/>
      <c r="OPP278" s="147"/>
      <c r="OPQ278" s="147"/>
      <c r="OPR278" s="147"/>
      <c r="OPS278" s="147"/>
      <c r="OPT278" s="147"/>
      <c r="OPU278" s="147"/>
      <c r="OPV278" s="147"/>
      <c r="OPW278" s="147"/>
      <c r="OPX278" s="147"/>
      <c r="OPY278" s="147"/>
      <c r="OPZ278" s="147"/>
      <c r="OQA278" s="147"/>
      <c r="OQB278" s="147"/>
      <c r="OQC278" s="147"/>
      <c r="OQD278" s="147"/>
      <c r="OQE278" s="147"/>
      <c r="OQF278" s="147"/>
      <c r="OQG278" s="147"/>
      <c r="OQH278" s="147"/>
      <c r="OQI278" s="147"/>
      <c r="OQJ278" s="147"/>
      <c r="OQK278" s="147"/>
      <c r="OQL278" s="147"/>
      <c r="OQM278" s="147"/>
      <c r="OQN278" s="147"/>
      <c r="OQO278" s="147"/>
      <c r="OQP278" s="147"/>
      <c r="OQQ278" s="147"/>
      <c r="OQR278" s="147"/>
      <c r="OQS278" s="147"/>
      <c r="OQT278" s="147"/>
      <c r="OQU278" s="147"/>
      <c r="OQV278" s="147"/>
      <c r="OQW278" s="147"/>
      <c r="OQX278" s="147"/>
      <c r="OQY278" s="147"/>
      <c r="OQZ278" s="147"/>
      <c r="ORA278" s="147"/>
      <c r="ORB278" s="147"/>
      <c r="ORC278" s="147"/>
      <c r="ORD278" s="147"/>
      <c r="ORE278" s="147"/>
      <c r="ORF278" s="147"/>
      <c r="ORG278" s="147"/>
      <c r="ORH278" s="147"/>
      <c r="ORI278" s="147"/>
      <c r="ORJ278" s="147"/>
      <c r="ORK278" s="147"/>
      <c r="ORL278" s="147"/>
      <c r="ORM278" s="147"/>
      <c r="ORN278" s="147"/>
      <c r="ORO278" s="147"/>
      <c r="ORP278" s="147"/>
      <c r="ORQ278" s="147"/>
      <c r="ORR278" s="147"/>
      <c r="ORS278" s="147"/>
      <c r="ORT278" s="147"/>
      <c r="ORU278" s="147"/>
      <c r="ORV278" s="147"/>
      <c r="ORW278" s="147"/>
      <c r="ORX278" s="147"/>
      <c r="ORY278" s="147"/>
      <c r="ORZ278" s="147"/>
      <c r="OSA278" s="147"/>
      <c r="OSB278" s="147"/>
      <c r="OSC278" s="147"/>
      <c r="OSD278" s="147"/>
      <c r="OSE278" s="147"/>
      <c r="OSF278" s="147"/>
      <c r="OSG278" s="147"/>
      <c r="OSH278" s="147"/>
      <c r="OSI278" s="147"/>
      <c r="OSJ278" s="147"/>
      <c r="OSK278" s="147"/>
      <c r="OSL278" s="147"/>
      <c r="OSM278" s="147"/>
      <c r="OSN278" s="147"/>
      <c r="OSO278" s="147"/>
      <c r="OSP278" s="147"/>
      <c r="OSQ278" s="147"/>
      <c r="OSR278" s="147"/>
      <c r="OSS278" s="147"/>
      <c r="OST278" s="147"/>
      <c r="OSU278" s="147"/>
      <c r="OSV278" s="147"/>
      <c r="OSW278" s="147"/>
      <c r="OSX278" s="147"/>
      <c r="OSY278" s="147"/>
      <c r="OSZ278" s="147"/>
      <c r="OTA278" s="147"/>
      <c r="OTB278" s="147"/>
      <c r="OTC278" s="147"/>
      <c r="OTD278" s="147"/>
      <c r="OTE278" s="147"/>
      <c r="OTF278" s="147"/>
      <c r="OTG278" s="147"/>
      <c r="OTH278" s="147"/>
      <c r="OTI278" s="147"/>
      <c r="OTJ278" s="147"/>
      <c r="OTK278" s="147"/>
      <c r="OTL278" s="147"/>
      <c r="OTM278" s="147"/>
      <c r="OTN278" s="147"/>
      <c r="OTO278" s="147"/>
      <c r="OTP278" s="147"/>
      <c r="OTQ278" s="147"/>
      <c r="OTR278" s="147"/>
      <c r="OTS278" s="147"/>
      <c r="OTT278" s="147"/>
      <c r="OTU278" s="147"/>
      <c r="OTV278" s="147"/>
      <c r="OTW278" s="147"/>
      <c r="OTX278" s="147"/>
      <c r="OTY278" s="147"/>
      <c r="OTZ278" s="147"/>
      <c r="OUA278" s="147"/>
      <c r="OUB278" s="147"/>
      <c r="OUC278" s="147"/>
      <c r="OUD278" s="147"/>
      <c r="OUE278" s="147"/>
      <c r="OUF278" s="147"/>
      <c r="OUG278" s="147"/>
      <c r="OUH278" s="147"/>
      <c r="OUI278" s="147"/>
      <c r="OUJ278" s="147"/>
      <c r="OUK278" s="147"/>
      <c r="OUL278" s="147"/>
      <c r="OUM278" s="147"/>
      <c r="OUN278" s="147"/>
      <c r="OUO278" s="147"/>
      <c r="OUP278" s="147"/>
      <c r="OUQ278" s="147"/>
      <c r="OUR278" s="147"/>
      <c r="OUS278" s="147"/>
      <c r="OUT278" s="147"/>
      <c r="OUU278" s="147"/>
      <c r="OUV278" s="147"/>
      <c r="OUW278" s="147"/>
      <c r="OUX278" s="147"/>
      <c r="OUY278" s="147"/>
      <c r="OUZ278" s="147"/>
      <c r="OVA278" s="147"/>
      <c r="OVB278" s="147"/>
      <c r="OVC278" s="147"/>
      <c r="OVD278" s="147"/>
      <c r="OVE278" s="147"/>
      <c r="OVF278" s="147"/>
      <c r="OVG278" s="147"/>
      <c r="OVH278" s="147"/>
      <c r="OVI278" s="147"/>
      <c r="OVJ278" s="147"/>
      <c r="OVK278" s="147"/>
      <c r="OVL278" s="147"/>
      <c r="OVM278" s="147"/>
      <c r="OVN278" s="147"/>
      <c r="OVO278" s="147"/>
      <c r="OVP278" s="147"/>
      <c r="OVQ278" s="147"/>
      <c r="OVR278" s="147"/>
      <c r="OVS278" s="147"/>
      <c r="OVT278" s="147"/>
      <c r="OVU278" s="147"/>
      <c r="OVV278" s="147"/>
      <c r="OVW278" s="147"/>
      <c r="OVX278" s="147"/>
      <c r="OVY278" s="147"/>
      <c r="OVZ278" s="147"/>
      <c r="OWA278" s="147"/>
      <c r="OWB278" s="147"/>
      <c r="OWC278" s="147"/>
      <c r="OWD278" s="147"/>
      <c r="OWE278" s="147"/>
      <c r="OWF278" s="147"/>
      <c r="OWG278" s="147"/>
      <c r="OWH278" s="147"/>
      <c r="OWI278" s="147"/>
      <c r="OWJ278" s="147"/>
      <c r="OWK278" s="147"/>
      <c r="OWL278" s="147"/>
      <c r="OWM278" s="147"/>
      <c r="OWN278" s="147"/>
      <c r="OWO278" s="147"/>
      <c r="OWP278" s="147"/>
      <c r="OWQ278" s="147"/>
      <c r="OWR278" s="147"/>
      <c r="OWS278" s="147"/>
      <c r="OWT278" s="147"/>
      <c r="OWU278" s="147"/>
      <c r="OWV278" s="147"/>
      <c r="OWW278" s="147"/>
      <c r="OWX278" s="147"/>
      <c r="OWY278" s="147"/>
      <c r="OWZ278" s="147"/>
      <c r="OXA278" s="147"/>
      <c r="OXB278" s="147"/>
      <c r="OXC278" s="147"/>
      <c r="OXD278" s="147"/>
      <c r="OXE278" s="147"/>
      <c r="OXF278" s="147"/>
      <c r="OXG278" s="147"/>
      <c r="OXH278" s="147"/>
      <c r="OXI278" s="147"/>
      <c r="OXJ278" s="147"/>
      <c r="OXK278" s="147"/>
      <c r="OXL278" s="147"/>
      <c r="OXM278" s="147"/>
      <c r="OXN278" s="147"/>
      <c r="OXO278" s="147"/>
      <c r="OXP278" s="147"/>
      <c r="OXQ278" s="147"/>
      <c r="OXR278" s="147"/>
      <c r="OXS278" s="147"/>
      <c r="OXT278" s="147"/>
      <c r="OXU278" s="147"/>
      <c r="OXV278" s="147"/>
      <c r="OXW278" s="147"/>
      <c r="OXX278" s="147"/>
      <c r="OXY278" s="147"/>
      <c r="OXZ278" s="147"/>
      <c r="OYA278" s="147"/>
      <c r="OYB278" s="147"/>
      <c r="OYC278" s="147"/>
      <c r="OYD278" s="147"/>
      <c r="OYE278" s="147"/>
      <c r="OYF278" s="147"/>
      <c r="OYG278" s="147"/>
      <c r="OYH278" s="147"/>
      <c r="OYI278" s="147"/>
      <c r="OYJ278" s="147"/>
      <c r="OYK278" s="147"/>
      <c r="OYL278" s="147"/>
      <c r="OYM278" s="147"/>
      <c r="OYN278" s="147"/>
      <c r="OYO278" s="147"/>
      <c r="OYP278" s="147"/>
      <c r="OYQ278" s="147"/>
      <c r="OYR278" s="147"/>
      <c r="OYS278" s="147"/>
      <c r="OYT278" s="147"/>
      <c r="OYU278" s="147"/>
      <c r="OYV278" s="147"/>
      <c r="OYW278" s="147"/>
      <c r="OYX278" s="147"/>
      <c r="OYY278" s="147"/>
      <c r="OYZ278" s="147"/>
      <c r="OZA278" s="147"/>
      <c r="OZB278" s="147"/>
      <c r="OZC278" s="147"/>
      <c r="OZD278" s="147"/>
      <c r="OZE278" s="147"/>
      <c r="OZF278" s="147"/>
      <c r="OZG278" s="147"/>
      <c r="OZH278" s="147"/>
      <c r="OZI278" s="147"/>
      <c r="OZJ278" s="147"/>
      <c r="OZK278" s="147"/>
      <c r="OZL278" s="147"/>
      <c r="OZM278" s="147"/>
      <c r="OZN278" s="147"/>
      <c r="OZO278" s="147"/>
      <c r="OZP278" s="147"/>
      <c r="OZQ278" s="147"/>
      <c r="OZR278" s="147"/>
      <c r="OZS278" s="147"/>
      <c r="OZT278" s="147"/>
      <c r="OZU278" s="147"/>
      <c r="OZV278" s="147"/>
      <c r="OZW278" s="147"/>
      <c r="OZX278" s="147"/>
      <c r="OZY278" s="147"/>
      <c r="OZZ278" s="147"/>
      <c r="PAA278" s="147"/>
      <c r="PAB278" s="147"/>
      <c r="PAC278" s="147"/>
      <c r="PAD278" s="147"/>
      <c r="PAE278" s="147"/>
      <c r="PAF278" s="147"/>
      <c r="PAG278" s="147"/>
      <c r="PAH278" s="147"/>
      <c r="PAI278" s="147"/>
      <c r="PAJ278" s="147"/>
      <c r="PAK278" s="147"/>
      <c r="PAL278" s="147"/>
      <c r="PAM278" s="147"/>
      <c r="PAN278" s="147"/>
      <c r="PAO278" s="147"/>
      <c r="PAP278" s="147"/>
      <c r="PAQ278" s="147"/>
      <c r="PAR278" s="147"/>
      <c r="PAS278" s="147"/>
      <c r="PAT278" s="147"/>
      <c r="PAU278" s="147"/>
      <c r="PAV278" s="147"/>
      <c r="PAW278" s="147"/>
      <c r="PAX278" s="147"/>
      <c r="PAY278" s="147"/>
      <c r="PAZ278" s="147"/>
      <c r="PBA278" s="147"/>
      <c r="PBB278" s="147"/>
      <c r="PBC278" s="147"/>
      <c r="PBD278" s="147"/>
      <c r="PBE278" s="147"/>
      <c r="PBF278" s="147"/>
      <c r="PBG278" s="147"/>
      <c r="PBH278" s="147"/>
      <c r="PBI278" s="147"/>
      <c r="PBJ278" s="147"/>
      <c r="PBK278" s="147"/>
      <c r="PBL278" s="147"/>
      <c r="PBM278" s="147"/>
      <c r="PBN278" s="147"/>
      <c r="PBO278" s="147"/>
      <c r="PBP278" s="147"/>
      <c r="PBQ278" s="147"/>
      <c r="PBR278" s="147"/>
      <c r="PBS278" s="147"/>
      <c r="PBT278" s="147"/>
      <c r="PBU278" s="147"/>
      <c r="PBV278" s="147"/>
      <c r="PBW278" s="147"/>
      <c r="PBX278" s="147"/>
      <c r="PBY278" s="147"/>
      <c r="PBZ278" s="147"/>
      <c r="PCA278" s="147"/>
      <c r="PCB278" s="147"/>
      <c r="PCC278" s="147"/>
      <c r="PCD278" s="147"/>
      <c r="PCE278" s="147"/>
      <c r="PCF278" s="147"/>
      <c r="PCG278" s="147"/>
      <c r="PCH278" s="147"/>
      <c r="PCI278" s="147"/>
      <c r="PCJ278" s="147"/>
      <c r="PCK278" s="147"/>
      <c r="PCL278" s="147"/>
      <c r="PCM278" s="147"/>
      <c r="PCN278" s="147"/>
      <c r="PCO278" s="147"/>
      <c r="PCP278" s="147"/>
      <c r="PCQ278" s="147"/>
      <c r="PCR278" s="147"/>
      <c r="PCS278" s="147"/>
      <c r="PCT278" s="147"/>
      <c r="PCU278" s="147"/>
      <c r="PCV278" s="147"/>
      <c r="PCW278" s="147"/>
      <c r="PCX278" s="147"/>
      <c r="PCY278" s="147"/>
      <c r="PCZ278" s="147"/>
      <c r="PDA278" s="147"/>
      <c r="PDB278" s="147"/>
      <c r="PDC278" s="147"/>
      <c r="PDD278" s="147"/>
      <c r="PDE278" s="147"/>
      <c r="PDF278" s="147"/>
      <c r="PDG278" s="147"/>
      <c r="PDH278" s="147"/>
      <c r="PDI278" s="147"/>
      <c r="PDJ278" s="147"/>
      <c r="PDK278" s="147"/>
      <c r="PDL278" s="147"/>
      <c r="PDM278" s="147"/>
      <c r="PDN278" s="147"/>
      <c r="PDO278" s="147"/>
      <c r="PDP278" s="147"/>
      <c r="PDQ278" s="147"/>
      <c r="PDR278" s="147"/>
      <c r="PDS278" s="147"/>
      <c r="PDT278" s="147"/>
      <c r="PDU278" s="147"/>
      <c r="PDV278" s="147"/>
      <c r="PDW278" s="147"/>
      <c r="PDX278" s="147"/>
      <c r="PDY278" s="147"/>
      <c r="PDZ278" s="147"/>
      <c r="PEA278" s="147"/>
      <c r="PEB278" s="147"/>
      <c r="PEC278" s="147"/>
      <c r="PED278" s="147"/>
      <c r="PEE278" s="147"/>
      <c r="PEF278" s="147"/>
      <c r="PEG278" s="147"/>
      <c r="PEH278" s="147"/>
      <c r="PEI278" s="147"/>
      <c r="PEJ278" s="147"/>
      <c r="PEK278" s="147"/>
      <c r="PEL278" s="147"/>
      <c r="PEM278" s="147"/>
      <c r="PEN278" s="147"/>
      <c r="PEO278" s="147"/>
      <c r="PEP278" s="147"/>
      <c r="PEQ278" s="147"/>
      <c r="PER278" s="147"/>
      <c r="PES278" s="147"/>
      <c r="PET278" s="147"/>
      <c r="PEU278" s="147"/>
      <c r="PEV278" s="147"/>
      <c r="PEW278" s="147"/>
      <c r="PEX278" s="147"/>
      <c r="PEY278" s="147"/>
      <c r="PEZ278" s="147"/>
      <c r="PFA278" s="147"/>
      <c r="PFB278" s="147"/>
      <c r="PFC278" s="147"/>
      <c r="PFD278" s="147"/>
      <c r="PFE278" s="147"/>
      <c r="PFF278" s="147"/>
      <c r="PFG278" s="147"/>
      <c r="PFH278" s="147"/>
      <c r="PFI278" s="147"/>
      <c r="PFJ278" s="147"/>
      <c r="PFK278" s="147"/>
      <c r="PFL278" s="147"/>
      <c r="PFM278" s="147"/>
      <c r="PFN278" s="147"/>
      <c r="PFO278" s="147"/>
      <c r="PFP278" s="147"/>
      <c r="PFQ278" s="147"/>
      <c r="PFR278" s="147"/>
      <c r="PFS278" s="147"/>
      <c r="PFT278" s="147"/>
      <c r="PFU278" s="147"/>
      <c r="PFV278" s="147"/>
      <c r="PFW278" s="147"/>
      <c r="PFX278" s="147"/>
      <c r="PFY278" s="147"/>
      <c r="PFZ278" s="147"/>
      <c r="PGA278" s="147"/>
      <c r="PGB278" s="147"/>
      <c r="PGC278" s="147"/>
      <c r="PGD278" s="147"/>
      <c r="PGE278" s="147"/>
      <c r="PGF278" s="147"/>
      <c r="PGG278" s="147"/>
      <c r="PGH278" s="147"/>
      <c r="PGI278" s="147"/>
      <c r="PGJ278" s="147"/>
      <c r="PGK278" s="147"/>
      <c r="PGL278" s="147"/>
      <c r="PGM278" s="147"/>
      <c r="PGN278" s="147"/>
      <c r="PGO278" s="147"/>
      <c r="PGP278" s="147"/>
      <c r="PGQ278" s="147"/>
      <c r="PGR278" s="147"/>
      <c r="PGS278" s="147"/>
      <c r="PGT278" s="147"/>
      <c r="PGU278" s="147"/>
      <c r="PGV278" s="147"/>
      <c r="PGW278" s="147"/>
      <c r="PGX278" s="147"/>
      <c r="PGY278" s="147"/>
      <c r="PGZ278" s="147"/>
      <c r="PHA278" s="147"/>
      <c r="PHB278" s="147"/>
      <c r="PHC278" s="147"/>
      <c r="PHD278" s="147"/>
      <c r="PHE278" s="147"/>
      <c r="PHF278" s="147"/>
      <c r="PHG278" s="147"/>
      <c r="PHH278" s="147"/>
      <c r="PHI278" s="147"/>
      <c r="PHJ278" s="147"/>
      <c r="PHK278" s="147"/>
      <c r="PHL278" s="147"/>
      <c r="PHM278" s="147"/>
      <c r="PHN278" s="147"/>
      <c r="PHO278" s="147"/>
      <c r="PHP278" s="147"/>
      <c r="PHQ278" s="147"/>
      <c r="PHR278" s="147"/>
      <c r="PHS278" s="147"/>
      <c r="PHT278" s="147"/>
      <c r="PHU278" s="147"/>
      <c r="PHV278" s="147"/>
      <c r="PHW278" s="147"/>
      <c r="PHX278" s="147"/>
      <c r="PHY278" s="147"/>
      <c r="PHZ278" s="147"/>
      <c r="PIA278" s="147"/>
      <c r="PIB278" s="147"/>
      <c r="PIC278" s="147"/>
      <c r="PID278" s="147"/>
      <c r="PIE278" s="147"/>
      <c r="PIF278" s="147"/>
      <c r="PIG278" s="147"/>
      <c r="PIH278" s="147"/>
      <c r="PII278" s="147"/>
      <c r="PIJ278" s="147"/>
      <c r="PIK278" s="147"/>
      <c r="PIL278" s="147"/>
      <c r="PIM278" s="147"/>
      <c r="PIN278" s="147"/>
      <c r="PIO278" s="147"/>
      <c r="PIP278" s="147"/>
      <c r="PIQ278" s="147"/>
      <c r="PIR278" s="147"/>
      <c r="PIS278" s="147"/>
      <c r="PIT278" s="147"/>
      <c r="PIU278" s="147"/>
      <c r="PIV278" s="147"/>
      <c r="PIW278" s="147"/>
      <c r="PIX278" s="147"/>
      <c r="PIY278" s="147"/>
      <c r="PIZ278" s="147"/>
      <c r="PJA278" s="147"/>
      <c r="PJB278" s="147"/>
      <c r="PJC278" s="147"/>
      <c r="PJD278" s="147"/>
      <c r="PJE278" s="147"/>
      <c r="PJF278" s="147"/>
      <c r="PJG278" s="147"/>
      <c r="PJH278" s="147"/>
      <c r="PJI278" s="147"/>
      <c r="PJJ278" s="147"/>
      <c r="PJK278" s="147"/>
      <c r="PJL278" s="147"/>
      <c r="PJM278" s="147"/>
      <c r="PJN278" s="147"/>
      <c r="PJO278" s="147"/>
      <c r="PJP278" s="147"/>
      <c r="PJQ278" s="147"/>
      <c r="PJR278" s="147"/>
      <c r="PJS278" s="147"/>
      <c r="PJT278" s="147"/>
      <c r="PJU278" s="147"/>
      <c r="PJV278" s="147"/>
      <c r="PJW278" s="147"/>
      <c r="PJX278" s="147"/>
      <c r="PJY278" s="147"/>
      <c r="PJZ278" s="147"/>
      <c r="PKA278" s="147"/>
      <c r="PKB278" s="147"/>
      <c r="PKC278" s="147"/>
      <c r="PKD278" s="147"/>
      <c r="PKE278" s="147"/>
      <c r="PKF278" s="147"/>
      <c r="PKG278" s="147"/>
      <c r="PKH278" s="147"/>
      <c r="PKI278" s="147"/>
      <c r="PKJ278" s="147"/>
      <c r="PKK278" s="147"/>
      <c r="PKL278" s="147"/>
      <c r="PKM278" s="147"/>
      <c r="PKN278" s="147"/>
      <c r="PKO278" s="147"/>
      <c r="PKP278" s="147"/>
      <c r="PKQ278" s="147"/>
      <c r="PKR278" s="147"/>
      <c r="PKS278" s="147"/>
      <c r="PKT278" s="147"/>
      <c r="PKU278" s="147"/>
      <c r="PKV278" s="147"/>
      <c r="PKW278" s="147"/>
      <c r="PKX278" s="147"/>
      <c r="PKY278" s="147"/>
      <c r="PKZ278" s="147"/>
      <c r="PLA278" s="147"/>
      <c r="PLB278" s="147"/>
      <c r="PLC278" s="147"/>
      <c r="PLD278" s="147"/>
      <c r="PLE278" s="147"/>
      <c r="PLF278" s="147"/>
      <c r="PLG278" s="147"/>
      <c r="PLH278" s="147"/>
      <c r="PLI278" s="147"/>
      <c r="PLJ278" s="147"/>
      <c r="PLK278" s="147"/>
      <c r="PLL278" s="147"/>
      <c r="PLM278" s="147"/>
      <c r="PLN278" s="147"/>
      <c r="PLO278" s="147"/>
      <c r="PLP278" s="147"/>
      <c r="PLQ278" s="147"/>
      <c r="PLR278" s="147"/>
      <c r="PLS278" s="147"/>
      <c r="PLT278" s="147"/>
      <c r="PLU278" s="147"/>
      <c r="PLV278" s="147"/>
      <c r="PLW278" s="147"/>
      <c r="PLX278" s="147"/>
      <c r="PLY278" s="147"/>
      <c r="PLZ278" s="147"/>
      <c r="PMA278" s="147"/>
      <c r="PMB278" s="147"/>
      <c r="PMC278" s="147"/>
      <c r="PMD278" s="147"/>
      <c r="PME278" s="147"/>
      <c r="PMF278" s="147"/>
      <c r="PMG278" s="147"/>
      <c r="PMH278" s="147"/>
      <c r="PMI278" s="147"/>
      <c r="PMJ278" s="147"/>
      <c r="PMK278" s="147"/>
      <c r="PML278" s="147"/>
      <c r="PMM278" s="147"/>
      <c r="PMN278" s="147"/>
      <c r="PMO278" s="147"/>
      <c r="PMP278" s="147"/>
      <c r="PMQ278" s="147"/>
      <c r="PMR278" s="147"/>
      <c r="PMS278" s="147"/>
      <c r="PMT278" s="147"/>
      <c r="PMU278" s="147"/>
      <c r="PMV278" s="147"/>
      <c r="PMW278" s="147"/>
      <c r="PMX278" s="147"/>
      <c r="PMY278" s="147"/>
      <c r="PMZ278" s="147"/>
      <c r="PNA278" s="147"/>
      <c r="PNB278" s="147"/>
      <c r="PNC278" s="147"/>
      <c r="PND278" s="147"/>
      <c r="PNE278" s="147"/>
      <c r="PNF278" s="147"/>
      <c r="PNG278" s="147"/>
      <c r="PNH278" s="147"/>
      <c r="PNI278" s="147"/>
      <c r="PNJ278" s="147"/>
      <c r="PNK278" s="147"/>
      <c r="PNL278" s="147"/>
      <c r="PNM278" s="147"/>
      <c r="PNN278" s="147"/>
      <c r="PNO278" s="147"/>
      <c r="PNP278" s="147"/>
      <c r="PNQ278" s="147"/>
      <c r="PNR278" s="147"/>
      <c r="PNS278" s="147"/>
      <c r="PNT278" s="147"/>
      <c r="PNU278" s="147"/>
      <c r="PNV278" s="147"/>
      <c r="PNW278" s="147"/>
      <c r="PNX278" s="147"/>
      <c r="PNY278" s="147"/>
      <c r="PNZ278" s="147"/>
      <c r="POA278" s="147"/>
      <c r="POB278" s="147"/>
      <c r="POC278" s="147"/>
      <c r="POD278" s="147"/>
      <c r="POE278" s="147"/>
      <c r="POF278" s="147"/>
      <c r="POG278" s="147"/>
      <c r="POH278" s="147"/>
      <c r="POI278" s="147"/>
      <c r="POJ278" s="147"/>
      <c r="POK278" s="147"/>
      <c r="POL278" s="147"/>
      <c r="POM278" s="147"/>
      <c r="PON278" s="147"/>
      <c r="POO278" s="147"/>
      <c r="POP278" s="147"/>
      <c r="POQ278" s="147"/>
      <c r="POR278" s="147"/>
      <c r="POS278" s="147"/>
      <c r="POT278" s="147"/>
      <c r="POU278" s="147"/>
      <c r="POV278" s="147"/>
      <c r="POW278" s="147"/>
      <c r="POX278" s="147"/>
      <c r="POY278" s="147"/>
      <c r="POZ278" s="147"/>
      <c r="PPA278" s="147"/>
      <c r="PPB278" s="147"/>
      <c r="PPC278" s="147"/>
      <c r="PPD278" s="147"/>
      <c r="PPE278" s="147"/>
      <c r="PPF278" s="147"/>
      <c r="PPG278" s="147"/>
      <c r="PPH278" s="147"/>
      <c r="PPI278" s="147"/>
      <c r="PPJ278" s="147"/>
      <c r="PPK278" s="147"/>
      <c r="PPL278" s="147"/>
      <c r="PPM278" s="147"/>
      <c r="PPN278" s="147"/>
      <c r="PPO278" s="147"/>
      <c r="PPP278" s="147"/>
      <c r="PPQ278" s="147"/>
      <c r="PPR278" s="147"/>
      <c r="PPS278" s="147"/>
      <c r="PPT278" s="147"/>
      <c r="PPU278" s="147"/>
      <c r="PPV278" s="147"/>
      <c r="PPW278" s="147"/>
      <c r="PPX278" s="147"/>
      <c r="PPY278" s="147"/>
      <c r="PPZ278" s="147"/>
      <c r="PQA278" s="147"/>
      <c r="PQB278" s="147"/>
      <c r="PQC278" s="147"/>
      <c r="PQD278" s="147"/>
      <c r="PQE278" s="147"/>
      <c r="PQF278" s="147"/>
      <c r="PQG278" s="147"/>
      <c r="PQH278" s="147"/>
      <c r="PQI278" s="147"/>
      <c r="PQJ278" s="147"/>
      <c r="PQK278" s="147"/>
      <c r="PQL278" s="147"/>
      <c r="PQM278" s="147"/>
      <c r="PQN278" s="147"/>
      <c r="PQO278" s="147"/>
      <c r="PQP278" s="147"/>
      <c r="PQQ278" s="147"/>
      <c r="PQR278" s="147"/>
      <c r="PQS278" s="147"/>
      <c r="PQT278" s="147"/>
      <c r="PQU278" s="147"/>
      <c r="PQV278" s="147"/>
      <c r="PQW278" s="147"/>
      <c r="PQX278" s="147"/>
      <c r="PQY278" s="147"/>
      <c r="PQZ278" s="147"/>
      <c r="PRA278" s="147"/>
      <c r="PRB278" s="147"/>
      <c r="PRC278" s="147"/>
      <c r="PRD278" s="147"/>
      <c r="PRE278" s="147"/>
      <c r="PRF278" s="147"/>
      <c r="PRG278" s="147"/>
      <c r="PRH278" s="147"/>
      <c r="PRI278" s="147"/>
      <c r="PRJ278" s="147"/>
      <c r="PRK278" s="147"/>
      <c r="PRL278" s="147"/>
      <c r="PRM278" s="147"/>
      <c r="PRN278" s="147"/>
      <c r="PRO278" s="147"/>
      <c r="PRP278" s="147"/>
      <c r="PRQ278" s="147"/>
      <c r="PRR278" s="147"/>
      <c r="PRS278" s="147"/>
      <c r="PRT278" s="147"/>
      <c r="PRU278" s="147"/>
      <c r="PRV278" s="147"/>
      <c r="PRW278" s="147"/>
      <c r="PRX278" s="147"/>
      <c r="PRY278" s="147"/>
      <c r="PRZ278" s="147"/>
      <c r="PSA278" s="147"/>
      <c r="PSB278" s="147"/>
      <c r="PSC278" s="147"/>
      <c r="PSD278" s="147"/>
      <c r="PSE278" s="147"/>
      <c r="PSF278" s="147"/>
      <c r="PSG278" s="147"/>
      <c r="PSH278" s="147"/>
      <c r="PSI278" s="147"/>
      <c r="PSJ278" s="147"/>
      <c r="PSK278" s="147"/>
      <c r="PSL278" s="147"/>
      <c r="PSM278" s="147"/>
      <c r="PSN278" s="147"/>
      <c r="PSO278" s="147"/>
      <c r="PSP278" s="147"/>
      <c r="PSQ278" s="147"/>
      <c r="PSR278" s="147"/>
      <c r="PSS278" s="147"/>
      <c r="PST278" s="147"/>
      <c r="PSU278" s="147"/>
      <c r="PSV278" s="147"/>
      <c r="PSW278" s="147"/>
      <c r="PSX278" s="147"/>
      <c r="PSY278" s="147"/>
      <c r="PSZ278" s="147"/>
      <c r="PTA278" s="147"/>
      <c r="PTB278" s="147"/>
      <c r="PTC278" s="147"/>
      <c r="PTD278" s="147"/>
      <c r="PTE278" s="147"/>
      <c r="PTF278" s="147"/>
      <c r="PTG278" s="147"/>
      <c r="PTH278" s="147"/>
      <c r="PTI278" s="147"/>
      <c r="PTJ278" s="147"/>
      <c r="PTK278" s="147"/>
      <c r="PTL278" s="147"/>
      <c r="PTM278" s="147"/>
      <c r="PTN278" s="147"/>
      <c r="PTO278" s="147"/>
      <c r="PTP278" s="147"/>
      <c r="PTQ278" s="147"/>
      <c r="PTR278" s="147"/>
      <c r="PTS278" s="147"/>
      <c r="PTT278" s="147"/>
      <c r="PTU278" s="147"/>
      <c r="PTV278" s="147"/>
      <c r="PTW278" s="147"/>
      <c r="PTX278" s="147"/>
      <c r="PTY278" s="147"/>
      <c r="PTZ278" s="147"/>
      <c r="PUA278" s="147"/>
      <c r="PUB278" s="147"/>
      <c r="PUC278" s="147"/>
      <c r="PUD278" s="147"/>
      <c r="PUE278" s="147"/>
      <c r="PUF278" s="147"/>
      <c r="PUG278" s="147"/>
      <c r="PUH278" s="147"/>
      <c r="PUI278" s="147"/>
      <c r="PUJ278" s="147"/>
      <c r="PUK278" s="147"/>
      <c r="PUL278" s="147"/>
      <c r="PUM278" s="147"/>
      <c r="PUN278" s="147"/>
      <c r="PUO278" s="147"/>
      <c r="PUP278" s="147"/>
      <c r="PUQ278" s="147"/>
      <c r="PUR278" s="147"/>
      <c r="PUS278" s="147"/>
      <c r="PUT278" s="147"/>
      <c r="PUU278" s="147"/>
      <c r="PUV278" s="147"/>
      <c r="PUW278" s="147"/>
      <c r="PUX278" s="147"/>
      <c r="PUY278" s="147"/>
      <c r="PUZ278" s="147"/>
      <c r="PVA278" s="147"/>
      <c r="PVB278" s="147"/>
      <c r="PVC278" s="147"/>
      <c r="PVD278" s="147"/>
      <c r="PVE278" s="147"/>
      <c r="PVF278" s="147"/>
      <c r="PVG278" s="147"/>
      <c r="PVH278" s="147"/>
      <c r="PVI278" s="147"/>
      <c r="PVJ278" s="147"/>
      <c r="PVK278" s="147"/>
      <c r="PVL278" s="147"/>
      <c r="PVM278" s="147"/>
      <c r="PVN278" s="147"/>
      <c r="PVO278" s="147"/>
      <c r="PVP278" s="147"/>
      <c r="PVQ278" s="147"/>
      <c r="PVR278" s="147"/>
      <c r="PVS278" s="147"/>
      <c r="PVT278" s="147"/>
      <c r="PVU278" s="147"/>
      <c r="PVV278" s="147"/>
      <c r="PVW278" s="147"/>
      <c r="PVX278" s="147"/>
      <c r="PVY278" s="147"/>
      <c r="PVZ278" s="147"/>
      <c r="PWA278" s="147"/>
      <c r="PWB278" s="147"/>
      <c r="PWC278" s="147"/>
      <c r="PWD278" s="147"/>
      <c r="PWE278" s="147"/>
      <c r="PWF278" s="147"/>
      <c r="PWG278" s="147"/>
      <c r="PWH278" s="147"/>
      <c r="PWI278" s="147"/>
      <c r="PWJ278" s="147"/>
      <c r="PWK278" s="147"/>
      <c r="PWL278" s="147"/>
      <c r="PWM278" s="147"/>
      <c r="PWN278" s="147"/>
      <c r="PWO278" s="147"/>
      <c r="PWP278" s="147"/>
      <c r="PWQ278" s="147"/>
      <c r="PWR278" s="147"/>
      <c r="PWS278" s="147"/>
      <c r="PWT278" s="147"/>
      <c r="PWU278" s="147"/>
      <c r="PWV278" s="147"/>
      <c r="PWW278" s="147"/>
      <c r="PWX278" s="147"/>
      <c r="PWY278" s="147"/>
      <c r="PWZ278" s="147"/>
      <c r="PXA278" s="147"/>
      <c r="PXB278" s="147"/>
      <c r="PXC278" s="147"/>
      <c r="PXD278" s="147"/>
      <c r="PXE278" s="147"/>
      <c r="PXF278" s="147"/>
      <c r="PXG278" s="147"/>
      <c r="PXH278" s="147"/>
      <c r="PXI278" s="147"/>
      <c r="PXJ278" s="147"/>
      <c r="PXK278" s="147"/>
      <c r="PXL278" s="147"/>
      <c r="PXM278" s="147"/>
      <c r="PXN278" s="147"/>
      <c r="PXO278" s="147"/>
      <c r="PXP278" s="147"/>
      <c r="PXQ278" s="147"/>
      <c r="PXR278" s="147"/>
      <c r="PXS278" s="147"/>
      <c r="PXT278" s="147"/>
      <c r="PXU278" s="147"/>
      <c r="PXV278" s="147"/>
      <c r="PXW278" s="147"/>
      <c r="PXX278" s="147"/>
      <c r="PXY278" s="147"/>
      <c r="PXZ278" s="147"/>
      <c r="PYA278" s="147"/>
      <c r="PYB278" s="147"/>
      <c r="PYC278" s="147"/>
      <c r="PYD278" s="147"/>
      <c r="PYE278" s="147"/>
      <c r="PYF278" s="147"/>
      <c r="PYG278" s="147"/>
      <c r="PYH278" s="147"/>
      <c r="PYI278" s="147"/>
      <c r="PYJ278" s="147"/>
      <c r="PYK278" s="147"/>
      <c r="PYL278" s="147"/>
      <c r="PYM278" s="147"/>
      <c r="PYN278" s="147"/>
      <c r="PYO278" s="147"/>
      <c r="PYP278" s="147"/>
      <c r="PYQ278" s="147"/>
      <c r="PYR278" s="147"/>
      <c r="PYS278" s="147"/>
      <c r="PYT278" s="147"/>
      <c r="PYU278" s="147"/>
      <c r="PYV278" s="147"/>
      <c r="PYW278" s="147"/>
      <c r="PYX278" s="147"/>
      <c r="PYY278" s="147"/>
      <c r="PYZ278" s="147"/>
      <c r="PZA278" s="147"/>
      <c r="PZB278" s="147"/>
      <c r="PZC278" s="147"/>
      <c r="PZD278" s="147"/>
      <c r="PZE278" s="147"/>
      <c r="PZF278" s="147"/>
      <c r="PZG278" s="147"/>
      <c r="PZH278" s="147"/>
      <c r="PZI278" s="147"/>
      <c r="PZJ278" s="147"/>
      <c r="PZK278" s="147"/>
      <c r="PZL278" s="147"/>
      <c r="PZM278" s="147"/>
      <c r="PZN278" s="147"/>
      <c r="PZO278" s="147"/>
      <c r="PZP278" s="147"/>
      <c r="PZQ278" s="147"/>
      <c r="PZR278" s="147"/>
      <c r="PZS278" s="147"/>
      <c r="PZT278" s="147"/>
      <c r="PZU278" s="147"/>
      <c r="PZV278" s="147"/>
      <c r="PZW278" s="147"/>
      <c r="PZX278" s="147"/>
      <c r="PZY278" s="147"/>
      <c r="PZZ278" s="147"/>
      <c r="QAA278" s="147"/>
      <c r="QAB278" s="147"/>
      <c r="QAC278" s="147"/>
      <c r="QAD278" s="147"/>
      <c r="QAE278" s="147"/>
      <c r="QAF278" s="147"/>
      <c r="QAG278" s="147"/>
      <c r="QAH278" s="147"/>
      <c r="QAI278" s="147"/>
      <c r="QAJ278" s="147"/>
      <c r="QAK278" s="147"/>
      <c r="QAL278" s="147"/>
      <c r="QAM278" s="147"/>
      <c r="QAN278" s="147"/>
      <c r="QAO278" s="147"/>
      <c r="QAP278" s="147"/>
      <c r="QAQ278" s="147"/>
      <c r="QAR278" s="147"/>
      <c r="QAS278" s="147"/>
      <c r="QAT278" s="147"/>
      <c r="QAU278" s="147"/>
      <c r="QAV278" s="147"/>
      <c r="QAW278" s="147"/>
      <c r="QAX278" s="147"/>
      <c r="QAY278" s="147"/>
      <c r="QAZ278" s="147"/>
      <c r="QBA278" s="147"/>
      <c r="QBB278" s="147"/>
      <c r="QBC278" s="147"/>
      <c r="QBD278" s="147"/>
      <c r="QBE278" s="147"/>
      <c r="QBF278" s="147"/>
      <c r="QBG278" s="147"/>
      <c r="QBH278" s="147"/>
      <c r="QBI278" s="147"/>
      <c r="QBJ278" s="147"/>
      <c r="QBK278" s="147"/>
      <c r="QBL278" s="147"/>
      <c r="QBM278" s="147"/>
      <c r="QBN278" s="147"/>
      <c r="QBO278" s="147"/>
      <c r="QBP278" s="147"/>
      <c r="QBQ278" s="147"/>
      <c r="QBR278" s="147"/>
      <c r="QBS278" s="147"/>
      <c r="QBT278" s="147"/>
      <c r="QBU278" s="147"/>
      <c r="QBV278" s="147"/>
      <c r="QBW278" s="147"/>
      <c r="QBX278" s="147"/>
      <c r="QBY278" s="147"/>
      <c r="QBZ278" s="147"/>
      <c r="QCA278" s="147"/>
      <c r="QCB278" s="147"/>
      <c r="QCC278" s="147"/>
      <c r="QCD278" s="147"/>
      <c r="QCE278" s="147"/>
      <c r="QCF278" s="147"/>
      <c r="QCG278" s="147"/>
      <c r="QCH278" s="147"/>
      <c r="QCI278" s="147"/>
      <c r="QCJ278" s="147"/>
      <c r="QCK278" s="147"/>
      <c r="QCL278" s="147"/>
      <c r="QCM278" s="147"/>
      <c r="QCN278" s="147"/>
      <c r="QCO278" s="147"/>
      <c r="QCP278" s="147"/>
      <c r="QCQ278" s="147"/>
      <c r="QCR278" s="147"/>
      <c r="QCS278" s="147"/>
      <c r="QCT278" s="147"/>
      <c r="QCU278" s="147"/>
      <c r="QCV278" s="147"/>
      <c r="QCW278" s="147"/>
      <c r="QCX278" s="147"/>
      <c r="QCY278" s="147"/>
      <c r="QCZ278" s="147"/>
      <c r="QDA278" s="147"/>
      <c r="QDB278" s="147"/>
      <c r="QDC278" s="147"/>
      <c r="QDD278" s="147"/>
      <c r="QDE278" s="147"/>
      <c r="QDF278" s="147"/>
      <c r="QDG278" s="147"/>
      <c r="QDH278" s="147"/>
      <c r="QDI278" s="147"/>
      <c r="QDJ278" s="147"/>
      <c r="QDK278" s="147"/>
      <c r="QDL278" s="147"/>
      <c r="QDM278" s="147"/>
      <c r="QDN278" s="147"/>
      <c r="QDO278" s="147"/>
      <c r="QDP278" s="147"/>
      <c r="QDQ278" s="147"/>
      <c r="QDR278" s="147"/>
      <c r="QDS278" s="147"/>
      <c r="QDT278" s="147"/>
      <c r="QDU278" s="147"/>
      <c r="QDV278" s="147"/>
      <c r="QDW278" s="147"/>
      <c r="QDX278" s="147"/>
      <c r="QDY278" s="147"/>
      <c r="QDZ278" s="147"/>
      <c r="QEA278" s="147"/>
      <c r="QEB278" s="147"/>
      <c r="QEC278" s="147"/>
      <c r="QED278" s="147"/>
      <c r="QEE278" s="147"/>
      <c r="QEF278" s="147"/>
      <c r="QEG278" s="147"/>
      <c r="QEH278" s="147"/>
      <c r="QEI278" s="147"/>
      <c r="QEJ278" s="147"/>
      <c r="QEK278" s="147"/>
      <c r="QEL278" s="147"/>
      <c r="QEM278" s="147"/>
      <c r="QEN278" s="147"/>
      <c r="QEO278" s="147"/>
      <c r="QEP278" s="147"/>
      <c r="QEQ278" s="147"/>
      <c r="QER278" s="147"/>
      <c r="QES278" s="147"/>
      <c r="QET278" s="147"/>
      <c r="QEU278" s="147"/>
      <c r="QEV278" s="147"/>
      <c r="QEW278" s="147"/>
      <c r="QEX278" s="147"/>
      <c r="QEY278" s="147"/>
      <c r="QEZ278" s="147"/>
      <c r="QFA278" s="147"/>
      <c r="QFB278" s="147"/>
      <c r="QFC278" s="147"/>
      <c r="QFD278" s="147"/>
      <c r="QFE278" s="147"/>
      <c r="QFF278" s="147"/>
      <c r="QFG278" s="147"/>
      <c r="QFH278" s="147"/>
      <c r="QFI278" s="147"/>
      <c r="QFJ278" s="147"/>
      <c r="QFK278" s="147"/>
      <c r="QFL278" s="147"/>
      <c r="QFM278" s="147"/>
      <c r="QFN278" s="147"/>
      <c r="QFO278" s="147"/>
      <c r="QFP278" s="147"/>
      <c r="QFQ278" s="147"/>
      <c r="QFR278" s="147"/>
      <c r="QFS278" s="147"/>
      <c r="QFT278" s="147"/>
      <c r="QFU278" s="147"/>
      <c r="QFV278" s="147"/>
      <c r="QFW278" s="147"/>
      <c r="QFX278" s="147"/>
      <c r="QFY278" s="147"/>
      <c r="QFZ278" s="147"/>
      <c r="QGA278" s="147"/>
      <c r="QGB278" s="147"/>
      <c r="QGC278" s="147"/>
      <c r="QGD278" s="147"/>
      <c r="QGE278" s="147"/>
      <c r="QGF278" s="147"/>
      <c r="QGG278" s="147"/>
      <c r="QGH278" s="147"/>
      <c r="QGI278" s="147"/>
      <c r="QGJ278" s="147"/>
      <c r="QGK278" s="147"/>
      <c r="QGL278" s="147"/>
      <c r="QGM278" s="147"/>
      <c r="QGN278" s="147"/>
      <c r="QGO278" s="147"/>
      <c r="QGP278" s="147"/>
      <c r="QGQ278" s="147"/>
      <c r="QGR278" s="147"/>
      <c r="QGS278" s="147"/>
      <c r="QGT278" s="147"/>
      <c r="QGU278" s="147"/>
      <c r="QGV278" s="147"/>
      <c r="QGW278" s="147"/>
      <c r="QGX278" s="147"/>
      <c r="QGY278" s="147"/>
      <c r="QGZ278" s="147"/>
      <c r="QHA278" s="147"/>
      <c r="QHB278" s="147"/>
      <c r="QHC278" s="147"/>
      <c r="QHD278" s="147"/>
      <c r="QHE278" s="147"/>
      <c r="QHF278" s="147"/>
      <c r="QHG278" s="147"/>
      <c r="QHH278" s="147"/>
      <c r="QHI278" s="147"/>
      <c r="QHJ278" s="147"/>
      <c r="QHK278" s="147"/>
      <c r="QHL278" s="147"/>
      <c r="QHM278" s="147"/>
      <c r="QHN278" s="147"/>
      <c r="QHO278" s="147"/>
      <c r="QHP278" s="147"/>
      <c r="QHQ278" s="147"/>
      <c r="QHR278" s="147"/>
      <c r="QHS278" s="147"/>
      <c r="QHT278" s="147"/>
      <c r="QHU278" s="147"/>
      <c r="QHV278" s="147"/>
      <c r="QHW278" s="147"/>
      <c r="QHX278" s="147"/>
      <c r="QHY278" s="147"/>
      <c r="QHZ278" s="147"/>
      <c r="QIA278" s="147"/>
      <c r="QIB278" s="147"/>
      <c r="QIC278" s="147"/>
      <c r="QID278" s="147"/>
      <c r="QIE278" s="147"/>
      <c r="QIF278" s="147"/>
      <c r="QIG278" s="147"/>
      <c r="QIH278" s="147"/>
      <c r="QII278" s="147"/>
      <c r="QIJ278" s="147"/>
      <c r="QIK278" s="147"/>
      <c r="QIL278" s="147"/>
      <c r="QIM278" s="147"/>
      <c r="QIN278" s="147"/>
      <c r="QIO278" s="147"/>
      <c r="QIP278" s="147"/>
      <c r="QIQ278" s="147"/>
      <c r="QIR278" s="147"/>
      <c r="QIS278" s="147"/>
      <c r="QIT278" s="147"/>
      <c r="QIU278" s="147"/>
      <c r="QIV278" s="147"/>
      <c r="QIW278" s="147"/>
      <c r="QIX278" s="147"/>
      <c r="QIY278" s="147"/>
      <c r="QIZ278" s="147"/>
      <c r="QJA278" s="147"/>
      <c r="QJB278" s="147"/>
      <c r="QJC278" s="147"/>
      <c r="QJD278" s="147"/>
      <c r="QJE278" s="147"/>
      <c r="QJF278" s="147"/>
      <c r="QJG278" s="147"/>
      <c r="QJH278" s="147"/>
      <c r="QJI278" s="147"/>
      <c r="QJJ278" s="147"/>
      <c r="QJK278" s="147"/>
      <c r="QJL278" s="147"/>
      <c r="QJM278" s="147"/>
      <c r="QJN278" s="147"/>
      <c r="QJO278" s="147"/>
      <c r="QJP278" s="147"/>
      <c r="QJQ278" s="147"/>
      <c r="QJR278" s="147"/>
      <c r="QJS278" s="147"/>
      <c r="QJT278" s="147"/>
      <c r="QJU278" s="147"/>
      <c r="QJV278" s="147"/>
      <c r="QJW278" s="147"/>
      <c r="QJX278" s="147"/>
      <c r="QJY278" s="147"/>
      <c r="QJZ278" s="147"/>
      <c r="QKA278" s="147"/>
      <c r="QKB278" s="147"/>
      <c r="QKC278" s="147"/>
      <c r="QKD278" s="147"/>
      <c r="QKE278" s="147"/>
      <c r="QKF278" s="147"/>
      <c r="QKG278" s="147"/>
      <c r="QKH278" s="147"/>
      <c r="QKI278" s="147"/>
      <c r="QKJ278" s="147"/>
      <c r="QKK278" s="147"/>
      <c r="QKL278" s="147"/>
      <c r="QKM278" s="147"/>
      <c r="QKN278" s="147"/>
      <c r="QKO278" s="147"/>
      <c r="QKP278" s="147"/>
      <c r="QKQ278" s="147"/>
      <c r="QKR278" s="147"/>
      <c r="QKS278" s="147"/>
      <c r="QKT278" s="147"/>
      <c r="QKU278" s="147"/>
      <c r="QKV278" s="147"/>
      <c r="QKW278" s="147"/>
      <c r="QKX278" s="147"/>
      <c r="QKY278" s="147"/>
      <c r="QKZ278" s="147"/>
      <c r="QLA278" s="147"/>
      <c r="QLB278" s="147"/>
      <c r="QLC278" s="147"/>
      <c r="QLD278" s="147"/>
      <c r="QLE278" s="147"/>
      <c r="QLF278" s="147"/>
      <c r="QLG278" s="147"/>
      <c r="QLH278" s="147"/>
      <c r="QLI278" s="147"/>
      <c r="QLJ278" s="147"/>
      <c r="QLK278" s="147"/>
      <c r="QLL278" s="147"/>
      <c r="QLM278" s="147"/>
      <c r="QLN278" s="147"/>
      <c r="QLO278" s="147"/>
      <c r="QLP278" s="147"/>
      <c r="QLQ278" s="147"/>
      <c r="QLR278" s="147"/>
      <c r="QLS278" s="147"/>
      <c r="QLT278" s="147"/>
      <c r="QLU278" s="147"/>
      <c r="QLV278" s="147"/>
      <c r="QLW278" s="147"/>
      <c r="QLX278" s="147"/>
      <c r="QLY278" s="147"/>
      <c r="QLZ278" s="147"/>
      <c r="QMA278" s="147"/>
      <c r="QMB278" s="147"/>
      <c r="QMC278" s="147"/>
      <c r="QMD278" s="147"/>
      <c r="QME278" s="147"/>
      <c r="QMF278" s="147"/>
      <c r="QMG278" s="147"/>
      <c r="QMH278" s="147"/>
      <c r="QMI278" s="147"/>
      <c r="QMJ278" s="147"/>
      <c r="QMK278" s="147"/>
      <c r="QML278" s="147"/>
      <c r="QMM278" s="147"/>
      <c r="QMN278" s="147"/>
      <c r="QMO278" s="147"/>
      <c r="QMP278" s="147"/>
      <c r="QMQ278" s="147"/>
      <c r="QMR278" s="147"/>
      <c r="QMS278" s="147"/>
      <c r="QMT278" s="147"/>
      <c r="QMU278" s="147"/>
      <c r="QMV278" s="147"/>
      <c r="QMW278" s="147"/>
      <c r="QMX278" s="147"/>
      <c r="QMY278" s="147"/>
      <c r="QMZ278" s="147"/>
      <c r="QNA278" s="147"/>
      <c r="QNB278" s="147"/>
      <c r="QNC278" s="147"/>
      <c r="QND278" s="147"/>
      <c r="QNE278" s="147"/>
      <c r="QNF278" s="147"/>
      <c r="QNG278" s="147"/>
      <c r="QNH278" s="147"/>
      <c r="QNI278" s="147"/>
      <c r="QNJ278" s="147"/>
      <c r="QNK278" s="147"/>
      <c r="QNL278" s="147"/>
      <c r="QNM278" s="147"/>
      <c r="QNN278" s="147"/>
      <c r="QNO278" s="147"/>
      <c r="QNP278" s="147"/>
      <c r="QNQ278" s="147"/>
      <c r="QNR278" s="147"/>
      <c r="QNS278" s="147"/>
      <c r="QNT278" s="147"/>
      <c r="QNU278" s="147"/>
      <c r="QNV278" s="147"/>
      <c r="QNW278" s="147"/>
      <c r="QNX278" s="147"/>
      <c r="QNY278" s="147"/>
      <c r="QNZ278" s="147"/>
      <c r="QOA278" s="147"/>
      <c r="QOB278" s="147"/>
      <c r="QOC278" s="147"/>
      <c r="QOD278" s="147"/>
      <c r="QOE278" s="147"/>
      <c r="QOF278" s="147"/>
      <c r="QOG278" s="147"/>
      <c r="QOH278" s="147"/>
      <c r="QOI278" s="147"/>
      <c r="QOJ278" s="147"/>
      <c r="QOK278" s="147"/>
      <c r="QOL278" s="147"/>
      <c r="QOM278" s="147"/>
      <c r="QON278" s="147"/>
      <c r="QOO278" s="147"/>
      <c r="QOP278" s="147"/>
      <c r="QOQ278" s="147"/>
      <c r="QOR278" s="147"/>
      <c r="QOS278" s="147"/>
      <c r="QOT278" s="147"/>
      <c r="QOU278" s="147"/>
      <c r="QOV278" s="147"/>
      <c r="QOW278" s="147"/>
      <c r="QOX278" s="147"/>
      <c r="QOY278" s="147"/>
      <c r="QOZ278" s="147"/>
      <c r="QPA278" s="147"/>
      <c r="QPB278" s="147"/>
      <c r="QPC278" s="147"/>
      <c r="QPD278" s="147"/>
      <c r="QPE278" s="147"/>
      <c r="QPF278" s="147"/>
      <c r="QPG278" s="147"/>
      <c r="QPH278" s="147"/>
      <c r="QPI278" s="147"/>
      <c r="QPJ278" s="147"/>
      <c r="QPK278" s="147"/>
      <c r="QPL278" s="147"/>
      <c r="QPM278" s="147"/>
      <c r="QPN278" s="147"/>
      <c r="QPO278" s="147"/>
      <c r="QPP278" s="147"/>
      <c r="QPQ278" s="147"/>
      <c r="QPR278" s="147"/>
      <c r="QPS278" s="147"/>
      <c r="QPT278" s="147"/>
      <c r="QPU278" s="147"/>
      <c r="QPV278" s="147"/>
      <c r="QPW278" s="147"/>
      <c r="QPX278" s="147"/>
      <c r="QPY278" s="147"/>
      <c r="QPZ278" s="147"/>
      <c r="QQA278" s="147"/>
      <c r="QQB278" s="147"/>
      <c r="QQC278" s="147"/>
      <c r="QQD278" s="147"/>
      <c r="QQE278" s="147"/>
      <c r="QQF278" s="147"/>
      <c r="QQG278" s="147"/>
      <c r="QQH278" s="147"/>
      <c r="QQI278" s="147"/>
      <c r="QQJ278" s="147"/>
      <c r="QQK278" s="147"/>
      <c r="QQL278" s="147"/>
      <c r="QQM278" s="147"/>
      <c r="QQN278" s="147"/>
      <c r="QQO278" s="147"/>
      <c r="QQP278" s="147"/>
      <c r="QQQ278" s="147"/>
      <c r="QQR278" s="147"/>
      <c r="QQS278" s="147"/>
      <c r="QQT278" s="147"/>
      <c r="QQU278" s="147"/>
      <c r="QQV278" s="147"/>
      <c r="QQW278" s="147"/>
      <c r="QQX278" s="147"/>
      <c r="QQY278" s="147"/>
      <c r="QQZ278" s="147"/>
      <c r="QRA278" s="147"/>
      <c r="QRB278" s="147"/>
      <c r="QRC278" s="147"/>
      <c r="QRD278" s="147"/>
      <c r="QRE278" s="147"/>
      <c r="QRF278" s="147"/>
      <c r="QRG278" s="147"/>
      <c r="QRH278" s="147"/>
      <c r="QRI278" s="147"/>
      <c r="QRJ278" s="147"/>
      <c r="QRK278" s="147"/>
      <c r="QRL278" s="147"/>
      <c r="QRM278" s="147"/>
      <c r="QRN278" s="147"/>
      <c r="QRO278" s="147"/>
      <c r="QRP278" s="147"/>
      <c r="QRQ278" s="147"/>
      <c r="QRR278" s="147"/>
      <c r="QRS278" s="147"/>
      <c r="QRT278" s="147"/>
      <c r="QRU278" s="147"/>
      <c r="QRV278" s="147"/>
      <c r="QRW278" s="147"/>
      <c r="QRX278" s="147"/>
      <c r="QRY278" s="147"/>
      <c r="QRZ278" s="147"/>
      <c r="QSA278" s="147"/>
      <c r="QSB278" s="147"/>
      <c r="QSC278" s="147"/>
      <c r="QSD278" s="147"/>
      <c r="QSE278" s="147"/>
      <c r="QSF278" s="147"/>
      <c r="QSG278" s="147"/>
      <c r="QSH278" s="147"/>
      <c r="QSI278" s="147"/>
      <c r="QSJ278" s="147"/>
      <c r="QSK278" s="147"/>
      <c r="QSL278" s="147"/>
      <c r="QSM278" s="147"/>
      <c r="QSN278" s="147"/>
      <c r="QSO278" s="147"/>
      <c r="QSP278" s="147"/>
      <c r="QSQ278" s="147"/>
      <c r="QSR278" s="147"/>
      <c r="QSS278" s="147"/>
      <c r="QST278" s="147"/>
      <c r="QSU278" s="147"/>
      <c r="QSV278" s="147"/>
      <c r="QSW278" s="147"/>
      <c r="QSX278" s="147"/>
      <c r="QSY278" s="147"/>
      <c r="QSZ278" s="147"/>
      <c r="QTA278" s="147"/>
      <c r="QTB278" s="147"/>
      <c r="QTC278" s="147"/>
      <c r="QTD278" s="147"/>
      <c r="QTE278" s="147"/>
      <c r="QTF278" s="147"/>
      <c r="QTG278" s="147"/>
      <c r="QTH278" s="147"/>
      <c r="QTI278" s="147"/>
      <c r="QTJ278" s="147"/>
      <c r="QTK278" s="147"/>
      <c r="QTL278" s="147"/>
      <c r="QTM278" s="147"/>
      <c r="QTN278" s="147"/>
      <c r="QTO278" s="147"/>
      <c r="QTP278" s="147"/>
      <c r="QTQ278" s="147"/>
      <c r="QTR278" s="147"/>
      <c r="QTS278" s="147"/>
      <c r="QTT278" s="147"/>
      <c r="QTU278" s="147"/>
      <c r="QTV278" s="147"/>
      <c r="QTW278" s="147"/>
      <c r="QTX278" s="147"/>
      <c r="QTY278" s="147"/>
      <c r="QTZ278" s="147"/>
      <c r="QUA278" s="147"/>
      <c r="QUB278" s="147"/>
      <c r="QUC278" s="147"/>
      <c r="QUD278" s="147"/>
      <c r="QUE278" s="147"/>
      <c r="QUF278" s="147"/>
      <c r="QUG278" s="147"/>
      <c r="QUH278" s="147"/>
      <c r="QUI278" s="147"/>
      <c r="QUJ278" s="147"/>
      <c r="QUK278" s="147"/>
      <c r="QUL278" s="147"/>
      <c r="QUM278" s="147"/>
      <c r="QUN278" s="147"/>
      <c r="QUO278" s="147"/>
      <c r="QUP278" s="147"/>
      <c r="QUQ278" s="147"/>
      <c r="QUR278" s="147"/>
      <c r="QUS278" s="147"/>
      <c r="QUT278" s="147"/>
      <c r="QUU278" s="147"/>
      <c r="QUV278" s="147"/>
      <c r="QUW278" s="147"/>
      <c r="QUX278" s="147"/>
      <c r="QUY278" s="147"/>
      <c r="QUZ278" s="147"/>
      <c r="QVA278" s="147"/>
      <c r="QVB278" s="147"/>
      <c r="QVC278" s="147"/>
      <c r="QVD278" s="147"/>
      <c r="QVE278" s="147"/>
      <c r="QVF278" s="147"/>
      <c r="QVG278" s="147"/>
      <c r="QVH278" s="147"/>
      <c r="QVI278" s="147"/>
      <c r="QVJ278" s="147"/>
      <c r="QVK278" s="147"/>
      <c r="QVL278" s="147"/>
      <c r="QVM278" s="147"/>
      <c r="QVN278" s="147"/>
      <c r="QVO278" s="147"/>
      <c r="QVP278" s="147"/>
      <c r="QVQ278" s="147"/>
      <c r="QVR278" s="147"/>
      <c r="QVS278" s="147"/>
      <c r="QVT278" s="147"/>
      <c r="QVU278" s="147"/>
      <c r="QVV278" s="147"/>
      <c r="QVW278" s="147"/>
      <c r="QVX278" s="147"/>
      <c r="QVY278" s="147"/>
      <c r="QVZ278" s="147"/>
      <c r="QWA278" s="147"/>
      <c r="QWB278" s="147"/>
      <c r="QWC278" s="147"/>
      <c r="QWD278" s="147"/>
      <c r="QWE278" s="147"/>
      <c r="QWF278" s="147"/>
      <c r="QWG278" s="147"/>
      <c r="QWH278" s="147"/>
      <c r="QWI278" s="147"/>
      <c r="QWJ278" s="147"/>
      <c r="QWK278" s="147"/>
      <c r="QWL278" s="147"/>
      <c r="QWM278" s="147"/>
      <c r="QWN278" s="147"/>
      <c r="QWO278" s="147"/>
      <c r="QWP278" s="147"/>
      <c r="QWQ278" s="147"/>
      <c r="QWR278" s="147"/>
      <c r="QWS278" s="147"/>
      <c r="QWT278" s="147"/>
      <c r="QWU278" s="147"/>
      <c r="QWV278" s="147"/>
      <c r="QWW278" s="147"/>
      <c r="QWX278" s="147"/>
      <c r="QWY278" s="147"/>
      <c r="QWZ278" s="147"/>
      <c r="QXA278" s="147"/>
      <c r="QXB278" s="147"/>
      <c r="QXC278" s="147"/>
      <c r="QXD278" s="147"/>
      <c r="QXE278" s="147"/>
      <c r="QXF278" s="147"/>
      <c r="QXG278" s="147"/>
      <c r="QXH278" s="147"/>
      <c r="QXI278" s="147"/>
      <c r="QXJ278" s="147"/>
      <c r="QXK278" s="147"/>
      <c r="QXL278" s="147"/>
      <c r="QXM278" s="147"/>
      <c r="QXN278" s="147"/>
      <c r="QXO278" s="147"/>
      <c r="QXP278" s="147"/>
      <c r="QXQ278" s="147"/>
      <c r="QXR278" s="147"/>
      <c r="QXS278" s="147"/>
      <c r="QXT278" s="147"/>
      <c r="QXU278" s="147"/>
      <c r="QXV278" s="147"/>
      <c r="QXW278" s="147"/>
      <c r="QXX278" s="147"/>
      <c r="QXY278" s="147"/>
      <c r="QXZ278" s="147"/>
      <c r="QYA278" s="147"/>
      <c r="QYB278" s="147"/>
      <c r="QYC278" s="147"/>
      <c r="QYD278" s="147"/>
      <c r="QYE278" s="147"/>
      <c r="QYF278" s="147"/>
      <c r="QYG278" s="147"/>
      <c r="QYH278" s="147"/>
      <c r="QYI278" s="147"/>
      <c r="QYJ278" s="147"/>
      <c r="QYK278" s="147"/>
      <c r="QYL278" s="147"/>
      <c r="QYM278" s="147"/>
      <c r="QYN278" s="147"/>
      <c r="QYO278" s="147"/>
      <c r="QYP278" s="147"/>
      <c r="QYQ278" s="147"/>
      <c r="QYR278" s="147"/>
      <c r="QYS278" s="147"/>
      <c r="QYT278" s="147"/>
      <c r="QYU278" s="147"/>
      <c r="QYV278" s="147"/>
      <c r="QYW278" s="147"/>
      <c r="QYX278" s="147"/>
      <c r="QYY278" s="147"/>
      <c r="QYZ278" s="147"/>
      <c r="QZA278" s="147"/>
      <c r="QZB278" s="147"/>
      <c r="QZC278" s="147"/>
      <c r="QZD278" s="147"/>
      <c r="QZE278" s="147"/>
      <c r="QZF278" s="147"/>
      <c r="QZG278" s="147"/>
      <c r="QZH278" s="147"/>
      <c r="QZI278" s="147"/>
      <c r="QZJ278" s="147"/>
      <c r="QZK278" s="147"/>
      <c r="QZL278" s="147"/>
      <c r="QZM278" s="147"/>
      <c r="QZN278" s="147"/>
      <c r="QZO278" s="147"/>
      <c r="QZP278" s="147"/>
      <c r="QZQ278" s="147"/>
      <c r="QZR278" s="147"/>
      <c r="QZS278" s="147"/>
      <c r="QZT278" s="147"/>
      <c r="QZU278" s="147"/>
      <c r="QZV278" s="147"/>
      <c r="QZW278" s="147"/>
      <c r="QZX278" s="147"/>
      <c r="QZY278" s="147"/>
      <c r="QZZ278" s="147"/>
      <c r="RAA278" s="147"/>
      <c r="RAB278" s="147"/>
      <c r="RAC278" s="147"/>
      <c r="RAD278" s="147"/>
      <c r="RAE278" s="147"/>
      <c r="RAF278" s="147"/>
      <c r="RAG278" s="147"/>
      <c r="RAH278" s="147"/>
      <c r="RAI278" s="147"/>
      <c r="RAJ278" s="147"/>
      <c r="RAK278" s="147"/>
      <c r="RAL278" s="147"/>
      <c r="RAM278" s="147"/>
      <c r="RAN278" s="147"/>
      <c r="RAO278" s="147"/>
      <c r="RAP278" s="147"/>
      <c r="RAQ278" s="147"/>
      <c r="RAR278" s="147"/>
      <c r="RAS278" s="147"/>
      <c r="RAT278" s="147"/>
      <c r="RAU278" s="147"/>
      <c r="RAV278" s="147"/>
      <c r="RAW278" s="147"/>
      <c r="RAX278" s="147"/>
      <c r="RAY278" s="147"/>
      <c r="RAZ278" s="147"/>
      <c r="RBA278" s="147"/>
      <c r="RBB278" s="147"/>
      <c r="RBC278" s="147"/>
      <c r="RBD278" s="147"/>
      <c r="RBE278" s="147"/>
      <c r="RBF278" s="147"/>
      <c r="RBG278" s="147"/>
      <c r="RBH278" s="147"/>
      <c r="RBI278" s="147"/>
      <c r="RBJ278" s="147"/>
      <c r="RBK278" s="147"/>
      <c r="RBL278" s="147"/>
      <c r="RBM278" s="147"/>
      <c r="RBN278" s="147"/>
      <c r="RBO278" s="147"/>
      <c r="RBP278" s="147"/>
      <c r="RBQ278" s="147"/>
      <c r="RBR278" s="147"/>
      <c r="RBS278" s="147"/>
      <c r="RBT278" s="147"/>
      <c r="RBU278" s="147"/>
      <c r="RBV278" s="147"/>
      <c r="RBW278" s="147"/>
      <c r="RBX278" s="147"/>
      <c r="RBY278" s="147"/>
      <c r="RBZ278" s="147"/>
      <c r="RCA278" s="147"/>
      <c r="RCB278" s="147"/>
      <c r="RCC278" s="147"/>
      <c r="RCD278" s="147"/>
      <c r="RCE278" s="147"/>
      <c r="RCF278" s="147"/>
      <c r="RCG278" s="147"/>
      <c r="RCH278" s="147"/>
      <c r="RCI278" s="147"/>
      <c r="RCJ278" s="147"/>
      <c r="RCK278" s="147"/>
      <c r="RCL278" s="147"/>
      <c r="RCM278" s="147"/>
      <c r="RCN278" s="147"/>
      <c r="RCO278" s="147"/>
      <c r="RCP278" s="147"/>
      <c r="RCQ278" s="147"/>
      <c r="RCR278" s="147"/>
      <c r="RCS278" s="147"/>
      <c r="RCT278" s="147"/>
      <c r="RCU278" s="147"/>
      <c r="RCV278" s="147"/>
      <c r="RCW278" s="147"/>
      <c r="RCX278" s="147"/>
      <c r="RCY278" s="147"/>
      <c r="RCZ278" s="147"/>
      <c r="RDA278" s="147"/>
      <c r="RDB278" s="147"/>
      <c r="RDC278" s="147"/>
      <c r="RDD278" s="147"/>
      <c r="RDE278" s="147"/>
      <c r="RDF278" s="147"/>
      <c r="RDG278" s="147"/>
      <c r="RDH278" s="147"/>
      <c r="RDI278" s="147"/>
      <c r="RDJ278" s="147"/>
      <c r="RDK278" s="147"/>
      <c r="RDL278" s="147"/>
      <c r="RDM278" s="147"/>
      <c r="RDN278" s="147"/>
      <c r="RDO278" s="147"/>
      <c r="RDP278" s="147"/>
      <c r="RDQ278" s="147"/>
      <c r="RDR278" s="147"/>
      <c r="RDS278" s="147"/>
      <c r="RDT278" s="147"/>
      <c r="RDU278" s="147"/>
      <c r="RDV278" s="147"/>
      <c r="RDW278" s="147"/>
      <c r="RDX278" s="147"/>
      <c r="RDY278" s="147"/>
      <c r="RDZ278" s="147"/>
      <c r="REA278" s="147"/>
      <c r="REB278" s="147"/>
      <c r="REC278" s="147"/>
      <c r="RED278" s="147"/>
      <c r="REE278" s="147"/>
      <c r="REF278" s="147"/>
      <c r="REG278" s="147"/>
      <c r="REH278" s="147"/>
      <c r="REI278" s="147"/>
      <c r="REJ278" s="147"/>
      <c r="REK278" s="147"/>
      <c r="REL278" s="147"/>
      <c r="REM278" s="147"/>
      <c r="REN278" s="147"/>
      <c r="REO278" s="147"/>
      <c r="REP278" s="147"/>
      <c r="REQ278" s="147"/>
      <c r="RER278" s="147"/>
      <c r="RES278" s="147"/>
      <c r="RET278" s="147"/>
      <c r="REU278" s="147"/>
      <c r="REV278" s="147"/>
      <c r="REW278" s="147"/>
      <c r="REX278" s="147"/>
      <c r="REY278" s="147"/>
      <c r="REZ278" s="147"/>
      <c r="RFA278" s="147"/>
      <c r="RFB278" s="147"/>
      <c r="RFC278" s="147"/>
      <c r="RFD278" s="147"/>
      <c r="RFE278" s="147"/>
      <c r="RFF278" s="147"/>
      <c r="RFG278" s="147"/>
      <c r="RFH278" s="147"/>
      <c r="RFI278" s="147"/>
      <c r="RFJ278" s="147"/>
      <c r="RFK278" s="147"/>
      <c r="RFL278" s="147"/>
      <c r="RFM278" s="147"/>
      <c r="RFN278" s="147"/>
      <c r="RFO278" s="147"/>
      <c r="RFP278" s="147"/>
      <c r="RFQ278" s="147"/>
      <c r="RFR278" s="147"/>
      <c r="RFS278" s="147"/>
      <c r="RFT278" s="147"/>
      <c r="RFU278" s="147"/>
      <c r="RFV278" s="147"/>
      <c r="RFW278" s="147"/>
      <c r="RFX278" s="147"/>
      <c r="RFY278" s="147"/>
      <c r="RFZ278" s="147"/>
      <c r="RGA278" s="147"/>
      <c r="RGB278" s="147"/>
      <c r="RGC278" s="147"/>
      <c r="RGD278" s="147"/>
      <c r="RGE278" s="147"/>
      <c r="RGF278" s="147"/>
      <c r="RGG278" s="147"/>
      <c r="RGH278" s="147"/>
      <c r="RGI278" s="147"/>
      <c r="RGJ278" s="147"/>
      <c r="RGK278" s="147"/>
      <c r="RGL278" s="147"/>
      <c r="RGM278" s="147"/>
      <c r="RGN278" s="147"/>
      <c r="RGO278" s="147"/>
      <c r="RGP278" s="147"/>
      <c r="RGQ278" s="147"/>
      <c r="RGR278" s="147"/>
      <c r="RGS278" s="147"/>
      <c r="RGT278" s="147"/>
      <c r="RGU278" s="147"/>
      <c r="RGV278" s="147"/>
      <c r="RGW278" s="147"/>
      <c r="RGX278" s="147"/>
      <c r="RGY278" s="147"/>
      <c r="RGZ278" s="147"/>
      <c r="RHA278" s="147"/>
      <c r="RHB278" s="147"/>
      <c r="RHC278" s="147"/>
      <c r="RHD278" s="147"/>
      <c r="RHE278" s="147"/>
      <c r="RHF278" s="147"/>
      <c r="RHG278" s="147"/>
      <c r="RHH278" s="147"/>
      <c r="RHI278" s="147"/>
      <c r="RHJ278" s="147"/>
      <c r="RHK278" s="147"/>
      <c r="RHL278" s="147"/>
      <c r="RHM278" s="147"/>
      <c r="RHN278" s="147"/>
      <c r="RHO278" s="147"/>
      <c r="RHP278" s="147"/>
      <c r="RHQ278" s="147"/>
      <c r="RHR278" s="147"/>
      <c r="RHS278" s="147"/>
      <c r="RHT278" s="147"/>
      <c r="RHU278" s="147"/>
      <c r="RHV278" s="147"/>
      <c r="RHW278" s="147"/>
      <c r="RHX278" s="147"/>
      <c r="RHY278" s="147"/>
      <c r="RHZ278" s="147"/>
      <c r="RIA278" s="147"/>
      <c r="RIB278" s="147"/>
      <c r="RIC278" s="147"/>
      <c r="RID278" s="147"/>
      <c r="RIE278" s="147"/>
      <c r="RIF278" s="147"/>
      <c r="RIG278" s="147"/>
      <c r="RIH278" s="147"/>
      <c r="RII278" s="147"/>
      <c r="RIJ278" s="147"/>
      <c r="RIK278" s="147"/>
      <c r="RIL278" s="147"/>
      <c r="RIM278" s="147"/>
      <c r="RIN278" s="147"/>
      <c r="RIO278" s="147"/>
      <c r="RIP278" s="147"/>
      <c r="RIQ278" s="147"/>
      <c r="RIR278" s="147"/>
      <c r="RIS278" s="147"/>
      <c r="RIT278" s="147"/>
      <c r="RIU278" s="147"/>
      <c r="RIV278" s="147"/>
      <c r="RIW278" s="147"/>
      <c r="RIX278" s="147"/>
      <c r="RIY278" s="147"/>
      <c r="RIZ278" s="147"/>
      <c r="RJA278" s="147"/>
      <c r="RJB278" s="147"/>
      <c r="RJC278" s="147"/>
      <c r="RJD278" s="147"/>
      <c r="RJE278" s="147"/>
      <c r="RJF278" s="147"/>
      <c r="RJG278" s="147"/>
      <c r="RJH278" s="147"/>
      <c r="RJI278" s="147"/>
      <c r="RJJ278" s="147"/>
      <c r="RJK278" s="147"/>
      <c r="RJL278" s="147"/>
      <c r="RJM278" s="147"/>
      <c r="RJN278" s="147"/>
      <c r="RJO278" s="147"/>
      <c r="RJP278" s="147"/>
      <c r="RJQ278" s="147"/>
      <c r="RJR278" s="147"/>
      <c r="RJS278" s="147"/>
      <c r="RJT278" s="147"/>
      <c r="RJU278" s="147"/>
      <c r="RJV278" s="147"/>
      <c r="RJW278" s="147"/>
      <c r="RJX278" s="147"/>
      <c r="RJY278" s="147"/>
      <c r="RJZ278" s="147"/>
      <c r="RKA278" s="147"/>
      <c r="RKB278" s="147"/>
      <c r="RKC278" s="147"/>
      <c r="RKD278" s="147"/>
      <c r="RKE278" s="147"/>
      <c r="RKF278" s="147"/>
      <c r="RKG278" s="147"/>
      <c r="RKH278" s="147"/>
      <c r="RKI278" s="147"/>
      <c r="RKJ278" s="147"/>
      <c r="RKK278" s="147"/>
      <c r="RKL278" s="147"/>
      <c r="RKM278" s="147"/>
      <c r="RKN278" s="147"/>
      <c r="RKO278" s="147"/>
      <c r="RKP278" s="147"/>
      <c r="RKQ278" s="147"/>
      <c r="RKR278" s="147"/>
      <c r="RKS278" s="147"/>
      <c r="RKT278" s="147"/>
      <c r="RKU278" s="147"/>
      <c r="RKV278" s="147"/>
      <c r="RKW278" s="147"/>
      <c r="RKX278" s="147"/>
      <c r="RKY278" s="147"/>
      <c r="RKZ278" s="147"/>
      <c r="RLA278" s="147"/>
      <c r="RLB278" s="147"/>
      <c r="RLC278" s="147"/>
      <c r="RLD278" s="147"/>
      <c r="RLE278" s="147"/>
      <c r="RLF278" s="147"/>
      <c r="RLG278" s="147"/>
      <c r="RLH278" s="147"/>
      <c r="RLI278" s="147"/>
      <c r="RLJ278" s="147"/>
      <c r="RLK278" s="147"/>
      <c r="RLL278" s="147"/>
      <c r="RLM278" s="147"/>
      <c r="RLN278" s="147"/>
      <c r="RLO278" s="147"/>
      <c r="RLP278" s="147"/>
      <c r="RLQ278" s="147"/>
      <c r="RLR278" s="147"/>
      <c r="RLS278" s="147"/>
      <c r="RLT278" s="147"/>
      <c r="RLU278" s="147"/>
      <c r="RLV278" s="147"/>
      <c r="RLW278" s="147"/>
      <c r="RLX278" s="147"/>
      <c r="RLY278" s="147"/>
      <c r="RLZ278" s="147"/>
      <c r="RMA278" s="147"/>
      <c r="RMB278" s="147"/>
      <c r="RMC278" s="147"/>
      <c r="RMD278" s="147"/>
      <c r="RME278" s="147"/>
      <c r="RMF278" s="147"/>
      <c r="RMG278" s="147"/>
      <c r="RMH278" s="147"/>
      <c r="RMI278" s="147"/>
      <c r="RMJ278" s="147"/>
      <c r="RMK278" s="147"/>
      <c r="RML278" s="147"/>
      <c r="RMM278" s="147"/>
      <c r="RMN278" s="147"/>
      <c r="RMO278" s="147"/>
      <c r="RMP278" s="147"/>
      <c r="RMQ278" s="147"/>
      <c r="RMR278" s="147"/>
      <c r="RMS278" s="147"/>
      <c r="RMT278" s="147"/>
      <c r="RMU278" s="147"/>
      <c r="RMV278" s="147"/>
      <c r="RMW278" s="147"/>
      <c r="RMX278" s="147"/>
      <c r="RMY278" s="147"/>
      <c r="RMZ278" s="147"/>
      <c r="RNA278" s="147"/>
      <c r="RNB278" s="147"/>
      <c r="RNC278" s="147"/>
      <c r="RND278" s="147"/>
      <c r="RNE278" s="147"/>
      <c r="RNF278" s="147"/>
      <c r="RNG278" s="147"/>
      <c r="RNH278" s="147"/>
      <c r="RNI278" s="147"/>
      <c r="RNJ278" s="147"/>
      <c r="RNK278" s="147"/>
      <c r="RNL278" s="147"/>
      <c r="RNM278" s="147"/>
      <c r="RNN278" s="147"/>
      <c r="RNO278" s="147"/>
      <c r="RNP278" s="147"/>
      <c r="RNQ278" s="147"/>
      <c r="RNR278" s="147"/>
      <c r="RNS278" s="147"/>
      <c r="RNT278" s="147"/>
      <c r="RNU278" s="147"/>
      <c r="RNV278" s="147"/>
      <c r="RNW278" s="147"/>
      <c r="RNX278" s="147"/>
      <c r="RNY278" s="147"/>
      <c r="RNZ278" s="147"/>
      <c r="ROA278" s="147"/>
      <c r="ROB278" s="147"/>
      <c r="ROC278" s="147"/>
      <c r="ROD278" s="147"/>
      <c r="ROE278" s="147"/>
      <c r="ROF278" s="147"/>
      <c r="ROG278" s="147"/>
      <c r="ROH278" s="147"/>
      <c r="ROI278" s="147"/>
      <c r="ROJ278" s="147"/>
      <c r="ROK278" s="147"/>
      <c r="ROL278" s="147"/>
      <c r="ROM278" s="147"/>
      <c r="RON278" s="147"/>
      <c r="ROO278" s="147"/>
      <c r="ROP278" s="147"/>
      <c r="ROQ278" s="147"/>
      <c r="ROR278" s="147"/>
      <c r="ROS278" s="147"/>
      <c r="ROT278" s="147"/>
      <c r="ROU278" s="147"/>
      <c r="ROV278" s="147"/>
      <c r="ROW278" s="147"/>
      <c r="ROX278" s="147"/>
      <c r="ROY278" s="147"/>
      <c r="ROZ278" s="147"/>
      <c r="RPA278" s="147"/>
      <c r="RPB278" s="147"/>
      <c r="RPC278" s="147"/>
      <c r="RPD278" s="147"/>
      <c r="RPE278" s="147"/>
      <c r="RPF278" s="147"/>
      <c r="RPG278" s="147"/>
      <c r="RPH278" s="147"/>
      <c r="RPI278" s="147"/>
      <c r="RPJ278" s="147"/>
      <c r="RPK278" s="147"/>
      <c r="RPL278" s="147"/>
      <c r="RPM278" s="147"/>
      <c r="RPN278" s="147"/>
      <c r="RPO278" s="147"/>
      <c r="RPP278" s="147"/>
      <c r="RPQ278" s="147"/>
      <c r="RPR278" s="147"/>
      <c r="RPS278" s="147"/>
      <c r="RPT278" s="147"/>
      <c r="RPU278" s="147"/>
      <c r="RPV278" s="147"/>
      <c r="RPW278" s="147"/>
      <c r="RPX278" s="147"/>
      <c r="RPY278" s="147"/>
      <c r="RPZ278" s="147"/>
      <c r="RQA278" s="147"/>
      <c r="RQB278" s="147"/>
      <c r="RQC278" s="147"/>
      <c r="RQD278" s="147"/>
      <c r="RQE278" s="147"/>
      <c r="RQF278" s="147"/>
      <c r="RQG278" s="147"/>
      <c r="RQH278" s="147"/>
      <c r="RQI278" s="147"/>
      <c r="RQJ278" s="147"/>
      <c r="RQK278" s="147"/>
      <c r="RQL278" s="147"/>
      <c r="RQM278" s="147"/>
      <c r="RQN278" s="147"/>
      <c r="RQO278" s="147"/>
      <c r="RQP278" s="147"/>
      <c r="RQQ278" s="147"/>
      <c r="RQR278" s="147"/>
      <c r="RQS278" s="147"/>
      <c r="RQT278" s="147"/>
      <c r="RQU278" s="147"/>
      <c r="RQV278" s="147"/>
      <c r="RQW278" s="147"/>
      <c r="RQX278" s="147"/>
      <c r="RQY278" s="147"/>
      <c r="RQZ278" s="147"/>
      <c r="RRA278" s="147"/>
      <c r="RRB278" s="147"/>
      <c r="RRC278" s="147"/>
      <c r="RRD278" s="147"/>
      <c r="RRE278" s="147"/>
      <c r="RRF278" s="147"/>
      <c r="RRG278" s="147"/>
      <c r="RRH278" s="147"/>
      <c r="RRI278" s="147"/>
      <c r="RRJ278" s="147"/>
      <c r="RRK278" s="147"/>
      <c r="RRL278" s="147"/>
      <c r="RRM278" s="147"/>
      <c r="RRN278" s="147"/>
      <c r="RRO278" s="147"/>
      <c r="RRP278" s="147"/>
      <c r="RRQ278" s="147"/>
      <c r="RRR278" s="147"/>
      <c r="RRS278" s="147"/>
      <c r="RRT278" s="147"/>
      <c r="RRU278" s="147"/>
      <c r="RRV278" s="147"/>
      <c r="RRW278" s="147"/>
      <c r="RRX278" s="147"/>
      <c r="RRY278" s="147"/>
      <c r="RRZ278" s="147"/>
      <c r="RSA278" s="147"/>
      <c r="RSB278" s="147"/>
      <c r="RSC278" s="147"/>
      <c r="RSD278" s="147"/>
      <c r="RSE278" s="147"/>
      <c r="RSF278" s="147"/>
      <c r="RSG278" s="147"/>
      <c r="RSH278" s="147"/>
      <c r="RSI278" s="147"/>
      <c r="RSJ278" s="147"/>
      <c r="RSK278" s="147"/>
      <c r="RSL278" s="147"/>
      <c r="RSM278" s="147"/>
      <c r="RSN278" s="147"/>
      <c r="RSO278" s="147"/>
      <c r="RSP278" s="147"/>
      <c r="RSQ278" s="147"/>
      <c r="RSR278" s="147"/>
      <c r="RSS278" s="147"/>
      <c r="RST278" s="147"/>
      <c r="RSU278" s="147"/>
      <c r="RSV278" s="147"/>
      <c r="RSW278" s="147"/>
      <c r="RSX278" s="147"/>
      <c r="RSY278" s="147"/>
      <c r="RSZ278" s="147"/>
      <c r="RTA278" s="147"/>
      <c r="RTB278" s="147"/>
      <c r="RTC278" s="147"/>
      <c r="RTD278" s="147"/>
      <c r="RTE278" s="147"/>
      <c r="RTF278" s="147"/>
      <c r="RTG278" s="147"/>
      <c r="RTH278" s="147"/>
      <c r="RTI278" s="147"/>
      <c r="RTJ278" s="147"/>
      <c r="RTK278" s="147"/>
      <c r="RTL278" s="147"/>
      <c r="RTM278" s="147"/>
      <c r="RTN278" s="147"/>
      <c r="RTO278" s="147"/>
      <c r="RTP278" s="147"/>
      <c r="RTQ278" s="147"/>
      <c r="RTR278" s="147"/>
      <c r="RTS278" s="147"/>
      <c r="RTT278" s="147"/>
      <c r="RTU278" s="147"/>
      <c r="RTV278" s="147"/>
      <c r="RTW278" s="147"/>
      <c r="RTX278" s="147"/>
      <c r="RTY278" s="147"/>
      <c r="RTZ278" s="147"/>
      <c r="RUA278" s="147"/>
      <c r="RUB278" s="147"/>
      <c r="RUC278" s="147"/>
      <c r="RUD278" s="147"/>
      <c r="RUE278" s="147"/>
      <c r="RUF278" s="147"/>
      <c r="RUG278" s="147"/>
      <c r="RUH278" s="147"/>
      <c r="RUI278" s="147"/>
      <c r="RUJ278" s="147"/>
      <c r="RUK278" s="147"/>
      <c r="RUL278" s="147"/>
      <c r="RUM278" s="147"/>
      <c r="RUN278" s="147"/>
      <c r="RUO278" s="147"/>
      <c r="RUP278" s="147"/>
      <c r="RUQ278" s="147"/>
      <c r="RUR278" s="147"/>
      <c r="RUS278" s="147"/>
      <c r="RUT278" s="147"/>
      <c r="RUU278" s="147"/>
      <c r="RUV278" s="147"/>
      <c r="RUW278" s="147"/>
      <c r="RUX278" s="147"/>
      <c r="RUY278" s="147"/>
      <c r="RUZ278" s="147"/>
      <c r="RVA278" s="147"/>
      <c r="RVB278" s="147"/>
      <c r="RVC278" s="147"/>
      <c r="RVD278" s="147"/>
      <c r="RVE278" s="147"/>
      <c r="RVF278" s="147"/>
      <c r="RVG278" s="147"/>
      <c r="RVH278" s="147"/>
      <c r="RVI278" s="147"/>
      <c r="RVJ278" s="147"/>
      <c r="RVK278" s="147"/>
      <c r="RVL278" s="147"/>
      <c r="RVM278" s="147"/>
      <c r="RVN278" s="147"/>
      <c r="RVO278" s="147"/>
      <c r="RVP278" s="147"/>
      <c r="RVQ278" s="147"/>
      <c r="RVR278" s="147"/>
      <c r="RVS278" s="147"/>
      <c r="RVT278" s="147"/>
      <c r="RVU278" s="147"/>
      <c r="RVV278" s="147"/>
      <c r="RVW278" s="147"/>
      <c r="RVX278" s="147"/>
      <c r="RVY278" s="147"/>
      <c r="RVZ278" s="147"/>
      <c r="RWA278" s="147"/>
      <c r="RWB278" s="147"/>
      <c r="RWC278" s="147"/>
      <c r="RWD278" s="147"/>
      <c r="RWE278" s="147"/>
      <c r="RWF278" s="147"/>
      <c r="RWG278" s="147"/>
      <c r="RWH278" s="147"/>
      <c r="RWI278" s="147"/>
      <c r="RWJ278" s="147"/>
      <c r="RWK278" s="147"/>
      <c r="RWL278" s="147"/>
      <c r="RWM278" s="147"/>
      <c r="RWN278" s="147"/>
      <c r="RWO278" s="147"/>
      <c r="RWP278" s="147"/>
      <c r="RWQ278" s="147"/>
      <c r="RWR278" s="147"/>
      <c r="RWS278" s="147"/>
      <c r="RWT278" s="147"/>
      <c r="RWU278" s="147"/>
      <c r="RWV278" s="147"/>
      <c r="RWW278" s="147"/>
      <c r="RWX278" s="147"/>
      <c r="RWY278" s="147"/>
      <c r="RWZ278" s="147"/>
      <c r="RXA278" s="147"/>
      <c r="RXB278" s="147"/>
      <c r="RXC278" s="147"/>
      <c r="RXD278" s="147"/>
      <c r="RXE278" s="147"/>
      <c r="RXF278" s="147"/>
      <c r="RXG278" s="147"/>
      <c r="RXH278" s="147"/>
      <c r="RXI278" s="147"/>
      <c r="RXJ278" s="147"/>
      <c r="RXK278" s="147"/>
      <c r="RXL278" s="147"/>
      <c r="RXM278" s="147"/>
      <c r="RXN278" s="147"/>
      <c r="RXO278" s="147"/>
      <c r="RXP278" s="147"/>
      <c r="RXQ278" s="147"/>
      <c r="RXR278" s="147"/>
      <c r="RXS278" s="147"/>
      <c r="RXT278" s="147"/>
      <c r="RXU278" s="147"/>
      <c r="RXV278" s="147"/>
      <c r="RXW278" s="147"/>
      <c r="RXX278" s="147"/>
      <c r="RXY278" s="147"/>
      <c r="RXZ278" s="147"/>
      <c r="RYA278" s="147"/>
      <c r="RYB278" s="147"/>
      <c r="RYC278" s="147"/>
      <c r="RYD278" s="147"/>
      <c r="RYE278" s="147"/>
      <c r="RYF278" s="147"/>
      <c r="RYG278" s="147"/>
      <c r="RYH278" s="147"/>
      <c r="RYI278" s="147"/>
      <c r="RYJ278" s="147"/>
      <c r="RYK278" s="147"/>
      <c r="RYL278" s="147"/>
      <c r="RYM278" s="147"/>
      <c r="RYN278" s="147"/>
      <c r="RYO278" s="147"/>
      <c r="RYP278" s="147"/>
      <c r="RYQ278" s="147"/>
      <c r="RYR278" s="147"/>
      <c r="RYS278" s="147"/>
      <c r="RYT278" s="147"/>
      <c r="RYU278" s="147"/>
      <c r="RYV278" s="147"/>
      <c r="RYW278" s="147"/>
      <c r="RYX278" s="147"/>
      <c r="RYY278" s="147"/>
      <c r="RYZ278" s="147"/>
      <c r="RZA278" s="147"/>
      <c r="RZB278" s="147"/>
      <c r="RZC278" s="147"/>
      <c r="RZD278" s="147"/>
      <c r="RZE278" s="147"/>
      <c r="RZF278" s="147"/>
      <c r="RZG278" s="147"/>
      <c r="RZH278" s="147"/>
      <c r="RZI278" s="147"/>
      <c r="RZJ278" s="147"/>
      <c r="RZK278" s="147"/>
      <c r="RZL278" s="147"/>
      <c r="RZM278" s="147"/>
      <c r="RZN278" s="147"/>
      <c r="RZO278" s="147"/>
      <c r="RZP278" s="147"/>
      <c r="RZQ278" s="147"/>
      <c r="RZR278" s="147"/>
      <c r="RZS278" s="147"/>
      <c r="RZT278" s="147"/>
      <c r="RZU278" s="147"/>
      <c r="RZV278" s="147"/>
      <c r="RZW278" s="147"/>
      <c r="RZX278" s="147"/>
      <c r="RZY278" s="147"/>
      <c r="RZZ278" s="147"/>
      <c r="SAA278" s="147"/>
      <c r="SAB278" s="147"/>
      <c r="SAC278" s="147"/>
      <c r="SAD278" s="147"/>
      <c r="SAE278" s="147"/>
      <c r="SAF278" s="147"/>
      <c r="SAG278" s="147"/>
      <c r="SAH278" s="147"/>
      <c r="SAI278" s="147"/>
      <c r="SAJ278" s="147"/>
      <c r="SAK278" s="147"/>
      <c r="SAL278" s="147"/>
      <c r="SAM278" s="147"/>
      <c r="SAN278" s="147"/>
      <c r="SAO278" s="147"/>
      <c r="SAP278" s="147"/>
      <c r="SAQ278" s="147"/>
      <c r="SAR278" s="147"/>
      <c r="SAS278" s="147"/>
      <c r="SAT278" s="147"/>
      <c r="SAU278" s="147"/>
      <c r="SAV278" s="147"/>
      <c r="SAW278" s="147"/>
      <c r="SAX278" s="147"/>
      <c r="SAY278" s="147"/>
      <c r="SAZ278" s="147"/>
      <c r="SBA278" s="147"/>
      <c r="SBB278" s="147"/>
      <c r="SBC278" s="147"/>
      <c r="SBD278" s="147"/>
      <c r="SBE278" s="147"/>
      <c r="SBF278" s="147"/>
      <c r="SBG278" s="147"/>
      <c r="SBH278" s="147"/>
      <c r="SBI278" s="147"/>
      <c r="SBJ278" s="147"/>
      <c r="SBK278" s="147"/>
      <c r="SBL278" s="147"/>
      <c r="SBM278" s="147"/>
      <c r="SBN278" s="147"/>
      <c r="SBO278" s="147"/>
      <c r="SBP278" s="147"/>
      <c r="SBQ278" s="147"/>
      <c r="SBR278" s="147"/>
      <c r="SBS278" s="147"/>
      <c r="SBT278" s="147"/>
      <c r="SBU278" s="147"/>
      <c r="SBV278" s="147"/>
      <c r="SBW278" s="147"/>
      <c r="SBX278" s="147"/>
      <c r="SBY278" s="147"/>
      <c r="SBZ278" s="147"/>
      <c r="SCA278" s="147"/>
      <c r="SCB278" s="147"/>
      <c r="SCC278" s="147"/>
      <c r="SCD278" s="147"/>
      <c r="SCE278" s="147"/>
      <c r="SCF278" s="147"/>
      <c r="SCG278" s="147"/>
      <c r="SCH278" s="147"/>
      <c r="SCI278" s="147"/>
      <c r="SCJ278" s="147"/>
      <c r="SCK278" s="147"/>
      <c r="SCL278" s="147"/>
      <c r="SCM278" s="147"/>
      <c r="SCN278" s="147"/>
      <c r="SCO278" s="147"/>
      <c r="SCP278" s="147"/>
      <c r="SCQ278" s="147"/>
      <c r="SCR278" s="147"/>
      <c r="SCS278" s="147"/>
      <c r="SCT278" s="147"/>
      <c r="SCU278" s="147"/>
      <c r="SCV278" s="147"/>
      <c r="SCW278" s="147"/>
      <c r="SCX278" s="147"/>
      <c r="SCY278" s="147"/>
      <c r="SCZ278" s="147"/>
      <c r="SDA278" s="147"/>
      <c r="SDB278" s="147"/>
      <c r="SDC278" s="147"/>
      <c r="SDD278" s="147"/>
      <c r="SDE278" s="147"/>
      <c r="SDF278" s="147"/>
      <c r="SDG278" s="147"/>
      <c r="SDH278" s="147"/>
      <c r="SDI278" s="147"/>
      <c r="SDJ278" s="147"/>
      <c r="SDK278" s="147"/>
      <c r="SDL278" s="147"/>
      <c r="SDM278" s="147"/>
      <c r="SDN278" s="147"/>
      <c r="SDO278" s="147"/>
      <c r="SDP278" s="147"/>
      <c r="SDQ278" s="147"/>
      <c r="SDR278" s="147"/>
      <c r="SDS278" s="147"/>
      <c r="SDT278" s="147"/>
      <c r="SDU278" s="147"/>
      <c r="SDV278" s="147"/>
      <c r="SDW278" s="147"/>
      <c r="SDX278" s="147"/>
      <c r="SDY278" s="147"/>
      <c r="SDZ278" s="147"/>
      <c r="SEA278" s="147"/>
      <c r="SEB278" s="147"/>
      <c r="SEC278" s="147"/>
      <c r="SED278" s="147"/>
      <c r="SEE278" s="147"/>
      <c r="SEF278" s="147"/>
      <c r="SEG278" s="147"/>
      <c r="SEH278" s="147"/>
      <c r="SEI278" s="147"/>
      <c r="SEJ278" s="147"/>
      <c r="SEK278" s="147"/>
      <c r="SEL278" s="147"/>
      <c r="SEM278" s="147"/>
      <c r="SEN278" s="147"/>
      <c r="SEO278" s="147"/>
      <c r="SEP278" s="147"/>
      <c r="SEQ278" s="147"/>
      <c r="SER278" s="147"/>
      <c r="SES278" s="147"/>
      <c r="SET278" s="147"/>
      <c r="SEU278" s="147"/>
      <c r="SEV278" s="147"/>
      <c r="SEW278" s="147"/>
      <c r="SEX278" s="147"/>
      <c r="SEY278" s="147"/>
      <c r="SEZ278" s="147"/>
      <c r="SFA278" s="147"/>
      <c r="SFB278" s="147"/>
      <c r="SFC278" s="147"/>
      <c r="SFD278" s="147"/>
      <c r="SFE278" s="147"/>
      <c r="SFF278" s="147"/>
      <c r="SFG278" s="147"/>
      <c r="SFH278" s="147"/>
      <c r="SFI278" s="147"/>
      <c r="SFJ278" s="147"/>
      <c r="SFK278" s="147"/>
      <c r="SFL278" s="147"/>
      <c r="SFM278" s="147"/>
      <c r="SFN278" s="147"/>
      <c r="SFO278" s="147"/>
      <c r="SFP278" s="147"/>
      <c r="SFQ278" s="147"/>
      <c r="SFR278" s="147"/>
      <c r="SFS278" s="147"/>
      <c r="SFT278" s="147"/>
      <c r="SFU278" s="147"/>
      <c r="SFV278" s="147"/>
      <c r="SFW278" s="147"/>
      <c r="SFX278" s="147"/>
      <c r="SFY278" s="147"/>
      <c r="SFZ278" s="147"/>
      <c r="SGA278" s="147"/>
      <c r="SGB278" s="147"/>
      <c r="SGC278" s="147"/>
      <c r="SGD278" s="147"/>
      <c r="SGE278" s="147"/>
      <c r="SGF278" s="147"/>
      <c r="SGG278" s="147"/>
      <c r="SGH278" s="147"/>
      <c r="SGI278" s="147"/>
      <c r="SGJ278" s="147"/>
      <c r="SGK278" s="147"/>
      <c r="SGL278" s="147"/>
      <c r="SGM278" s="147"/>
      <c r="SGN278" s="147"/>
      <c r="SGO278" s="147"/>
      <c r="SGP278" s="147"/>
      <c r="SGQ278" s="147"/>
      <c r="SGR278" s="147"/>
      <c r="SGS278" s="147"/>
      <c r="SGT278" s="147"/>
      <c r="SGU278" s="147"/>
      <c r="SGV278" s="147"/>
      <c r="SGW278" s="147"/>
      <c r="SGX278" s="147"/>
      <c r="SGY278" s="147"/>
      <c r="SGZ278" s="147"/>
      <c r="SHA278" s="147"/>
      <c r="SHB278" s="147"/>
      <c r="SHC278" s="147"/>
      <c r="SHD278" s="147"/>
      <c r="SHE278" s="147"/>
      <c r="SHF278" s="147"/>
      <c r="SHG278" s="147"/>
      <c r="SHH278" s="147"/>
      <c r="SHI278" s="147"/>
      <c r="SHJ278" s="147"/>
      <c r="SHK278" s="147"/>
      <c r="SHL278" s="147"/>
      <c r="SHM278" s="147"/>
      <c r="SHN278" s="147"/>
      <c r="SHO278" s="147"/>
      <c r="SHP278" s="147"/>
      <c r="SHQ278" s="147"/>
      <c r="SHR278" s="147"/>
      <c r="SHS278" s="147"/>
      <c r="SHT278" s="147"/>
      <c r="SHU278" s="147"/>
      <c r="SHV278" s="147"/>
      <c r="SHW278" s="147"/>
      <c r="SHX278" s="147"/>
      <c r="SHY278" s="147"/>
      <c r="SHZ278" s="147"/>
      <c r="SIA278" s="147"/>
      <c r="SIB278" s="147"/>
      <c r="SIC278" s="147"/>
      <c r="SID278" s="147"/>
      <c r="SIE278" s="147"/>
      <c r="SIF278" s="147"/>
      <c r="SIG278" s="147"/>
      <c r="SIH278" s="147"/>
      <c r="SII278" s="147"/>
      <c r="SIJ278" s="147"/>
      <c r="SIK278" s="147"/>
      <c r="SIL278" s="147"/>
      <c r="SIM278" s="147"/>
      <c r="SIN278" s="147"/>
      <c r="SIO278" s="147"/>
      <c r="SIP278" s="147"/>
      <c r="SIQ278" s="147"/>
      <c r="SIR278" s="147"/>
      <c r="SIS278" s="147"/>
      <c r="SIT278" s="147"/>
      <c r="SIU278" s="147"/>
      <c r="SIV278" s="147"/>
      <c r="SIW278" s="147"/>
      <c r="SIX278" s="147"/>
      <c r="SIY278" s="147"/>
      <c r="SIZ278" s="147"/>
      <c r="SJA278" s="147"/>
      <c r="SJB278" s="147"/>
      <c r="SJC278" s="147"/>
      <c r="SJD278" s="147"/>
      <c r="SJE278" s="147"/>
      <c r="SJF278" s="147"/>
      <c r="SJG278" s="147"/>
      <c r="SJH278" s="147"/>
      <c r="SJI278" s="147"/>
      <c r="SJJ278" s="147"/>
      <c r="SJK278" s="147"/>
      <c r="SJL278" s="147"/>
      <c r="SJM278" s="147"/>
      <c r="SJN278" s="147"/>
      <c r="SJO278" s="147"/>
      <c r="SJP278" s="147"/>
      <c r="SJQ278" s="147"/>
      <c r="SJR278" s="147"/>
      <c r="SJS278" s="147"/>
      <c r="SJT278" s="147"/>
      <c r="SJU278" s="147"/>
      <c r="SJV278" s="147"/>
      <c r="SJW278" s="147"/>
      <c r="SJX278" s="147"/>
      <c r="SJY278" s="147"/>
      <c r="SJZ278" s="147"/>
      <c r="SKA278" s="147"/>
      <c r="SKB278" s="147"/>
      <c r="SKC278" s="147"/>
      <c r="SKD278" s="147"/>
      <c r="SKE278" s="147"/>
      <c r="SKF278" s="147"/>
      <c r="SKG278" s="147"/>
      <c r="SKH278" s="147"/>
      <c r="SKI278" s="147"/>
      <c r="SKJ278" s="147"/>
      <c r="SKK278" s="147"/>
      <c r="SKL278" s="147"/>
      <c r="SKM278" s="147"/>
      <c r="SKN278" s="147"/>
      <c r="SKO278" s="147"/>
      <c r="SKP278" s="147"/>
      <c r="SKQ278" s="147"/>
      <c r="SKR278" s="147"/>
      <c r="SKS278" s="147"/>
      <c r="SKT278" s="147"/>
      <c r="SKU278" s="147"/>
      <c r="SKV278" s="147"/>
      <c r="SKW278" s="147"/>
      <c r="SKX278" s="147"/>
      <c r="SKY278" s="147"/>
      <c r="SKZ278" s="147"/>
      <c r="SLA278" s="147"/>
      <c r="SLB278" s="147"/>
      <c r="SLC278" s="147"/>
      <c r="SLD278" s="147"/>
      <c r="SLE278" s="147"/>
      <c r="SLF278" s="147"/>
      <c r="SLG278" s="147"/>
      <c r="SLH278" s="147"/>
      <c r="SLI278" s="147"/>
      <c r="SLJ278" s="147"/>
      <c r="SLK278" s="147"/>
      <c r="SLL278" s="147"/>
      <c r="SLM278" s="147"/>
      <c r="SLN278" s="147"/>
      <c r="SLO278" s="147"/>
      <c r="SLP278" s="147"/>
      <c r="SLQ278" s="147"/>
      <c r="SLR278" s="147"/>
      <c r="SLS278" s="147"/>
      <c r="SLT278" s="147"/>
      <c r="SLU278" s="147"/>
      <c r="SLV278" s="147"/>
      <c r="SLW278" s="147"/>
      <c r="SLX278" s="147"/>
      <c r="SLY278" s="147"/>
      <c r="SLZ278" s="147"/>
      <c r="SMA278" s="147"/>
      <c r="SMB278" s="147"/>
      <c r="SMC278" s="147"/>
      <c r="SMD278" s="147"/>
      <c r="SME278" s="147"/>
      <c r="SMF278" s="147"/>
      <c r="SMG278" s="147"/>
      <c r="SMH278" s="147"/>
      <c r="SMI278" s="147"/>
      <c r="SMJ278" s="147"/>
      <c r="SMK278" s="147"/>
      <c r="SML278" s="147"/>
      <c r="SMM278" s="147"/>
      <c r="SMN278" s="147"/>
      <c r="SMO278" s="147"/>
      <c r="SMP278" s="147"/>
      <c r="SMQ278" s="147"/>
      <c r="SMR278" s="147"/>
      <c r="SMS278" s="147"/>
      <c r="SMT278" s="147"/>
      <c r="SMU278" s="147"/>
      <c r="SMV278" s="147"/>
      <c r="SMW278" s="147"/>
      <c r="SMX278" s="147"/>
      <c r="SMY278" s="147"/>
      <c r="SMZ278" s="147"/>
      <c r="SNA278" s="147"/>
      <c r="SNB278" s="147"/>
      <c r="SNC278" s="147"/>
      <c r="SND278" s="147"/>
      <c r="SNE278" s="147"/>
      <c r="SNF278" s="147"/>
      <c r="SNG278" s="147"/>
      <c r="SNH278" s="147"/>
      <c r="SNI278" s="147"/>
      <c r="SNJ278" s="147"/>
      <c r="SNK278" s="147"/>
      <c r="SNL278" s="147"/>
      <c r="SNM278" s="147"/>
      <c r="SNN278" s="147"/>
      <c r="SNO278" s="147"/>
      <c r="SNP278" s="147"/>
      <c r="SNQ278" s="147"/>
      <c r="SNR278" s="147"/>
      <c r="SNS278" s="147"/>
      <c r="SNT278" s="147"/>
      <c r="SNU278" s="147"/>
      <c r="SNV278" s="147"/>
      <c r="SNW278" s="147"/>
      <c r="SNX278" s="147"/>
      <c r="SNY278" s="147"/>
      <c r="SNZ278" s="147"/>
      <c r="SOA278" s="147"/>
      <c r="SOB278" s="147"/>
      <c r="SOC278" s="147"/>
      <c r="SOD278" s="147"/>
      <c r="SOE278" s="147"/>
      <c r="SOF278" s="147"/>
      <c r="SOG278" s="147"/>
      <c r="SOH278" s="147"/>
      <c r="SOI278" s="147"/>
      <c r="SOJ278" s="147"/>
      <c r="SOK278" s="147"/>
      <c r="SOL278" s="147"/>
      <c r="SOM278" s="147"/>
      <c r="SON278" s="147"/>
      <c r="SOO278" s="147"/>
      <c r="SOP278" s="147"/>
      <c r="SOQ278" s="147"/>
      <c r="SOR278" s="147"/>
      <c r="SOS278" s="147"/>
      <c r="SOT278" s="147"/>
      <c r="SOU278" s="147"/>
      <c r="SOV278" s="147"/>
      <c r="SOW278" s="147"/>
      <c r="SOX278" s="147"/>
      <c r="SOY278" s="147"/>
      <c r="SOZ278" s="147"/>
      <c r="SPA278" s="147"/>
      <c r="SPB278" s="147"/>
      <c r="SPC278" s="147"/>
      <c r="SPD278" s="147"/>
      <c r="SPE278" s="147"/>
      <c r="SPF278" s="147"/>
      <c r="SPG278" s="147"/>
      <c r="SPH278" s="147"/>
      <c r="SPI278" s="147"/>
      <c r="SPJ278" s="147"/>
      <c r="SPK278" s="147"/>
      <c r="SPL278" s="147"/>
      <c r="SPM278" s="147"/>
      <c r="SPN278" s="147"/>
      <c r="SPO278" s="147"/>
      <c r="SPP278" s="147"/>
      <c r="SPQ278" s="147"/>
      <c r="SPR278" s="147"/>
      <c r="SPS278" s="147"/>
      <c r="SPT278" s="147"/>
      <c r="SPU278" s="147"/>
      <c r="SPV278" s="147"/>
      <c r="SPW278" s="147"/>
      <c r="SPX278" s="147"/>
      <c r="SPY278" s="147"/>
      <c r="SPZ278" s="147"/>
      <c r="SQA278" s="147"/>
      <c r="SQB278" s="147"/>
      <c r="SQC278" s="147"/>
      <c r="SQD278" s="147"/>
      <c r="SQE278" s="147"/>
      <c r="SQF278" s="147"/>
      <c r="SQG278" s="147"/>
      <c r="SQH278" s="147"/>
      <c r="SQI278" s="147"/>
      <c r="SQJ278" s="147"/>
      <c r="SQK278" s="147"/>
      <c r="SQL278" s="147"/>
      <c r="SQM278" s="147"/>
      <c r="SQN278" s="147"/>
      <c r="SQO278" s="147"/>
      <c r="SQP278" s="147"/>
      <c r="SQQ278" s="147"/>
      <c r="SQR278" s="147"/>
      <c r="SQS278" s="147"/>
      <c r="SQT278" s="147"/>
      <c r="SQU278" s="147"/>
      <c r="SQV278" s="147"/>
      <c r="SQW278" s="147"/>
      <c r="SQX278" s="147"/>
      <c r="SQY278" s="147"/>
      <c r="SQZ278" s="147"/>
      <c r="SRA278" s="147"/>
      <c r="SRB278" s="147"/>
      <c r="SRC278" s="147"/>
      <c r="SRD278" s="147"/>
      <c r="SRE278" s="147"/>
      <c r="SRF278" s="147"/>
      <c r="SRG278" s="147"/>
      <c r="SRH278" s="147"/>
      <c r="SRI278" s="147"/>
      <c r="SRJ278" s="147"/>
      <c r="SRK278" s="147"/>
      <c r="SRL278" s="147"/>
      <c r="SRM278" s="147"/>
      <c r="SRN278" s="147"/>
      <c r="SRO278" s="147"/>
      <c r="SRP278" s="147"/>
      <c r="SRQ278" s="147"/>
      <c r="SRR278" s="147"/>
      <c r="SRS278" s="147"/>
      <c r="SRT278" s="147"/>
      <c r="SRU278" s="147"/>
      <c r="SRV278" s="147"/>
      <c r="SRW278" s="147"/>
      <c r="SRX278" s="147"/>
      <c r="SRY278" s="147"/>
      <c r="SRZ278" s="147"/>
      <c r="SSA278" s="147"/>
      <c r="SSB278" s="147"/>
      <c r="SSC278" s="147"/>
      <c r="SSD278" s="147"/>
      <c r="SSE278" s="147"/>
      <c r="SSF278" s="147"/>
      <c r="SSG278" s="147"/>
      <c r="SSH278" s="147"/>
      <c r="SSI278" s="147"/>
      <c r="SSJ278" s="147"/>
      <c r="SSK278" s="147"/>
      <c r="SSL278" s="147"/>
      <c r="SSM278" s="147"/>
      <c r="SSN278" s="147"/>
      <c r="SSO278" s="147"/>
      <c r="SSP278" s="147"/>
      <c r="SSQ278" s="147"/>
      <c r="SSR278" s="147"/>
      <c r="SSS278" s="147"/>
      <c r="SST278" s="147"/>
      <c r="SSU278" s="147"/>
      <c r="SSV278" s="147"/>
      <c r="SSW278" s="147"/>
      <c r="SSX278" s="147"/>
      <c r="SSY278" s="147"/>
      <c r="SSZ278" s="147"/>
      <c r="STA278" s="147"/>
      <c r="STB278" s="147"/>
      <c r="STC278" s="147"/>
      <c r="STD278" s="147"/>
      <c r="STE278" s="147"/>
      <c r="STF278" s="147"/>
      <c r="STG278" s="147"/>
      <c r="STH278" s="147"/>
      <c r="STI278" s="147"/>
      <c r="STJ278" s="147"/>
      <c r="STK278" s="147"/>
      <c r="STL278" s="147"/>
      <c r="STM278" s="147"/>
      <c r="STN278" s="147"/>
      <c r="STO278" s="147"/>
      <c r="STP278" s="147"/>
      <c r="STQ278" s="147"/>
      <c r="STR278" s="147"/>
      <c r="STS278" s="147"/>
      <c r="STT278" s="147"/>
      <c r="STU278" s="147"/>
      <c r="STV278" s="147"/>
      <c r="STW278" s="147"/>
      <c r="STX278" s="147"/>
      <c r="STY278" s="147"/>
      <c r="STZ278" s="147"/>
      <c r="SUA278" s="147"/>
      <c r="SUB278" s="147"/>
      <c r="SUC278" s="147"/>
      <c r="SUD278" s="147"/>
      <c r="SUE278" s="147"/>
      <c r="SUF278" s="147"/>
      <c r="SUG278" s="147"/>
      <c r="SUH278" s="147"/>
      <c r="SUI278" s="147"/>
      <c r="SUJ278" s="147"/>
      <c r="SUK278" s="147"/>
      <c r="SUL278" s="147"/>
      <c r="SUM278" s="147"/>
      <c r="SUN278" s="147"/>
      <c r="SUO278" s="147"/>
      <c r="SUP278" s="147"/>
      <c r="SUQ278" s="147"/>
      <c r="SUR278" s="147"/>
      <c r="SUS278" s="147"/>
      <c r="SUT278" s="147"/>
      <c r="SUU278" s="147"/>
      <c r="SUV278" s="147"/>
      <c r="SUW278" s="147"/>
      <c r="SUX278" s="147"/>
      <c r="SUY278" s="147"/>
      <c r="SUZ278" s="147"/>
      <c r="SVA278" s="147"/>
      <c r="SVB278" s="147"/>
      <c r="SVC278" s="147"/>
      <c r="SVD278" s="147"/>
      <c r="SVE278" s="147"/>
      <c r="SVF278" s="147"/>
      <c r="SVG278" s="147"/>
      <c r="SVH278" s="147"/>
      <c r="SVI278" s="147"/>
      <c r="SVJ278" s="147"/>
      <c r="SVK278" s="147"/>
      <c r="SVL278" s="147"/>
      <c r="SVM278" s="147"/>
      <c r="SVN278" s="147"/>
      <c r="SVO278" s="147"/>
      <c r="SVP278" s="147"/>
      <c r="SVQ278" s="147"/>
      <c r="SVR278" s="147"/>
      <c r="SVS278" s="147"/>
      <c r="SVT278" s="147"/>
      <c r="SVU278" s="147"/>
      <c r="SVV278" s="147"/>
      <c r="SVW278" s="147"/>
      <c r="SVX278" s="147"/>
      <c r="SVY278" s="147"/>
      <c r="SVZ278" s="147"/>
      <c r="SWA278" s="147"/>
      <c r="SWB278" s="147"/>
      <c r="SWC278" s="147"/>
      <c r="SWD278" s="147"/>
      <c r="SWE278" s="147"/>
      <c r="SWF278" s="147"/>
      <c r="SWG278" s="147"/>
      <c r="SWH278" s="147"/>
      <c r="SWI278" s="147"/>
      <c r="SWJ278" s="147"/>
      <c r="SWK278" s="147"/>
      <c r="SWL278" s="147"/>
      <c r="SWM278" s="147"/>
      <c r="SWN278" s="147"/>
      <c r="SWO278" s="147"/>
      <c r="SWP278" s="147"/>
      <c r="SWQ278" s="147"/>
      <c r="SWR278" s="147"/>
      <c r="SWS278" s="147"/>
      <c r="SWT278" s="147"/>
      <c r="SWU278" s="147"/>
      <c r="SWV278" s="147"/>
      <c r="SWW278" s="147"/>
      <c r="SWX278" s="147"/>
      <c r="SWY278" s="147"/>
      <c r="SWZ278" s="147"/>
      <c r="SXA278" s="147"/>
      <c r="SXB278" s="147"/>
      <c r="SXC278" s="147"/>
      <c r="SXD278" s="147"/>
      <c r="SXE278" s="147"/>
      <c r="SXF278" s="147"/>
      <c r="SXG278" s="147"/>
      <c r="SXH278" s="147"/>
      <c r="SXI278" s="147"/>
      <c r="SXJ278" s="147"/>
      <c r="SXK278" s="147"/>
      <c r="SXL278" s="147"/>
      <c r="SXM278" s="147"/>
      <c r="SXN278" s="147"/>
      <c r="SXO278" s="147"/>
      <c r="SXP278" s="147"/>
      <c r="SXQ278" s="147"/>
      <c r="SXR278" s="147"/>
      <c r="SXS278" s="147"/>
      <c r="SXT278" s="147"/>
      <c r="SXU278" s="147"/>
      <c r="SXV278" s="147"/>
      <c r="SXW278" s="147"/>
      <c r="SXX278" s="147"/>
      <c r="SXY278" s="147"/>
      <c r="SXZ278" s="147"/>
      <c r="SYA278" s="147"/>
      <c r="SYB278" s="147"/>
      <c r="SYC278" s="147"/>
      <c r="SYD278" s="147"/>
      <c r="SYE278" s="147"/>
      <c r="SYF278" s="147"/>
      <c r="SYG278" s="147"/>
      <c r="SYH278" s="147"/>
      <c r="SYI278" s="147"/>
      <c r="SYJ278" s="147"/>
      <c r="SYK278" s="147"/>
      <c r="SYL278" s="147"/>
      <c r="SYM278" s="147"/>
      <c r="SYN278" s="147"/>
      <c r="SYO278" s="147"/>
      <c r="SYP278" s="147"/>
      <c r="SYQ278" s="147"/>
      <c r="SYR278" s="147"/>
      <c r="SYS278" s="147"/>
      <c r="SYT278" s="147"/>
      <c r="SYU278" s="147"/>
      <c r="SYV278" s="147"/>
      <c r="SYW278" s="147"/>
      <c r="SYX278" s="147"/>
      <c r="SYY278" s="147"/>
      <c r="SYZ278" s="147"/>
      <c r="SZA278" s="147"/>
      <c r="SZB278" s="147"/>
      <c r="SZC278" s="147"/>
      <c r="SZD278" s="147"/>
      <c r="SZE278" s="147"/>
      <c r="SZF278" s="147"/>
      <c r="SZG278" s="147"/>
      <c r="SZH278" s="147"/>
      <c r="SZI278" s="147"/>
      <c r="SZJ278" s="147"/>
      <c r="SZK278" s="147"/>
      <c r="SZL278" s="147"/>
      <c r="SZM278" s="147"/>
      <c r="SZN278" s="147"/>
      <c r="SZO278" s="147"/>
      <c r="SZP278" s="147"/>
      <c r="SZQ278" s="147"/>
      <c r="SZR278" s="147"/>
      <c r="SZS278" s="147"/>
      <c r="SZT278" s="147"/>
      <c r="SZU278" s="147"/>
      <c r="SZV278" s="147"/>
      <c r="SZW278" s="147"/>
      <c r="SZX278" s="147"/>
      <c r="SZY278" s="147"/>
      <c r="SZZ278" s="147"/>
      <c r="TAA278" s="147"/>
      <c r="TAB278" s="147"/>
      <c r="TAC278" s="147"/>
      <c r="TAD278" s="147"/>
      <c r="TAE278" s="147"/>
      <c r="TAF278" s="147"/>
      <c r="TAG278" s="147"/>
      <c r="TAH278" s="147"/>
      <c r="TAI278" s="147"/>
      <c r="TAJ278" s="147"/>
      <c r="TAK278" s="147"/>
      <c r="TAL278" s="147"/>
      <c r="TAM278" s="147"/>
      <c r="TAN278" s="147"/>
      <c r="TAO278" s="147"/>
      <c r="TAP278" s="147"/>
      <c r="TAQ278" s="147"/>
      <c r="TAR278" s="147"/>
      <c r="TAS278" s="147"/>
      <c r="TAT278" s="147"/>
      <c r="TAU278" s="147"/>
      <c r="TAV278" s="147"/>
      <c r="TAW278" s="147"/>
      <c r="TAX278" s="147"/>
      <c r="TAY278" s="147"/>
      <c r="TAZ278" s="147"/>
      <c r="TBA278" s="147"/>
      <c r="TBB278" s="147"/>
      <c r="TBC278" s="147"/>
      <c r="TBD278" s="147"/>
      <c r="TBE278" s="147"/>
      <c r="TBF278" s="147"/>
      <c r="TBG278" s="147"/>
      <c r="TBH278" s="147"/>
      <c r="TBI278" s="147"/>
      <c r="TBJ278" s="147"/>
      <c r="TBK278" s="147"/>
      <c r="TBL278" s="147"/>
      <c r="TBM278" s="147"/>
      <c r="TBN278" s="147"/>
      <c r="TBO278" s="147"/>
      <c r="TBP278" s="147"/>
      <c r="TBQ278" s="147"/>
      <c r="TBR278" s="147"/>
      <c r="TBS278" s="147"/>
      <c r="TBT278" s="147"/>
      <c r="TBU278" s="147"/>
      <c r="TBV278" s="147"/>
      <c r="TBW278" s="147"/>
      <c r="TBX278" s="147"/>
      <c r="TBY278" s="147"/>
      <c r="TBZ278" s="147"/>
      <c r="TCA278" s="147"/>
      <c r="TCB278" s="147"/>
      <c r="TCC278" s="147"/>
      <c r="TCD278" s="147"/>
      <c r="TCE278" s="147"/>
      <c r="TCF278" s="147"/>
      <c r="TCG278" s="147"/>
      <c r="TCH278" s="147"/>
      <c r="TCI278" s="147"/>
      <c r="TCJ278" s="147"/>
      <c r="TCK278" s="147"/>
      <c r="TCL278" s="147"/>
      <c r="TCM278" s="147"/>
      <c r="TCN278" s="147"/>
      <c r="TCO278" s="147"/>
      <c r="TCP278" s="147"/>
      <c r="TCQ278" s="147"/>
      <c r="TCR278" s="147"/>
      <c r="TCS278" s="147"/>
      <c r="TCT278" s="147"/>
      <c r="TCU278" s="147"/>
      <c r="TCV278" s="147"/>
      <c r="TCW278" s="147"/>
      <c r="TCX278" s="147"/>
      <c r="TCY278" s="147"/>
      <c r="TCZ278" s="147"/>
      <c r="TDA278" s="147"/>
      <c r="TDB278" s="147"/>
      <c r="TDC278" s="147"/>
      <c r="TDD278" s="147"/>
      <c r="TDE278" s="147"/>
      <c r="TDF278" s="147"/>
      <c r="TDG278" s="147"/>
      <c r="TDH278" s="147"/>
      <c r="TDI278" s="147"/>
      <c r="TDJ278" s="147"/>
      <c r="TDK278" s="147"/>
      <c r="TDL278" s="147"/>
      <c r="TDM278" s="147"/>
      <c r="TDN278" s="147"/>
      <c r="TDO278" s="147"/>
      <c r="TDP278" s="147"/>
      <c r="TDQ278" s="147"/>
      <c r="TDR278" s="147"/>
      <c r="TDS278" s="147"/>
      <c r="TDT278" s="147"/>
      <c r="TDU278" s="147"/>
      <c r="TDV278" s="147"/>
      <c r="TDW278" s="147"/>
      <c r="TDX278" s="147"/>
      <c r="TDY278" s="147"/>
      <c r="TDZ278" s="147"/>
      <c r="TEA278" s="147"/>
      <c r="TEB278" s="147"/>
      <c r="TEC278" s="147"/>
      <c r="TED278" s="147"/>
      <c r="TEE278" s="147"/>
      <c r="TEF278" s="147"/>
      <c r="TEG278" s="147"/>
      <c r="TEH278" s="147"/>
      <c r="TEI278" s="147"/>
      <c r="TEJ278" s="147"/>
      <c r="TEK278" s="147"/>
      <c r="TEL278" s="147"/>
      <c r="TEM278" s="147"/>
      <c r="TEN278" s="147"/>
      <c r="TEO278" s="147"/>
      <c r="TEP278" s="147"/>
      <c r="TEQ278" s="147"/>
      <c r="TER278" s="147"/>
      <c r="TES278" s="147"/>
      <c r="TET278" s="147"/>
      <c r="TEU278" s="147"/>
      <c r="TEV278" s="147"/>
      <c r="TEW278" s="147"/>
      <c r="TEX278" s="147"/>
      <c r="TEY278" s="147"/>
      <c r="TEZ278" s="147"/>
      <c r="TFA278" s="147"/>
      <c r="TFB278" s="147"/>
      <c r="TFC278" s="147"/>
      <c r="TFD278" s="147"/>
      <c r="TFE278" s="147"/>
      <c r="TFF278" s="147"/>
      <c r="TFG278" s="147"/>
      <c r="TFH278" s="147"/>
      <c r="TFI278" s="147"/>
      <c r="TFJ278" s="147"/>
      <c r="TFK278" s="147"/>
      <c r="TFL278" s="147"/>
      <c r="TFM278" s="147"/>
      <c r="TFN278" s="147"/>
      <c r="TFO278" s="147"/>
      <c r="TFP278" s="147"/>
      <c r="TFQ278" s="147"/>
      <c r="TFR278" s="147"/>
      <c r="TFS278" s="147"/>
      <c r="TFT278" s="147"/>
      <c r="TFU278" s="147"/>
      <c r="TFV278" s="147"/>
      <c r="TFW278" s="147"/>
      <c r="TFX278" s="147"/>
      <c r="TFY278" s="147"/>
      <c r="TFZ278" s="147"/>
      <c r="TGA278" s="147"/>
      <c r="TGB278" s="147"/>
      <c r="TGC278" s="147"/>
      <c r="TGD278" s="147"/>
      <c r="TGE278" s="147"/>
      <c r="TGF278" s="147"/>
      <c r="TGG278" s="147"/>
      <c r="TGH278" s="147"/>
      <c r="TGI278" s="147"/>
      <c r="TGJ278" s="147"/>
      <c r="TGK278" s="147"/>
      <c r="TGL278" s="147"/>
      <c r="TGM278" s="147"/>
      <c r="TGN278" s="147"/>
      <c r="TGO278" s="147"/>
      <c r="TGP278" s="147"/>
      <c r="TGQ278" s="147"/>
      <c r="TGR278" s="147"/>
      <c r="TGS278" s="147"/>
      <c r="TGT278" s="147"/>
      <c r="TGU278" s="147"/>
      <c r="TGV278" s="147"/>
      <c r="TGW278" s="147"/>
      <c r="TGX278" s="147"/>
      <c r="TGY278" s="147"/>
      <c r="TGZ278" s="147"/>
      <c r="THA278" s="147"/>
      <c r="THB278" s="147"/>
      <c r="THC278" s="147"/>
      <c r="THD278" s="147"/>
      <c r="THE278" s="147"/>
      <c r="THF278" s="147"/>
      <c r="THG278" s="147"/>
      <c r="THH278" s="147"/>
      <c r="THI278" s="147"/>
      <c r="THJ278" s="147"/>
      <c r="THK278" s="147"/>
      <c r="THL278" s="147"/>
      <c r="THM278" s="147"/>
      <c r="THN278" s="147"/>
      <c r="THO278" s="147"/>
      <c r="THP278" s="147"/>
      <c r="THQ278" s="147"/>
      <c r="THR278" s="147"/>
      <c r="THS278" s="147"/>
      <c r="THT278" s="147"/>
      <c r="THU278" s="147"/>
      <c r="THV278" s="147"/>
      <c r="THW278" s="147"/>
      <c r="THX278" s="147"/>
      <c r="THY278" s="147"/>
      <c r="THZ278" s="147"/>
      <c r="TIA278" s="147"/>
      <c r="TIB278" s="147"/>
      <c r="TIC278" s="147"/>
      <c r="TID278" s="147"/>
      <c r="TIE278" s="147"/>
      <c r="TIF278" s="147"/>
      <c r="TIG278" s="147"/>
      <c r="TIH278" s="147"/>
      <c r="TII278" s="147"/>
      <c r="TIJ278" s="147"/>
      <c r="TIK278" s="147"/>
      <c r="TIL278" s="147"/>
      <c r="TIM278" s="147"/>
      <c r="TIN278" s="147"/>
      <c r="TIO278" s="147"/>
      <c r="TIP278" s="147"/>
      <c r="TIQ278" s="147"/>
      <c r="TIR278" s="147"/>
      <c r="TIS278" s="147"/>
      <c r="TIT278" s="147"/>
      <c r="TIU278" s="147"/>
      <c r="TIV278" s="147"/>
      <c r="TIW278" s="147"/>
      <c r="TIX278" s="147"/>
      <c r="TIY278" s="147"/>
      <c r="TIZ278" s="147"/>
      <c r="TJA278" s="147"/>
      <c r="TJB278" s="147"/>
      <c r="TJC278" s="147"/>
      <c r="TJD278" s="147"/>
      <c r="TJE278" s="147"/>
      <c r="TJF278" s="147"/>
      <c r="TJG278" s="147"/>
      <c r="TJH278" s="147"/>
      <c r="TJI278" s="147"/>
      <c r="TJJ278" s="147"/>
      <c r="TJK278" s="147"/>
      <c r="TJL278" s="147"/>
      <c r="TJM278" s="147"/>
      <c r="TJN278" s="147"/>
      <c r="TJO278" s="147"/>
      <c r="TJP278" s="147"/>
      <c r="TJQ278" s="147"/>
      <c r="TJR278" s="147"/>
      <c r="TJS278" s="147"/>
      <c r="TJT278" s="147"/>
      <c r="TJU278" s="147"/>
      <c r="TJV278" s="147"/>
      <c r="TJW278" s="147"/>
      <c r="TJX278" s="147"/>
      <c r="TJY278" s="147"/>
      <c r="TJZ278" s="147"/>
      <c r="TKA278" s="147"/>
      <c r="TKB278" s="147"/>
      <c r="TKC278" s="147"/>
      <c r="TKD278" s="147"/>
      <c r="TKE278" s="147"/>
      <c r="TKF278" s="147"/>
      <c r="TKG278" s="147"/>
      <c r="TKH278" s="147"/>
      <c r="TKI278" s="147"/>
      <c r="TKJ278" s="147"/>
      <c r="TKK278" s="147"/>
      <c r="TKL278" s="147"/>
      <c r="TKM278" s="147"/>
      <c r="TKN278" s="147"/>
      <c r="TKO278" s="147"/>
      <c r="TKP278" s="147"/>
      <c r="TKQ278" s="147"/>
      <c r="TKR278" s="147"/>
      <c r="TKS278" s="147"/>
      <c r="TKT278" s="147"/>
      <c r="TKU278" s="147"/>
      <c r="TKV278" s="147"/>
      <c r="TKW278" s="147"/>
      <c r="TKX278" s="147"/>
      <c r="TKY278" s="147"/>
      <c r="TKZ278" s="147"/>
      <c r="TLA278" s="147"/>
      <c r="TLB278" s="147"/>
      <c r="TLC278" s="147"/>
      <c r="TLD278" s="147"/>
      <c r="TLE278" s="147"/>
      <c r="TLF278" s="147"/>
      <c r="TLG278" s="147"/>
      <c r="TLH278" s="147"/>
      <c r="TLI278" s="147"/>
      <c r="TLJ278" s="147"/>
      <c r="TLK278" s="147"/>
      <c r="TLL278" s="147"/>
      <c r="TLM278" s="147"/>
      <c r="TLN278" s="147"/>
      <c r="TLO278" s="147"/>
      <c r="TLP278" s="147"/>
      <c r="TLQ278" s="147"/>
      <c r="TLR278" s="147"/>
      <c r="TLS278" s="147"/>
      <c r="TLT278" s="147"/>
      <c r="TLU278" s="147"/>
      <c r="TLV278" s="147"/>
      <c r="TLW278" s="147"/>
      <c r="TLX278" s="147"/>
      <c r="TLY278" s="147"/>
      <c r="TLZ278" s="147"/>
      <c r="TMA278" s="147"/>
      <c r="TMB278" s="147"/>
      <c r="TMC278" s="147"/>
      <c r="TMD278" s="147"/>
      <c r="TME278" s="147"/>
      <c r="TMF278" s="147"/>
      <c r="TMG278" s="147"/>
      <c r="TMH278" s="147"/>
      <c r="TMI278" s="147"/>
      <c r="TMJ278" s="147"/>
      <c r="TMK278" s="147"/>
      <c r="TML278" s="147"/>
      <c r="TMM278" s="147"/>
      <c r="TMN278" s="147"/>
      <c r="TMO278" s="147"/>
      <c r="TMP278" s="147"/>
      <c r="TMQ278" s="147"/>
      <c r="TMR278" s="147"/>
      <c r="TMS278" s="147"/>
      <c r="TMT278" s="147"/>
      <c r="TMU278" s="147"/>
      <c r="TMV278" s="147"/>
      <c r="TMW278" s="147"/>
      <c r="TMX278" s="147"/>
      <c r="TMY278" s="147"/>
      <c r="TMZ278" s="147"/>
      <c r="TNA278" s="147"/>
      <c r="TNB278" s="147"/>
      <c r="TNC278" s="147"/>
      <c r="TND278" s="147"/>
      <c r="TNE278" s="147"/>
      <c r="TNF278" s="147"/>
      <c r="TNG278" s="147"/>
      <c r="TNH278" s="147"/>
      <c r="TNI278" s="147"/>
      <c r="TNJ278" s="147"/>
      <c r="TNK278" s="147"/>
      <c r="TNL278" s="147"/>
      <c r="TNM278" s="147"/>
      <c r="TNN278" s="147"/>
      <c r="TNO278" s="147"/>
      <c r="TNP278" s="147"/>
      <c r="TNQ278" s="147"/>
      <c r="TNR278" s="147"/>
      <c r="TNS278" s="147"/>
      <c r="TNT278" s="147"/>
      <c r="TNU278" s="147"/>
      <c r="TNV278" s="147"/>
      <c r="TNW278" s="147"/>
      <c r="TNX278" s="147"/>
      <c r="TNY278" s="147"/>
      <c r="TNZ278" s="147"/>
      <c r="TOA278" s="147"/>
      <c r="TOB278" s="147"/>
      <c r="TOC278" s="147"/>
      <c r="TOD278" s="147"/>
      <c r="TOE278" s="147"/>
      <c r="TOF278" s="147"/>
      <c r="TOG278" s="147"/>
      <c r="TOH278" s="147"/>
      <c r="TOI278" s="147"/>
      <c r="TOJ278" s="147"/>
      <c r="TOK278" s="147"/>
      <c r="TOL278" s="147"/>
      <c r="TOM278" s="147"/>
      <c r="TON278" s="147"/>
      <c r="TOO278" s="147"/>
      <c r="TOP278" s="147"/>
      <c r="TOQ278" s="147"/>
      <c r="TOR278" s="147"/>
      <c r="TOS278" s="147"/>
      <c r="TOT278" s="147"/>
      <c r="TOU278" s="147"/>
      <c r="TOV278" s="147"/>
      <c r="TOW278" s="147"/>
      <c r="TOX278" s="147"/>
      <c r="TOY278" s="147"/>
      <c r="TOZ278" s="147"/>
      <c r="TPA278" s="147"/>
      <c r="TPB278" s="147"/>
      <c r="TPC278" s="147"/>
      <c r="TPD278" s="147"/>
      <c r="TPE278" s="147"/>
      <c r="TPF278" s="147"/>
      <c r="TPG278" s="147"/>
      <c r="TPH278" s="147"/>
      <c r="TPI278" s="147"/>
      <c r="TPJ278" s="147"/>
      <c r="TPK278" s="147"/>
      <c r="TPL278" s="147"/>
      <c r="TPM278" s="147"/>
      <c r="TPN278" s="147"/>
      <c r="TPO278" s="147"/>
      <c r="TPP278" s="147"/>
      <c r="TPQ278" s="147"/>
      <c r="TPR278" s="147"/>
      <c r="TPS278" s="147"/>
      <c r="TPT278" s="147"/>
      <c r="TPU278" s="147"/>
      <c r="TPV278" s="147"/>
      <c r="TPW278" s="147"/>
      <c r="TPX278" s="147"/>
      <c r="TPY278" s="147"/>
      <c r="TPZ278" s="147"/>
      <c r="TQA278" s="147"/>
      <c r="TQB278" s="147"/>
      <c r="TQC278" s="147"/>
      <c r="TQD278" s="147"/>
      <c r="TQE278" s="147"/>
      <c r="TQF278" s="147"/>
      <c r="TQG278" s="147"/>
      <c r="TQH278" s="147"/>
      <c r="TQI278" s="147"/>
      <c r="TQJ278" s="147"/>
      <c r="TQK278" s="147"/>
      <c r="TQL278" s="147"/>
      <c r="TQM278" s="147"/>
      <c r="TQN278" s="147"/>
      <c r="TQO278" s="147"/>
      <c r="TQP278" s="147"/>
      <c r="TQQ278" s="147"/>
      <c r="TQR278" s="147"/>
      <c r="TQS278" s="147"/>
      <c r="TQT278" s="147"/>
      <c r="TQU278" s="147"/>
      <c r="TQV278" s="147"/>
      <c r="TQW278" s="147"/>
      <c r="TQX278" s="147"/>
      <c r="TQY278" s="147"/>
      <c r="TQZ278" s="147"/>
      <c r="TRA278" s="147"/>
      <c r="TRB278" s="147"/>
      <c r="TRC278" s="147"/>
      <c r="TRD278" s="147"/>
      <c r="TRE278" s="147"/>
      <c r="TRF278" s="147"/>
      <c r="TRG278" s="147"/>
      <c r="TRH278" s="147"/>
      <c r="TRI278" s="147"/>
      <c r="TRJ278" s="147"/>
      <c r="TRK278" s="147"/>
      <c r="TRL278" s="147"/>
      <c r="TRM278" s="147"/>
      <c r="TRN278" s="147"/>
      <c r="TRO278" s="147"/>
      <c r="TRP278" s="147"/>
      <c r="TRQ278" s="147"/>
      <c r="TRR278" s="147"/>
      <c r="TRS278" s="147"/>
      <c r="TRT278" s="147"/>
      <c r="TRU278" s="147"/>
      <c r="TRV278" s="147"/>
      <c r="TRW278" s="147"/>
      <c r="TRX278" s="147"/>
      <c r="TRY278" s="147"/>
      <c r="TRZ278" s="147"/>
      <c r="TSA278" s="147"/>
      <c r="TSB278" s="147"/>
      <c r="TSC278" s="147"/>
      <c r="TSD278" s="147"/>
      <c r="TSE278" s="147"/>
      <c r="TSF278" s="147"/>
      <c r="TSG278" s="147"/>
      <c r="TSH278" s="147"/>
      <c r="TSI278" s="147"/>
      <c r="TSJ278" s="147"/>
      <c r="TSK278" s="147"/>
      <c r="TSL278" s="147"/>
      <c r="TSM278" s="147"/>
      <c r="TSN278" s="147"/>
      <c r="TSO278" s="147"/>
      <c r="TSP278" s="147"/>
      <c r="TSQ278" s="147"/>
      <c r="TSR278" s="147"/>
      <c r="TSS278" s="147"/>
      <c r="TST278" s="147"/>
      <c r="TSU278" s="147"/>
      <c r="TSV278" s="147"/>
      <c r="TSW278" s="147"/>
      <c r="TSX278" s="147"/>
      <c r="TSY278" s="147"/>
      <c r="TSZ278" s="147"/>
      <c r="TTA278" s="147"/>
      <c r="TTB278" s="147"/>
      <c r="TTC278" s="147"/>
      <c r="TTD278" s="147"/>
      <c r="TTE278" s="147"/>
      <c r="TTF278" s="147"/>
      <c r="TTG278" s="147"/>
      <c r="TTH278" s="147"/>
      <c r="TTI278" s="147"/>
      <c r="TTJ278" s="147"/>
      <c r="TTK278" s="147"/>
      <c r="TTL278" s="147"/>
      <c r="TTM278" s="147"/>
      <c r="TTN278" s="147"/>
      <c r="TTO278" s="147"/>
      <c r="TTP278" s="147"/>
      <c r="TTQ278" s="147"/>
      <c r="TTR278" s="147"/>
      <c r="TTS278" s="147"/>
      <c r="TTT278" s="147"/>
      <c r="TTU278" s="147"/>
      <c r="TTV278" s="147"/>
      <c r="TTW278" s="147"/>
      <c r="TTX278" s="147"/>
      <c r="TTY278" s="147"/>
      <c r="TTZ278" s="147"/>
      <c r="TUA278" s="147"/>
      <c r="TUB278" s="147"/>
      <c r="TUC278" s="147"/>
      <c r="TUD278" s="147"/>
      <c r="TUE278" s="147"/>
      <c r="TUF278" s="147"/>
      <c r="TUG278" s="147"/>
      <c r="TUH278" s="147"/>
      <c r="TUI278" s="147"/>
      <c r="TUJ278" s="147"/>
      <c r="TUK278" s="147"/>
      <c r="TUL278" s="147"/>
      <c r="TUM278" s="147"/>
      <c r="TUN278" s="147"/>
      <c r="TUO278" s="147"/>
      <c r="TUP278" s="147"/>
      <c r="TUQ278" s="147"/>
      <c r="TUR278" s="147"/>
      <c r="TUS278" s="147"/>
      <c r="TUT278" s="147"/>
      <c r="TUU278" s="147"/>
      <c r="TUV278" s="147"/>
      <c r="TUW278" s="147"/>
      <c r="TUX278" s="147"/>
      <c r="TUY278" s="147"/>
      <c r="TUZ278" s="147"/>
      <c r="TVA278" s="147"/>
      <c r="TVB278" s="147"/>
      <c r="TVC278" s="147"/>
      <c r="TVD278" s="147"/>
      <c r="TVE278" s="147"/>
      <c r="TVF278" s="147"/>
      <c r="TVG278" s="147"/>
      <c r="TVH278" s="147"/>
      <c r="TVI278" s="147"/>
      <c r="TVJ278" s="147"/>
      <c r="TVK278" s="147"/>
      <c r="TVL278" s="147"/>
      <c r="TVM278" s="147"/>
      <c r="TVN278" s="147"/>
      <c r="TVO278" s="147"/>
      <c r="TVP278" s="147"/>
      <c r="TVQ278" s="147"/>
      <c r="TVR278" s="147"/>
      <c r="TVS278" s="147"/>
      <c r="TVT278" s="147"/>
      <c r="TVU278" s="147"/>
      <c r="TVV278" s="147"/>
      <c r="TVW278" s="147"/>
      <c r="TVX278" s="147"/>
      <c r="TVY278" s="147"/>
      <c r="TVZ278" s="147"/>
      <c r="TWA278" s="147"/>
      <c r="TWB278" s="147"/>
      <c r="TWC278" s="147"/>
      <c r="TWD278" s="147"/>
      <c r="TWE278" s="147"/>
      <c r="TWF278" s="147"/>
      <c r="TWG278" s="147"/>
      <c r="TWH278" s="147"/>
      <c r="TWI278" s="147"/>
      <c r="TWJ278" s="147"/>
      <c r="TWK278" s="147"/>
      <c r="TWL278" s="147"/>
      <c r="TWM278" s="147"/>
      <c r="TWN278" s="147"/>
      <c r="TWO278" s="147"/>
      <c r="TWP278" s="147"/>
      <c r="TWQ278" s="147"/>
      <c r="TWR278" s="147"/>
      <c r="TWS278" s="147"/>
      <c r="TWT278" s="147"/>
      <c r="TWU278" s="147"/>
      <c r="TWV278" s="147"/>
      <c r="TWW278" s="147"/>
      <c r="TWX278" s="147"/>
      <c r="TWY278" s="147"/>
      <c r="TWZ278" s="147"/>
      <c r="TXA278" s="147"/>
      <c r="TXB278" s="147"/>
      <c r="TXC278" s="147"/>
      <c r="TXD278" s="147"/>
      <c r="TXE278" s="147"/>
      <c r="TXF278" s="147"/>
      <c r="TXG278" s="147"/>
      <c r="TXH278" s="147"/>
      <c r="TXI278" s="147"/>
      <c r="TXJ278" s="147"/>
      <c r="TXK278" s="147"/>
      <c r="TXL278" s="147"/>
      <c r="TXM278" s="147"/>
      <c r="TXN278" s="147"/>
      <c r="TXO278" s="147"/>
      <c r="TXP278" s="147"/>
      <c r="TXQ278" s="147"/>
      <c r="TXR278" s="147"/>
      <c r="TXS278" s="147"/>
      <c r="TXT278" s="147"/>
      <c r="TXU278" s="147"/>
      <c r="TXV278" s="147"/>
      <c r="TXW278" s="147"/>
      <c r="TXX278" s="147"/>
      <c r="TXY278" s="147"/>
      <c r="TXZ278" s="147"/>
      <c r="TYA278" s="147"/>
      <c r="TYB278" s="147"/>
      <c r="TYC278" s="147"/>
      <c r="TYD278" s="147"/>
      <c r="TYE278" s="147"/>
      <c r="TYF278" s="147"/>
      <c r="TYG278" s="147"/>
      <c r="TYH278" s="147"/>
      <c r="TYI278" s="147"/>
      <c r="TYJ278" s="147"/>
      <c r="TYK278" s="147"/>
      <c r="TYL278" s="147"/>
      <c r="TYM278" s="147"/>
      <c r="TYN278" s="147"/>
      <c r="TYO278" s="147"/>
      <c r="TYP278" s="147"/>
      <c r="TYQ278" s="147"/>
      <c r="TYR278" s="147"/>
      <c r="TYS278" s="147"/>
      <c r="TYT278" s="147"/>
      <c r="TYU278" s="147"/>
      <c r="TYV278" s="147"/>
      <c r="TYW278" s="147"/>
      <c r="TYX278" s="147"/>
      <c r="TYY278" s="147"/>
      <c r="TYZ278" s="147"/>
      <c r="TZA278" s="147"/>
      <c r="TZB278" s="147"/>
      <c r="TZC278" s="147"/>
      <c r="TZD278" s="147"/>
      <c r="TZE278" s="147"/>
      <c r="TZF278" s="147"/>
      <c r="TZG278" s="147"/>
      <c r="TZH278" s="147"/>
      <c r="TZI278" s="147"/>
      <c r="TZJ278" s="147"/>
      <c r="TZK278" s="147"/>
      <c r="TZL278" s="147"/>
      <c r="TZM278" s="147"/>
      <c r="TZN278" s="147"/>
      <c r="TZO278" s="147"/>
      <c r="TZP278" s="147"/>
      <c r="TZQ278" s="147"/>
      <c r="TZR278" s="147"/>
      <c r="TZS278" s="147"/>
      <c r="TZT278" s="147"/>
      <c r="TZU278" s="147"/>
      <c r="TZV278" s="147"/>
      <c r="TZW278" s="147"/>
      <c r="TZX278" s="147"/>
      <c r="TZY278" s="147"/>
      <c r="TZZ278" s="147"/>
      <c r="UAA278" s="147"/>
      <c r="UAB278" s="147"/>
      <c r="UAC278" s="147"/>
      <c r="UAD278" s="147"/>
      <c r="UAE278" s="147"/>
      <c r="UAF278" s="147"/>
      <c r="UAG278" s="147"/>
      <c r="UAH278" s="147"/>
      <c r="UAI278" s="147"/>
      <c r="UAJ278" s="147"/>
      <c r="UAK278" s="147"/>
      <c r="UAL278" s="147"/>
      <c r="UAM278" s="147"/>
      <c r="UAN278" s="147"/>
      <c r="UAO278" s="147"/>
      <c r="UAP278" s="147"/>
      <c r="UAQ278" s="147"/>
      <c r="UAR278" s="147"/>
      <c r="UAS278" s="147"/>
      <c r="UAT278" s="147"/>
      <c r="UAU278" s="147"/>
      <c r="UAV278" s="147"/>
      <c r="UAW278" s="147"/>
      <c r="UAX278" s="147"/>
      <c r="UAY278" s="147"/>
      <c r="UAZ278" s="147"/>
      <c r="UBA278" s="147"/>
      <c r="UBB278" s="147"/>
      <c r="UBC278" s="147"/>
      <c r="UBD278" s="147"/>
      <c r="UBE278" s="147"/>
      <c r="UBF278" s="147"/>
      <c r="UBG278" s="147"/>
      <c r="UBH278" s="147"/>
      <c r="UBI278" s="147"/>
      <c r="UBJ278" s="147"/>
      <c r="UBK278" s="147"/>
      <c r="UBL278" s="147"/>
      <c r="UBM278" s="147"/>
      <c r="UBN278" s="147"/>
      <c r="UBO278" s="147"/>
      <c r="UBP278" s="147"/>
      <c r="UBQ278" s="147"/>
      <c r="UBR278" s="147"/>
      <c r="UBS278" s="147"/>
      <c r="UBT278" s="147"/>
      <c r="UBU278" s="147"/>
      <c r="UBV278" s="147"/>
      <c r="UBW278" s="147"/>
      <c r="UBX278" s="147"/>
      <c r="UBY278" s="147"/>
      <c r="UBZ278" s="147"/>
      <c r="UCA278" s="147"/>
      <c r="UCB278" s="147"/>
      <c r="UCC278" s="147"/>
      <c r="UCD278" s="147"/>
      <c r="UCE278" s="147"/>
      <c r="UCF278" s="147"/>
      <c r="UCG278" s="147"/>
      <c r="UCH278" s="147"/>
      <c r="UCI278" s="147"/>
      <c r="UCJ278" s="147"/>
      <c r="UCK278" s="147"/>
      <c r="UCL278" s="147"/>
      <c r="UCM278" s="147"/>
      <c r="UCN278" s="147"/>
      <c r="UCO278" s="147"/>
      <c r="UCP278" s="147"/>
      <c r="UCQ278" s="147"/>
      <c r="UCR278" s="147"/>
      <c r="UCS278" s="147"/>
      <c r="UCT278" s="147"/>
      <c r="UCU278" s="147"/>
      <c r="UCV278" s="147"/>
      <c r="UCW278" s="147"/>
      <c r="UCX278" s="147"/>
      <c r="UCY278" s="147"/>
      <c r="UCZ278" s="147"/>
      <c r="UDA278" s="147"/>
      <c r="UDB278" s="147"/>
      <c r="UDC278" s="147"/>
      <c r="UDD278" s="147"/>
      <c r="UDE278" s="147"/>
      <c r="UDF278" s="147"/>
      <c r="UDG278" s="147"/>
      <c r="UDH278" s="147"/>
      <c r="UDI278" s="147"/>
      <c r="UDJ278" s="147"/>
      <c r="UDK278" s="147"/>
      <c r="UDL278" s="147"/>
      <c r="UDM278" s="147"/>
      <c r="UDN278" s="147"/>
      <c r="UDO278" s="147"/>
      <c r="UDP278" s="147"/>
      <c r="UDQ278" s="147"/>
      <c r="UDR278" s="147"/>
      <c r="UDS278" s="147"/>
      <c r="UDT278" s="147"/>
      <c r="UDU278" s="147"/>
      <c r="UDV278" s="147"/>
      <c r="UDW278" s="147"/>
      <c r="UDX278" s="147"/>
      <c r="UDY278" s="147"/>
      <c r="UDZ278" s="147"/>
      <c r="UEA278" s="147"/>
      <c r="UEB278" s="147"/>
      <c r="UEC278" s="147"/>
      <c r="UED278" s="147"/>
      <c r="UEE278" s="147"/>
      <c r="UEF278" s="147"/>
      <c r="UEG278" s="147"/>
      <c r="UEH278" s="147"/>
      <c r="UEI278" s="147"/>
      <c r="UEJ278" s="147"/>
      <c r="UEK278" s="147"/>
      <c r="UEL278" s="147"/>
      <c r="UEM278" s="147"/>
      <c r="UEN278" s="147"/>
      <c r="UEO278" s="147"/>
      <c r="UEP278" s="147"/>
      <c r="UEQ278" s="147"/>
      <c r="UER278" s="147"/>
      <c r="UES278" s="147"/>
      <c r="UET278" s="147"/>
      <c r="UEU278" s="147"/>
      <c r="UEV278" s="147"/>
      <c r="UEW278" s="147"/>
      <c r="UEX278" s="147"/>
      <c r="UEY278" s="147"/>
      <c r="UEZ278" s="147"/>
      <c r="UFA278" s="147"/>
      <c r="UFB278" s="147"/>
      <c r="UFC278" s="147"/>
      <c r="UFD278" s="147"/>
      <c r="UFE278" s="147"/>
      <c r="UFF278" s="147"/>
      <c r="UFG278" s="147"/>
      <c r="UFH278" s="147"/>
      <c r="UFI278" s="147"/>
      <c r="UFJ278" s="147"/>
      <c r="UFK278" s="147"/>
      <c r="UFL278" s="147"/>
      <c r="UFM278" s="147"/>
      <c r="UFN278" s="147"/>
      <c r="UFO278" s="147"/>
      <c r="UFP278" s="147"/>
      <c r="UFQ278" s="147"/>
      <c r="UFR278" s="147"/>
      <c r="UFS278" s="147"/>
      <c r="UFT278" s="147"/>
      <c r="UFU278" s="147"/>
      <c r="UFV278" s="147"/>
      <c r="UFW278" s="147"/>
      <c r="UFX278" s="147"/>
      <c r="UFY278" s="147"/>
      <c r="UFZ278" s="147"/>
      <c r="UGA278" s="147"/>
      <c r="UGB278" s="147"/>
      <c r="UGC278" s="147"/>
      <c r="UGD278" s="147"/>
      <c r="UGE278" s="147"/>
      <c r="UGF278" s="147"/>
      <c r="UGG278" s="147"/>
      <c r="UGH278" s="147"/>
      <c r="UGI278" s="147"/>
      <c r="UGJ278" s="147"/>
      <c r="UGK278" s="147"/>
      <c r="UGL278" s="147"/>
      <c r="UGM278" s="147"/>
      <c r="UGN278" s="147"/>
      <c r="UGO278" s="147"/>
      <c r="UGP278" s="147"/>
      <c r="UGQ278" s="147"/>
      <c r="UGR278" s="147"/>
      <c r="UGS278" s="147"/>
      <c r="UGT278" s="147"/>
      <c r="UGU278" s="147"/>
      <c r="UGV278" s="147"/>
      <c r="UGW278" s="147"/>
      <c r="UGX278" s="147"/>
      <c r="UGY278" s="147"/>
      <c r="UGZ278" s="147"/>
      <c r="UHA278" s="147"/>
      <c r="UHB278" s="147"/>
      <c r="UHC278" s="147"/>
      <c r="UHD278" s="147"/>
      <c r="UHE278" s="147"/>
      <c r="UHF278" s="147"/>
      <c r="UHG278" s="147"/>
      <c r="UHH278" s="147"/>
      <c r="UHI278" s="147"/>
      <c r="UHJ278" s="147"/>
      <c r="UHK278" s="147"/>
      <c r="UHL278" s="147"/>
      <c r="UHM278" s="147"/>
      <c r="UHN278" s="147"/>
      <c r="UHO278" s="147"/>
      <c r="UHP278" s="147"/>
      <c r="UHQ278" s="147"/>
      <c r="UHR278" s="147"/>
      <c r="UHS278" s="147"/>
      <c r="UHT278" s="147"/>
      <c r="UHU278" s="147"/>
      <c r="UHV278" s="147"/>
      <c r="UHW278" s="147"/>
      <c r="UHX278" s="147"/>
      <c r="UHY278" s="147"/>
      <c r="UHZ278" s="147"/>
      <c r="UIA278" s="147"/>
      <c r="UIB278" s="147"/>
      <c r="UIC278" s="147"/>
      <c r="UID278" s="147"/>
      <c r="UIE278" s="147"/>
      <c r="UIF278" s="147"/>
      <c r="UIG278" s="147"/>
      <c r="UIH278" s="147"/>
      <c r="UII278" s="147"/>
      <c r="UIJ278" s="147"/>
      <c r="UIK278" s="147"/>
      <c r="UIL278" s="147"/>
      <c r="UIM278" s="147"/>
      <c r="UIN278" s="147"/>
      <c r="UIO278" s="147"/>
      <c r="UIP278" s="147"/>
      <c r="UIQ278" s="147"/>
      <c r="UIR278" s="147"/>
      <c r="UIS278" s="147"/>
      <c r="UIT278" s="147"/>
      <c r="UIU278" s="147"/>
      <c r="UIV278" s="147"/>
      <c r="UIW278" s="147"/>
      <c r="UIX278" s="147"/>
      <c r="UIY278" s="147"/>
      <c r="UIZ278" s="147"/>
      <c r="UJA278" s="147"/>
      <c r="UJB278" s="147"/>
      <c r="UJC278" s="147"/>
      <c r="UJD278" s="147"/>
      <c r="UJE278" s="147"/>
      <c r="UJF278" s="147"/>
      <c r="UJG278" s="147"/>
      <c r="UJH278" s="147"/>
      <c r="UJI278" s="147"/>
      <c r="UJJ278" s="147"/>
      <c r="UJK278" s="147"/>
      <c r="UJL278" s="147"/>
      <c r="UJM278" s="147"/>
      <c r="UJN278" s="147"/>
      <c r="UJO278" s="147"/>
      <c r="UJP278" s="147"/>
      <c r="UJQ278" s="147"/>
      <c r="UJR278" s="147"/>
      <c r="UJS278" s="147"/>
      <c r="UJT278" s="147"/>
      <c r="UJU278" s="147"/>
      <c r="UJV278" s="147"/>
      <c r="UJW278" s="147"/>
      <c r="UJX278" s="147"/>
      <c r="UJY278" s="147"/>
      <c r="UJZ278" s="147"/>
      <c r="UKA278" s="147"/>
      <c r="UKB278" s="147"/>
      <c r="UKC278" s="147"/>
      <c r="UKD278" s="147"/>
      <c r="UKE278" s="147"/>
      <c r="UKF278" s="147"/>
      <c r="UKG278" s="147"/>
      <c r="UKH278" s="147"/>
      <c r="UKI278" s="147"/>
      <c r="UKJ278" s="147"/>
      <c r="UKK278" s="147"/>
      <c r="UKL278" s="147"/>
      <c r="UKM278" s="147"/>
      <c r="UKN278" s="147"/>
      <c r="UKO278" s="147"/>
      <c r="UKP278" s="147"/>
      <c r="UKQ278" s="147"/>
      <c r="UKR278" s="147"/>
      <c r="UKS278" s="147"/>
      <c r="UKT278" s="147"/>
      <c r="UKU278" s="147"/>
      <c r="UKV278" s="147"/>
      <c r="UKW278" s="147"/>
      <c r="UKX278" s="147"/>
      <c r="UKY278" s="147"/>
      <c r="UKZ278" s="147"/>
      <c r="ULA278" s="147"/>
      <c r="ULB278" s="147"/>
      <c r="ULC278" s="147"/>
      <c r="ULD278" s="147"/>
      <c r="ULE278" s="147"/>
      <c r="ULF278" s="147"/>
      <c r="ULG278" s="147"/>
      <c r="ULH278" s="147"/>
      <c r="ULI278" s="147"/>
      <c r="ULJ278" s="147"/>
      <c r="ULK278" s="147"/>
      <c r="ULL278" s="147"/>
      <c r="ULM278" s="147"/>
      <c r="ULN278" s="147"/>
      <c r="ULO278" s="147"/>
      <c r="ULP278" s="147"/>
      <c r="ULQ278" s="147"/>
      <c r="ULR278" s="147"/>
      <c r="ULS278" s="147"/>
      <c r="ULT278" s="147"/>
      <c r="ULU278" s="147"/>
      <c r="ULV278" s="147"/>
      <c r="ULW278" s="147"/>
      <c r="ULX278" s="147"/>
      <c r="ULY278" s="147"/>
      <c r="ULZ278" s="147"/>
      <c r="UMA278" s="147"/>
      <c r="UMB278" s="147"/>
      <c r="UMC278" s="147"/>
      <c r="UMD278" s="147"/>
      <c r="UME278" s="147"/>
      <c r="UMF278" s="147"/>
      <c r="UMG278" s="147"/>
      <c r="UMH278" s="147"/>
      <c r="UMI278" s="147"/>
      <c r="UMJ278" s="147"/>
      <c r="UMK278" s="147"/>
      <c r="UML278" s="147"/>
      <c r="UMM278" s="147"/>
      <c r="UMN278" s="147"/>
      <c r="UMO278" s="147"/>
      <c r="UMP278" s="147"/>
      <c r="UMQ278" s="147"/>
      <c r="UMR278" s="147"/>
      <c r="UMS278" s="147"/>
      <c r="UMT278" s="147"/>
      <c r="UMU278" s="147"/>
      <c r="UMV278" s="147"/>
      <c r="UMW278" s="147"/>
      <c r="UMX278" s="147"/>
      <c r="UMY278" s="147"/>
      <c r="UMZ278" s="147"/>
      <c r="UNA278" s="147"/>
      <c r="UNB278" s="147"/>
      <c r="UNC278" s="147"/>
      <c r="UND278" s="147"/>
      <c r="UNE278" s="147"/>
      <c r="UNF278" s="147"/>
      <c r="UNG278" s="147"/>
      <c r="UNH278" s="147"/>
      <c r="UNI278" s="147"/>
      <c r="UNJ278" s="147"/>
      <c r="UNK278" s="147"/>
      <c r="UNL278" s="147"/>
      <c r="UNM278" s="147"/>
      <c r="UNN278" s="147"/>
      <c r="UNO278" s="147"/>
      <c r="UNP278" s="147"/>
      <c r="UNQ278" s="147"/>
      <c r="UNR278" s="147"/>
      <c r="UNS278" s="147"/>
      <c r="UNT278" s="147"/>
      <c r="UNU278" s="147"/>
      <c r="UNV278" s="147"/>
      <c r="UNW278" s="147"/>
      <c r="UNX278" s="147"/>
      <c r="UNY278" s="147"/>
      <c r="UNZ278" s="147"/>
      <c r="UOA278" s="147"/>
      <c r="UOB278" s="147"/>
      <c r="UOC278" s="147"/>
      <c r="UOD278" s="147"/>
      <c r="UOE278" s="147"/>
      <c r="UOF278" s="147"/>
      <c r="UOG278" s="147"/>
      <c r="UOH278" s="147"/>
      <c r="UOI278" s="147"/>
      <c r="UOJ278" s="147"/>
      <c r="UOK278" s="147"/>
      <c r="UOL278" s="147"/>
      <c r="UOM278" s="147"/>
      <c r="UON278" s="147"/>
      <c r="UOO278" s="147"/>
      <c r="UOP278" s="147"/>
      <c r="UOQ278" s="147"/>
      <c r="UOR278" s="147"/>
      <c r="UOS278" s="147"/>
      <c r="UOT278" s="147"/>
      <c r="UOU278" s="147"/>
      <c r="UOV278" s="147"/>
      <c r="UOW278" s="147"/>
      <c r="UOX278" s="147"/>
      <c r="UOY278" s="147"/>
      <c r="UOZ278" s="147"/>
      <c r="UPA278" s="147"/>
      <c r="UPB278" s="147"/>
      <c r="UPC278" s="147"/>
      <c r="UPD278" s="147"/>
      <c r="UPE278" s="147"/>
      <c r="UPF278" s="147"/>
      <c r="UPG278" s="147"/>
      <c r="UPH278" s="147"/>
      <c r="UPI278" s="147"/>
      <c r="UPJ278" s="147"/>
      <c r="UPK278" s="147"/>
      <c r="UPL278" s="147"/>
      <c r="UPM278" s="147"/>
      <c r="UPN278" s="147"/>
      <c r="UPO278" s="147"/>
      <c r="UPP278" s="147"/>
      <c r="UPQ278" s="147"/>
      <c r="UPR278" s="147"/>
      <c r="UPS278" s="147"/>
      <c r="UPT278" s="147"/>
      <c r="UPU278" s="147"/>
      <c r="UPV278" s="147"/>
      <c r="UPW278" s="147"/>
      <c r="UPX278" s="147"/>
      <c r="UPY278" s="147"/>
      <c r="UPZ278" s="147"/>
      <c r="UQA278" s="147"/>
      <c r="UQB278" s="147"/>
      <c r="UQC278" s="147"/>
      <c r="UQD278" s="147"/>
      <c r="UQE278" s="147"/>
      <c r="UQF278" s="147"/>
      <c r="UQG278" s="147"/>
      <c r="UQH278" s="147"/>
      <c r="UQI278" s="147"/>
      <c r="UQJ278" s="147"/>
      <c r="UQK278" s="147"/>
      <c r="UQL278" s="147"/>
      <c r="UQM278" s="147"/>
      <c r="UQN278" s="147"/>
      <c r="UQO278" s="147"/>
      <c r="UQP278" s="147"/>
      <c r="UQQ278" s="147"/>
      <c r="UQR278" s="147"/>
      <c r="UQS278" s="147"/>
      <c r="UQT278" s="147"/>
      <c r="UQU278" s="147"/>
      <c r="UQV278" s="147"/>
      <c r="UQW278" s="147"/>
      <c r="UQX278" s="147"/>
      <c r="UQY278" s="147"/>
      <c r="UQZ278" s="147"/>
      <c r="URA278" s="147"/>
      <c r="URB278" s="147"/>
      <c r="URC278" s="147"/>
      <c r="URD278" s="147"/>
      <c r="URE278" s="147"/>
      <c r="URF278" s="147"/>
      <c r="URG278" s="147"/>
      <c r="URH278" s="147"/>
      <c r="URI278" s="147"/>
      <c r="URJ278" s="147"/>
      <c r="URK278" s="147"/>
      <c r="URL278" s="147"/>
      <c r="URM278" s="147"/>
      <c r="URN278" s="147"/>
      <c r="URO278" s="147"/>
      <c r="URP278" s="147"/>
      <c r="URQ278" s="147"/>
      <c r="URR278" s="147"/>
      <c r="URS278" s="147"/>
      <c r="URT278" s="147"/>
      <c r="URU278" s="147"/>
      <c r="URV278" s="147"/>
      <c r="URW278" s="147"/>
      <c r="URX278" s="147"/>
      <c r="URY278" s="147"/>
      <c r="URZ278" s="147"/>
      <c r="USA278" s="147"/>
      <c r="USB278" s="147"/>
      <c r="USC278" s="147"/>
      <c r="USD278" s="147"/>
      <c r="USE278" s="147"/>
      <c r="USF278" s="147"/>
      <c r="USG278" s="147"/>
      <c r="USH278" s="147"/>
      <c r="USI278" s="147"/>
      <c r="USJ278" s="147"/>
      <c r="USK278" s="147"/>
      <c r="USL278" s="147"/>
      <c r="USM278" s="147"/>
      <c r="USN278" s="147"/>
      <c r="USO278" s="147"/>
      <c r="USP278" s="147"/>
      <c r="USQ278" s="147"/>
      <c r="USR278" s="147"/>
      <c r="USS278" s="147"/>
      <c r="UST278" s="147"/>
      <c r="USU278" s="147"/>
      <c r="USV278" s="147"/>
      <c r="USW278" s="147"/>
      <c r="USX278" s="147"/>
      <c r="USY278" s="147"/>
      <c r="USZ278" s="147"/>
      <c r="UTA278" s="147"/>
      <c r="UTB278" s="147"/>
      <c r="UTC278" s="147"/>
      <c r="UTD278" s="147"/>
      <c r="UTE278" s="147"/>
      <c r="UTF278" s="147"/>
      <c r="UTG278" s="147"/>
      <c r="UTH278" s="147"/>
      <c r="UTI278" s="147"/>
      <c r="UTJ278" s="147"/>
      <c r="UTK278" s="147"/>
      <c r="UTL278" s="147"/>
      <c r="UTM278" s="147"/>
      <c r="UTN278" s="147"/>
      <c r="UTO278" s="147"/>
      <c r="UTP278" s="147"/>
      <c r="UTQ278" s="147"/>
      <c r="UTR278" s="147"/>
      <c r="UTS278" s="147"/>
      <c r="UTT278" s="147"/>
      <c r="UTU278" s="147"/>
      <c r="UTV278" s="147"/>
      <c r="UTW278" s="147"/>
      <c r="UTX278" s="147"/>
      <c r="UTY278" s="147"/>
      <c r="UTZ278" s="147"/>
      <c r="UUA278" s="147"/>
      <c r="UUB278" s="147"/>
      <c r="UUC278" s="147"/>
      <c r="UUD278" s="147"/>
      <c r="UUE278" s="147"/>
      <c r="UUF278" s="147"/>
      <c r="UUG278" s="147"/>
      <c r="UUH278" s="147"/>
      <c r="UUI278" s="147"/>
      <c r="UUJ278" s="147"/>
      <c r="UUK278" s="147"/>
      <c r="UUL278" s="147"/>
      <c r="UUM278" s="147"/>
      <c r="UUN278" s="147"/>
      <c r="UUO278" s="147"/>
      <c r="UUP278" s="147"/>
      <c r="UUQ278" s="147"/>
      <c r="UUR278" s="147"/>
      <c r="UUS278" s="147"/>
      <c r="UUT278" s="147"/>
      <c r="UUU278" s="147"/>
      <c r="UUV278" s="147"/>
      <c r="UUW278" s="147"/>
      <c r="UUX278" s="147"/>
      <c r="UUY278" s="147"/>
      <c r="UUZ278" s="147"/>
      <c r="UVA278" s="147"/>
      <c r="UVB278" s="147"/>
      <c r="UVC278" s="147"/>
      <c r="UVD278" s="147"/>
      <c r="UVE278" s="147"/>
      <c r="UVF278" s="147"/>
      <c r="UVG278" s="147"/>
      <c r="UVH278" s="147"/>
      <c r="UVI278" s="147"/>
      <c r="UVJ278" s="147"/>
      <c r="UVK278" s="147"/>
      <c r="UVL278" s="147"/>
      <c r="UVM278" s="147"/>
      <c r="UVN278" s="147"/>
      <c r="UVO278" s="147"/>
      <c r="UVP278" s="147"/>
      <c r="UVQ278" s="147"/>
      <c r="UVR278" s="147"/>
      <c r="UVS278" s="147"/>
      <c r="UVT278" s="147"/>
      <c r="UVU278" s="147"/>
      <c r="UVV278" s="147"/>
      <c r="UVW278" s="147"/>
      <c r="UVX278" s="147"/>
      <c r="UVY278" s="147"/>
      <c r="UVZ278" s="147"/>
      <c r="UWA278" s="147"/>
      <c r="UWB278" s="147"/>
      <c r="UWC278" s="147"/>
      <c r="UWD278" s="147"/>
      <c r="UWE278" s="147"/>
      <c r="UWF278" s="147"/>
      <c r="UWG278" s="147"/>
      <c r="UWH278" s="147"/>
      <c r="UWI278" s="147"/>
      <c r="UWJ278" s="147"/>
      <c r="UWK278" s="147"/>
      <c r="UWL278" s="147"/>
      <c r="UWM278" s="147"/>
      <c r="UWN278" s="147"/>
      <c r="UWO278" s="147"/>
      <c r="UWP278" s="147"/>
      <c r="UWQ278" s="147"/>
      <c r="UWR278" s="147"/>
      <c r="UWS278" s="147"/>
      <c r="UWT278" s="147"/>
      <c r="UWU278" s="147"/>
      <c r="UWV278" s="147"/>
      <c r="UWW278" s="147"/>
      <c r="UWX278" s="147"/>
      <c r="UWY278" s="147"/>
      <c r="UWZ278" s="147"/>
      <c r="UXA278" s="147"/>
      <c r="UXB278" s="147"/>
      <c r="UXC278" s="147"/>
      <c r="UXD278" s="147"/>
      <c r="UXE278" s="147"/>
      <c r="UXF278" s="147"/>
      <c r="UXG278" s="147"/>
      <c r="UXH278" s="147"/>
      <c r="UXI278" s="147"/>
      <c r="UXJ278" s="147"/>
      <c r="UXK278" s="147"/>
      <c r="UXL278" s="147"/>
      <c r="UXM278" s="147"/>
      <c r="UXN278" s="147"/>
      <c r="UXO278" s="147"/>
      <c r="UXP278" s="147"/>
      <c r="UXQ278" s="147"/>
      <c r="UXR278" s="147"/>
      <c r="UXS278" s="147"/>
      <c r="UXT278" s="147"/>
      <c r="UXU278" s="147"/>
      <c r="UXV278" s="147"/>
      <c r="UXW278" s="147"/>
      <c r="UXX278" s="147"/>
      <c r="UXY278" s="147"/>
      <c r="UXZ278" s="147"/>
      <c r="UYA278" s="147"/>
      <c r="UYB278" s="147"/>
      <c r="UYC278" s="147"/>
      <c r="UYD278" s="147"/>
      <c r="UYE278" s="147"/>
      <c r="UYF278" s="147"/>
      <c r="UYG278" s="147"/>
      <c r="UYH278" s="147"/>
      <c r="UYI278" s="147"/>
      <c r="UYJ278" s="147"/>
      <c r="UYK278" s="147"/>
      <c r="UYL278" s="147"/>
      <c r="UYM278" s="147"/>
      <c r="UYN278" s="147"/>
      <c r="UYO278" s="147"/>
      <c r="UYP278" s="147"/>
      <c r="UYQ278" s="147"/>
      <c r="UYR278" s="147"/>
      <c r="UYS278" s="147"/>
      <c r="UYT278" s="147"/>
      <c r="UYU278" s="147"/>
      <c r="UYV278" s="147"/>
      <c r="UYW278" s="147"/>
      <c r="UYX278" s="147"/>
      <c r="UYY278" s="147"/>
      <c r="UYZ278" s="147"/>
      <c r="UZA278" s="147"/>
      <c r="UZB278" s="147"/>
      <c r="UZC278" s="147"/>
      <c r="UZD278" s="147"/>
      <c r="UZE278" s="147"/>
      <c r="UZF278" s="147"/>
      <c r="UZG278" s="147"/>
      <c r="UZH278" s="147"/>
      <c r="UZI278" s="147"/>
      <c r="UZJ278" s="147"/>
      <c r="UZK278" s="147"/>
      <c r="UZL278" s="147"/>
      <c r="UZM278" s="147"/>
      <c r="UZN278" s="147"/>
      <c r="UZO278" s="147"/>
      <c r="UZP278" s="147"/>
      <c r="UZQ278" s="147"/>
      <c r="UZR278" s="147"/>
      <c r="UZS278" s="147"/>
      <c r="UZT278" s="147"/>
      <c r="UZU278" s="147"/>
      <c r="UZV278" s="147"/>
      <c r="UZW278" s="147"/>
      <c r="UZX278" s="147"/>
      <c r="UZY278" s="147"/>
      <c r="UZZ278" s="147"/>
      <c r="VAA278" s="147"/>
      <c r="VAB278" s="147"/>
      <c r="VAC278" s="147"/>
      <c r="VAD278" s="147"/>
      <c r="VAE278" s="147"/>
      <c r="VAF278" s="147"/>
      <c r="VAG278" s="147"/>
      <c r="VAH278" s="147"/>
      <c r="VAI278" s="147"/>
      <c r="VAJ278" s="147"/>
      <c r="VAK278" s="147"/>
      <c r="VAL278" s="147"/>
      <c r="VAM278" s="147"/>
      <c r="VAN278" s="147"/>
      <c r="VAO278" s="147"/>
      <c r="VAP278" s="147"/>
      <c r="VAQ278" s="147"/>
      <c r="VAR278" s="147"/>
      <c r="VAS278" s="147"/>
      <c r="VAT278" s="147"/>
      <c r="VAU278" s="147"/>
      <c r="VAV278" s="147"/>
      <c r="VAW278" s="147"/>
      <c r="VAX278" s="147"/>
      <c r="VAY278" s="147"/>
      <c r="VAZ278" s="147"/>
      <c r="VBA278" s="147"/>
      <c r="VBB278" s="147"/>
      <c r="VBC278" s="147"/>
      <c r="VBD278" s="147"/>
      <c r="VBE278" s="147"/>
      <c r="VBF278" s="147"/>
      <c r="VBG278" s="147"/>
      <c r="VBH278" s="147"/>
      <c r="VBI278" s="147"/>
      <c r="VBJ278" s="147"/>
      <c r="VBK278" s="147"/>
      <c r="VBL278" s="147"/>
      <c r="VBM278" s="147"/>
      <c r="VBN278" s="147"/>
      <c r="VBO278" s="147"/>
      <c r="VBP278" s="147"/>
      <c r="VBQ278" s="147"/>
      <c r="VBR278" s="147"/>
      <c r="VBS278" s="147"/>
      <c r="VBT278" s="147"/>
      <c r="VBU278" s="147"/>
      <c r="VBV278" s="147"/>
      <c r="VBW278" s="147"/>
      <c r="VBX278" s="147"/>
      <c r="VBY278" s="147"/>
      <c r="VBZ278" s="147"/>
      <c r="VCA278" s="147"/>
      <c r="VCB278" s="147"/>
      <c r="VCC278" s="147"/>
      <c r="VCD278" s="147"/>
      <c r="VCE278" s="147"/>
      <c r="VCF278" s="147"/>
      <c r="VCG278" s="147"/>
      <c r="VCH278" s="147"/>
      <c r="VCI278" s="147"/>
      <c r="VCJ278" s="147"/>
      <c r="VCK278" s="147"/>
      <c r="VCL278" s="147"/>
      <c r="VCM278" s="147"/>
      <c r="VCN278" s="147"/>
      <c r="VCO278" s="147"/>
      <c r="VCP278" s="147"/>
      <c r="VCQ278" s="147"/>
      <c r="VCR278" s="147"/>
      <c r="VCS278" s="147"/>
      <c r="VCT278" s="147"/>
      <c r="VCU278" s="147"/>
      <c r="VCV278" s="147"/>
      <c r="VCW278" s="147"/>
      <c r="VCX278" s="147"/>
      <c r="VCY278" s="147"/>
      <c r="VCZ278" s="147"/>
      <c r="VDA278" s="147"/>
      <c r="VDB278" s="147"/>
      <c r="VDC278" s="147"/>
      <c r="VDD278" s="147"/>
      <c r="VDE278" s="147"/>
      <c r="VDF278" s="147"/>
      <c r="VDG278" s="147"/>
      <c r="VDH278" s="147"/>
      <c r="VDI278" s="147"/>
      <c r="VDJ278" s="147"/>
      <c r="VDK278" s="147"/>
      <c r="VDL278" s="147"/>
      <c r="VDM278" s="147"/>
      <c r="VDN278" s="147"/>
      <c r="VDO278" s="147"/>
      <c r="VDP278" s="147"/>
      <c r="VDQ278" s="147"/>
      <c r="VDR278" s="147"/>
      <c r="VDS278" s="147"/>
      <c r="VDT278" s="147"/>
      <c r="VDU278" s="147"/>
      <c r="VDV278" s="147"/>
      <c r="VDW278" s="147"/>
      <c r="VDX278" s="147"/>
      <c r="VDY278" s="147"/>
      <c r="VDZ278" s="147"/>
      <c r="VEA278" s="147"/>
      <c r="VEB278" s="147"/>
      <c r="VEC278" s="147"/>
      <c r="VED278" s="147"/>
      <c r="VEE278" s="147"/>
      <c r="VEF278" s="147"/>
      <c r="VEG278" s="147"/>
      <c r="VEH278" s="147"/>
      <c r="VEI278" s="147"/>
      <c r="VEJ278" s="147"/>
      <c r="VEK278" s="147"/>
      <c r="VEL278" s="147"/>
      <c r="VEM278" s="147"/>
      <c r="VEN278" s="147"/>
      <c r="VEO278" s="147"/>
      <c r="VEP278" s="147"/>
      <c r="VEQ278" s="147"/>
      <c r="VER278" s="147"/>
      <c r="VES278" s="147"/>
      <c r="VET278" s="147"/>
      <c r="VEU278" s="147"/>
      <c r="VEV278" s="147"/>
      <c r="VEW278" s="147"/>
      <c r="VEX278" s="147"/>
      <c r="VEY278" s="147"/>
      <c r="VEZ278" s="147"/>
      <c r="VFA278" s="147"/>
      <c r="VFB278" s="147"/>
      <c r="VFC278" s="147"/>
      <c r="VFD278" s="147"/>
      <c r="VFE278" s="147"/>
      <c r="VFF278" s="147"/>
      <c r="VFG278" s="147"/>
      <c r="VFH278" s="147"/>
      <c r="VFI278" s="147"/>
      <c r="VFJ278" s="147"/>
      <c r="VFK278" s="147"/>
      <c r="VFL278" s="147"/>
      <c r="VFM278" s="147"/>
      <c r="VFN278" s="147"/>
      <c r="VFO278" s="147"/>
      <c r="VFP278" s="147"/>
      <c r="VFQ278" s="147"/>
      <c r="VFR278" s="147"/>
      <c r="VFS278" s="147"/>
      <c r="VFT278" s="147"/>
      <c r="VFU278" s="147"/>
      <c r="VFV278" s="147"/>
      <c r="VFW278" s="147"/>
      <c r="VFX278" s="147"/>
      <c r="VFY278" s="147"/>
      <c r="VFZ278" s="147"/>
      <c r="VGA278" s="147"/>
      <c r="VGB278" s="147"/>
      <c r="VGC278" s="147"/>
      <c r="VGD278" s="147"/>
      <c r="VGE278" s="147"/>
      <c r="VGF278" s="147"/>
      <c r="VGG278" s="147"/>
      <c r="VGH278" s="147"/>
      <c r="VGI278" s="147"/>
      <c r="VGJ278" s="147"/>
      <c r="VGK278" s="147"/>
      <c r="VGL278" s="147"/>
      <c r="VGM278" s="147"/>
      <c r="VGN278" s="147"/>
      <c r="VGO278" s="147"/>
      <c r="VGP278" s="147"/>
      <c r="VGQ278" s="147"/>
      <c r="VGR278" s="147"/>
      <c r="VGS278" s="147"/>
      <c r="VGT278" s="147"/>
      <c r="VGU278" s="147"/>
      <c r="VGV278" s="147"/>
      <c r="VGW278" s="147"/>
      <c r="VGX278" s="147"/>
      <c r="VGY278" s="147"/>
      <c r="VGZ278" s="147"/>
      <c r="VHA278" s="147"/>
      <c r="VHB278" s="147"/>
      <c r="VHC278" s="147"/>
      <c r="VHD278" s="147"/>
      <c r="VHE278" s="147"/>
      <c r="VHF278" s="147"/>
      <c r="VHG278" s="147"/>
      <c r="VHH278" s="147"/>
      <c r="VHI278" s="147"/>
      <c r="VHJ278" s="147"/>
      <c r="VHK278" s="147"/>
      <c r="VHL278" s="147"/>
      <c r="VHM278" s="147"/>
      <c r="VHN278" s="147"/>
      <c r="VHO278" s="147"/>
      <c r="VHP278" s="147"/>
      <c r="VHQ278" s="147"/>
      <c r="VHR278" s="147"/>
      <c r="VHS278" s="147"/>
      <c r="VHT278" s="147"/>
      <c r="VHU278" s="147"/>
      <c r="VHV278" s="147"/>
      <c r="VHW278" s="147"/>
      <c r="VHX278" s="147"/>
      <c r="VHY278" s="147"/>
      <c r="VHZ278" s="147"/>
      <c r="VIA278" s="147"/>
      <c r="VIB278" s="147"/>
      <c r="VIC278" s="147"/>
      <c r="VID278" s="147"/>
      <c r="VIE278" s="147"/>
      <c r="VIF278" s="147"/>
      <c r="VIG278" s="147"/>
      <c r="VIH278" s="147"/>
      <c r="VII278" s="147"/>
      <c r="VIJ278" s="147"/>
      <c r="VIK278" s="147"/>
      <c r="VIL278" s="147"/>
      <c r="VIM278" s="147"/>
      <c r="VIN278" s="147"/>
      <c r="VIO278" s="147"/>
      <c r="VIP278" s="147"/>
      <c r="VIQ278" s="147"/>
      <c r="VIR278" s="147"/>
      <c r="VIS278" s="147"/>
      <c r="VIT278" s="147"/>
      <c r="VIU278" s="147"/>
      <c r="VIV278" s="147"/>
      <c r="VIW278" s="147"/>
      <c r="VIX278" s="147"/>
      <c r="VIY278" s="147"/>
      <c r="VIZ278" s="147"/>
      <c r="VJA278" s="147"/>
      <c r="VJB278" s="147"/>
      <c r="VJC278" s="147"/>
      <c r="VJD278" s="147"/>
      <c r="VJE278" s="147"/>
      <c r="VJF278" s="147"/>
      <c r="VJG278" s="147"/>
      <c r="VJH278" s="147"/>
      <c r="VJI278" s="147"/>
      <c r="VJJ278" s="147"/>
      <c r="VJK278" s="147"/>
      <c r="VJL278" s="147"/>
      <c r="VJM278" s="147"/>
      <c r="VJN278" s="147"/>
      <c r="VJO278" s="147"/>
      <c r="VJP278" s="147"/>
      <c r="VJQ278" s="147"/>
      <c r="VJR278" s="147"/>
      <c r="VJS278" s="147"/>
      <c r="VJT278" s="147"/>
      <c r="VJU278" s="147"/>
      <c r="VJV278" s="147"/>
      <c r="VJW278" s="147"/>
      <c r="VJX278" s="147"/>
      <c r="VJY278" s="147"/>
      <c r="VJZ278" s="147"/>
      <c r="VKA278" s="147"/>
      <c r="VKB278" s="147"/>
      <c r="VKC278" s="147"/>
      <c r="VKD278" s="147"/>
      <c r="VKE278" s="147"/>
      <c r="VKF278" s="147"/>
      <c r="VKG278" s="147"/>
      <c r="VKH278" s="147"/>
      <c r="VKI278" s="147"/>
      <c r="VKJ278" s="147"/>
      <c r="VKK278" s="147"/>
      <c r="VKL278" s="147"/>
      <c r="VKM278" s="147"/>
      <c r="VKN278" s="147"/>
      <c r="VKO278" s="147"/>
      <c r="VKP278" s="147"/>
      <c r="VKQ278" s="147"/>
      <c r="VKR278" s="147"/>
      <c r="VKS278" s="147"/>
      <c r="VKT278" s="147"/>
      <c r="VKU278" s="147"/>
      <c r="VKV278" s="147"/>
      <c r="VKW278" s="147"/>
      <c r="VKX278" s="147"/>
      <c r="VKY278" s="147"/>
      <c r="VKZ278" s="147"/>
      <c r="VLA278" s="147"/>
      <c r="VLB278" s="147"/>
      <c r="VLC278" s="147"/>
      <c r="VLD278" s="147"/>
      <c r="VLE278" s="147"/>
      <c r="VLF278" s="147"/>
      <c r="VLG278" s="147"/>
      <c r="VLH278" s="147"/>
      <c r="VLI278" s="147"/>
      <c r="VLJ278" s="147"/>
      <c r="VLK278" s="147"/>
      <c r="VLL278" s="147"/>
      <c r="VLM278" s="147"/>
      <c r="VLN278" s="147"/>
      <c r="VLO278" s="147"/>
      <c r="VLP278" s="147"/>
      <c r="VLQ278" s="147"/>
      <c r="VLR278" s="147"/>
      <c r="VLS278" s="147"/>
      <c r="VLT278" s="147"/>
      <c r="VLU278" s="147"/>
      <c r="VLV278" s="147"/>
      <c r="VLW278" s="147"/>
      <c r="VLX278" s="147"/>
      <c r="VLY278" s="147"/>
      <c r="VLZ278" s="147"/>
      <c r="VMA278" s="147"/>
      <c r="VMB278" s="147"/>
      <c r="VMC278" s="147"/>
      <c r="VMD278" s="147"/>
      <c r="VME278" s="147"/>
      <c r="VMF278" s="147"/>
      <c r="VMG278" s="147"/>
      <c r="VMH278" s="147"/>
      <c r="VMI278" s="147"/>
      <c r="VMJ278" s="147"/>
      <c r="VMK278" s="147"/>
      <c r="VML278" s="147"/>
      <c r="VMM278" s="147"/>
      <c r="VMN278" s="147"/>
      <c r="VMO278" s="147"/>
      <c r="VMP278" s="147"/>
      <c r="VMQ278" s="147"/>
      <c r="VMR278" s="147"/>
      <c r="VMS278" s="147"/>
      <c r="VMT278" s="147"/>
      <c r="VMU278" s="147"/>
      <c r="VMV278" s="147"/>
      <c r="VMW278" s="147"/>
      <c r="VMX278" s="147"/>
      <c r="VMY278" s="147"/>
      <c r="VMZ278" s="147"/>
      <c r="VNA278" s="147"/>
      <c r="VNB278" s="147"/>
      <c r="VNC278" s="147"/>
      <c r="VND278" s="147"/>
      <c r="VNE278" s="147"/>
      <c r="VNF278" s="147"/>
      <c r="VNG278" s="147"/>
      <c r="VNH278" s="147"/>
      <c r="VNI278" s="147"/>
      <c r="VNJ278" s="147"/>
      <c r="VNK278" s="147"/>
      <c r="VNL278" s="147"/>
      <c r="VNM278" s="147"/>
      <c r="VNN278" s="147"/>
      <c r="VNO278" s="147"/>
      <c r="VNP278" s="147"/>
      <c r="VNQ278" s="147"/>
      <c r="VNR278" s="147"/>
      <c r="VNS278" s="147"/>
      <c r="VNT278" s="147"/>
      <c r="VNU278" s="147"/>
      <c r="VNV278" s="147"/>
      <c r="VNW278" s="147"/>
      <c r="VNX278" s="147"/>
      <c r="VNY278" s="147"/>
      <c r="VNZ278" s="147"/>
      <c r="VOA278" s="147"/>
      <c r="VOB278" s="147"/>
      <c r="VOC278" s="147"/>
      <c r="VOD278" s="147"/>
      <c r="VOE278" s="147"/>
      <c r="VOF278" s="147"/>
      <c r="VOG278" s="147"/>
      <c r="VOH278" s="147"/>
      <c r="VOI278" s="147"/>
      <c r="VOJ278" s="147"/>
      <c r="VOK278" s="147"/>
      <c r="VOL278" s="147"/>
      <c r="VOM278" s="147"/>
      <c r="VON278" s="147"/>
      <c r="VOO278" s="147"/>
      <c r="VOP278" s="147"/>
      <c r="VOQ278" s="147"/>
      <c r="VOR278" s="147"/>
      <c r="VOS278" s="147"/>
      <c r="VOT278" s="147"/>
      <c r="VOU278" s="147"/>
      <c r="VOV278" s="147"/>
      <c r="VOW278" s="147"/>
      <c r="VOX278" s="147"/>
      <c r="VOY278" s="147"/>
      <c r="VOZ278" s="147"/>
      <c r="VPA278" s="147"/>
      <c r="VPB278" s="147"/>
      <c r="VPC278" s="147"/>
      <c r="VPD278" s="147"/>
      <c r="VPE278" s="147"/>
      <c r="VPF278" s="147"/>
      <c r="VPG278" s="147"/>
      <c r="VPH278" s="147"/>
      <c r="VPI278" s="147"/>
      <c r="VPJ278" s="147"/>
      <c r="VPK278" s="147"/>
      <c r="VPL278" s="147"/>
      <c r="VPM278" s="147"/>
      <c r="VPN278" s="147"/>
      <c r="VPO278" s="147"/>
      <c r="VPP278" s="147"/>
      <c r="VPQ278" s="147"/>
      <c r="VPR278" s="147"/>
      <c r="VPS278" s="147"/>
      <c r="VPT278" s="147"/>
      <c r="VPU278" s="147"/>
      <c r="VPV278" s="147"/>
      <c r="VPW278" s="147"/>
      <c r="VPX278" s="147"/>
      <c r="VPY278" s="147"/>
      <c r="VPZ278" s="147"/>
      <c r="VQA278" s="147"/>
      <c r="VQB278" s="147"/>
      <c r="VQC278" s="147"/>
      <c r="VQD278" s="147"/>
      <c r="VQE278" s="147"/>
      <c r="VQF278" s="147"/>
      <c r="VQG278" s="147"/>
      <c r="VQH278" s="147"/>
      <c r="VQI278" s="147"/>
      <c r="VQJ278" s="147"/>
      <c r="VQK278" s="147"/>
      <c r="VQL278" s="147"/>
      <c r="VQM278" s="147"/>
      <c r="VQN278" s="147"/>
      <c r="VQO278" s="147"/>
      <c r="VQP278" s="147"/>
      <c r="VQQ278" s="147"/>
      <c r="VQR278" s="147"/>
      <c r="VQS278" s="147"/>
      <c r="VQT278" s="147"/>
      <c r="VQU278" s="147"/>
      <c r="VQV278" s="147"/>
      <c r="VQW278" s="147"/>
      <c r="VQX278" s="147"/>
      <c r="VQY278" s="147"/>
      <c r="VQZ278" s="147"/>
      <c r="VRA278" s="147"/>
      <c r="VRB278" s="147"/>
      <c r="VRC278" s="147"/>
      <c r="VRD278" s="147"/>
      <c r="VRE278" s="147"/>
      <c r="VRF278" s="147"/>
      <c r="VRG278" s="147"/>
      <c r="VRH278" s="147"/>
      <c r="VRI278" s="147"/>
      <c r="VRJ278" s="147"/>
      <c r="VRK278" s="147"/>
      <c r="VRL278" s="147"/>
      <c r="VRM278" s="147"/>
      <c r="VRN278" s="147"/>
      <c r="VRO278" s="147"/>
      <c r="VRP278" s="147"/>
      <c r="VRQ278" s="147"/>
      <c r="VRR278" s="147"/>
      <c r="VRS278" s="147"/>
      <c r="VRT278" s="147"/>
      <c r="VRU278" s="147"/>
      <c r="VRV278" s="147"/>
      <c r="VRW278" s="147"/>
      <c r="VRX278" s="147"/>
      <c r="VRY278" s="147"/>
      <c r="VRZ278" s="147"/>
      <c r="VSA278" s="147"/>
      <c r="VSB278" s="147"/>
      <c r="VSC278" s="147"/>
      <c r="VSD278" s="147"/>
      <c r="VSE278" s="147"/>
      <c r="VSF278" s="147"/>
      <c r="VSG278" s="147"/>
      <c r="VSH278" s="147"/>
      <c r="VSI278" s="147"/>
      <c r="VSJ278" s="147"/>
      <c r="VSK278" s="147"/>
      <c r="VSL278" s="147"/>
      <c r="VSM278" s="147"/>
      <c r="VSN278" s="147"/>
      <c r="VSO278" s="147"/>
      <c r="VSP278" s="147"/>
      <c r="VSQ278" s="147"/>
      <c r="VSR278" s="147"/>
      <c r="VSS278" s="147"/>
      <c r="VST278" s="147"/>
      <c r="VSU278" s="147"/>
      <c r="VSV278" s="147"/>
      <c r="VSW278" s="147"/>
      <c r="VSX278" s="147"/>
      <c r="VSY278" s="147"/>
      <c r="VSZ278" s="147"/>
      <c r="VTA278" s="147"/>
      <c r="VTB278" s="147"/>
      <c r="VTC278" s="147"/>
      <c r="VTD278" s="147"/>
      <c r="VTE278" s="147"/>
      <c r="VTF278" s="147"/>
      <c r="VTG278" s="147"/>
      <c r="VTH278" s="147"/>
      <c r="VTI278" s="147"/>
      <c r="VTJ278" s="147"/>
      <c r="VTK278" s="147"/>
      <c r="VTL278" s="147"/>
      <c r="VTM278" s="147"/>
      <c r="VTN278" s="147"/>
      <c r="VTO278" s="147"/>
      <c r="VTP278" s="147"/>
      <c r="VTQ278" s="147"/>
      <c r="VTR278" s="147"/>
      <c r="VTS278" s="147"/>
      <c r="VTT278" s="147"/>
      <c r="VTU278" s="147"/>
      <c r="VTV278" s="147"/>
      <c r="VTW278" s="147"/>
      <c r="VTX278" s="147"/>
      <c r="VTY278" s="147"/>
      <c r="VTZ278" s="147"/>
      <c r="VUA278" s="147"/>
      <c r="VUB278" s="147"/>
      <c r="VUC278" s="147"/>
      <c r="VUD278" s="147"/>
      <c r="VUE278" s="147"/>
      <c r="VUF278" s="147"/>
      <c r="VUG278" s="147"/>
      <c r="VUH278" s="147"/>
      <c r="VUI278" s="147"/>
      <c r="VUJ278" s="147"/>
      <c r="VUK278" s="147"/>
      <c r="VUL278" s="147"/>
      <c r="VUM278" s="147"/>
      <c r="VUN278" s="147"/>
      <c r="VUO278" s="147"/>
      <c r="VUP278" s="147"/>
      <c r="VUQ278" s="147"/>
      <c r="VUR278" s="147"/>
      <c r="VUS278" s="147"/>
      <c r="VUT278" s="147"/>
      <c r="VUU278" s="147"/>
      <c r="VUV278" s="147"/>
      <c r="VUW278" s="147"/>
      <c r="VUX278" s="147"/>
      <c r="VUY278" s="147"/>
      <c r="VUZ278" s="147"/>
      <c r="VVA278" s="147"/>
      <c r="VVB278" s="147"/>
      <c r="VVC278" s="147"/>
      <c r="VVD278" s="147"/>
      <c r="VVE278" s="147"/>
      <c r="VVF278" s="147"/>
      <c r="VVG278" s="147"/>
      <c r="VVH278" s="147"/>
      <c r="VVI278" s="147"/>
      <c r="VVJ278" s="147"/>
      <c r="VVK278" s="147"/>
      <c r="VVL278" s="147"/>
      <c r="VVM278" s="147"/>
      <c r="VVN278" s="147"/>
      <c r="VVO278" s="147"/>
      <c r="VVP278" s="147"/>
      <c r="VVQ278" s="147"/>
      <c r="VVR278" s="147"/>
      <c r="VVS278" s="147"/>
      <c r="VVT278" s="147"/>
      <c r="VVU278" s="147"/>
      <c r="VVV278" s="147"/>
      <c r="VVW278" s="147"/>
      <c r="VVX278" s="147"/>
      <c r="VVY278" s="147"/>
      <c r="VVZ278" s="147"/>
      <c r="VWA278" s="147"/>
      <c r="VWB278" s="147"/>
      <c r="VWC278" s="147"/>
      <c r="VWD278" s="147"/>
      <c r="VWE278" s="147"/>
      <c r="VWF278" s="147"/>
      <c r="VWG278" s="147"/>
      <c r="VWH278" s="147"/>
      <c r="VWI278" s="147"/>
      <c r="VWJ278" s="147"/>
      <c r="VWK278" s="147"/>
      <c r="VWL278" s="147"/>
      <c r="VWM278" s="147"/>
      <c r="VWN278" s="147"/>
      <c r="VWO278" s="147"/>
      <c r="VWP278" s="147"/>
      <c r="VWQ278" s="147"/>
      <c r="VWR278" s="147"/>
      <c r="VWS278" s="147"/>
      <c r="VWT278" s="147"/>
      <c r="VWU278" s="147"/>
      <c r="VWV278" s="147"/>
      <c r="VWW278" s="147"/>
      <c r="VWX278" s="147"/>
      <c r="VWY278" s="147"/>
      <c r="VWZ278" s="147"/>
      <c r="VXA278" s="147"/>
      <c r="VXB278" s="147"/>
      <c r="VXC278" s="147"/>
      <c r="VXD278" s="147"/>
      <c r="VXE278" s="147"/>
      <c r="VXF278" s="147"/>
      <c r="VXG278" s="147"/>
      <c r="VXH278" s="147"/>
      <c r="VXI278" s="147"/>
      <c r="VXJ278" s="147"/>
      <c r="VXK278" s="147"/>
      <c r="VXL278" s="147"/>
      <c r="VXM278" s="147"/>
      <c r="VXN278" s="147"/>
      <c r="VXO278" s="147"/>
      <c r="VXP278" s="147"/>
      <c r="VXQ278" s="147"/>
      <c r="VXR278" s="147"/>
      <c r="VXS278" s="147"/>
      <c r="VXT278" s="147"/>
      <c r="VXU278" s="147"/>
      <c r="VXV278" s="147"/>
      <c r="VXW278" s="147"/>
      <c r="VXX278" s="147"/>
      <c r="VXY278" s="147"/>
      <c r="VXZ278" s="147"/>
      <c r="VYA278" s="147"/>
      <c r="VYB278" s="147"/>
      <c r="VYC278" s="147"/>
      <c r="VYD278" s="147"/>
      <c r="VYE278" s="147"/>
      <c r="VYF278" s="147"/>
      <c r="VYG278" s="147"/>
      <c r="VYH278" s="147"/>
      <c r="VYI278" s="147"/>
      <c r="VYJ278" s="147"/>
      <c r="VYK278" s="147"/>
      <c r="VYL278" s="147"/>
      <c r="VYM278" s="147"/>
      <c r="VYN278" s="147"/>
      <c r="VYO278" s="147"/>
      <c r="VYP278" s="147"/>
      <c r="VYQ278" s="147"/>
      <c r="VYR278" s="147"/>
      <c r="VYS278" s="147"/>
      <c r="VYT278" s="147"/>
      <c r="VYU278" s="147"/>
      <c r="VYV278" s="147"/>
      <c r="VYW278" s="147"/>
      <c r="VYX278" s="147"/>
      <c r="VYY278" s="147"/>
      <c r="VYZ278" s="147"/>
      <c r="VZA278" s="147"/>
      <c r="VZB278" s="147"/>
      <c r="VZC278" s="147"/>
      <c r="VZD278" s="147"/>
      <c r="VZE278" s="147"/>
      <c r="VZF278" s="147"/>
      <c r="VZG278" s="147"/>
      <c r="VZH278" s="147"/>
      <c r="VZI278" s="147"/>
      <c r="VZJ278" s="147"/>
      <c r="VZK278" s="147"/>
      <c r="VZL278" s="147"/>
      <c r="VZM278" s="147"/>
      <c r="VZN278" s="147"/>
      <c r="VZO278" s="147"/>
      <c r="VZP278" s="147"/>
      <c r="VZQ278" s="147"/>
      <c r="VZR278" s="147"/>
      <c r="VZS278" s="147"/>
      <c r="VZT278" s="147"/>
      <c r="VZU278" s="147"/>
      <c r="VZV278" s="147"/>
      <c r="VZW278" s="147"/>
      <c r="VZX278" s="147"/>
      <c r="VZY278" s="147"/>
      <c r="VZZ278" s="147"/>
      <c r="WAA278" s="147"/>
      <c r="WAB278" s="147"/>
      <c r="WAC278" s="147"/>
      <c r="WAD278" s="147"/>
      <c r="WAE278" s="147"/>
      <c r="WAF278" s="147"/>
      <c r="WAG278" s="147"/>
      <c r="WAH278" s="147"/>
      <c r="WAI278" s="147"/>
      <c r="WAJ278" s="147"/>
      <c r="WAK278" s="147"/>
      <c r="WAL278" s="147"/>
      <c r="WAM278" s="147"/>
      <c r="WAN278" s="147"/>
      <c r="WAO278" s="147"/>
      <c r="WAP278" s="147"/>
      <c r="WAQ278" s="147"/>
      <c r="WAR278" s="147"/>
      <c r="WAS278" s="147"/>
      <c r="WAT278" s="147"/>
      <c r="WAU278" s="147"/>
      <c r="WAV278" s="147"/>
      <c r="WAW278" s="147"/>
      <c r="WAX278" s="147"/>
      <c r="WAY278" s="147"/>
      <c r="WAZ278" s="147"/>
      <c r="WBA278" s="147"/>
      <c r="WBB278" s="147"/>
      <c r="WBC278" s="147"/>
      <c r="WBD278" s="147"/>
      <c r="WBE278" s="147"/>
      <c r="WBF278" s="147"/>
      <c r="WBG278" s="147"/>
      <c r="WBH278" s="147"/>
      <c r="WBI278" s="147"/>
      <c r="WBJ278" s="147"/>
      <c r="WBK278" s="147"/>
      <c r="WBL278" s="147"/>
      <c r="WBM278" s="147"/>
      <c r="WBN278" s="147"/>
      <c r="WBO278" s="147"/>
      <c r="WBP278" s="147"/>
      <c r="WBQ278" s="147"/>
      <c r="WBR278" s="147"/>
      <c r="WBS278" s="147"/>
      <c r="WBT278" s="147"/>
      <c r="WBU278" s="147"/>
      <c r="WBV278" s="147"/>
      <c r="WBW278" s="147"/>
      <c r="WBX278" s="147"/>
      <c r="WBY278" s="147"/>
      <c r="WBZ278" s="147"/>
      <c r="WCA278" s="147"/>
      <c r="WCB278" s="147"/>
      <c r="WCC278" s="147"/>
      <c r="WCD278" s="147"/>
      <c r="WCE278" s="147"/>
      <c r="WCF278" s="147"/>
      <c r="WCG278" s="147"/>
      <c r="WCH278" s="147"/>
      <c r="WCI278" s="147"/>
      <c r="WCJ278" s="147"/>
      <c r="WCK278" s="147"/>
      <c r="WCL278" s="147"/>
      <c r="WCM278" s="147"/>
      <c r="WCN278" s="147"/>
      <c r="WCO278" s="147"/>
      <c r="WCP278" s="147"/>
      <c r="WCQ278" s="147"/>
      <c r="WCR278" s="147"/>
      <c r="WCS278" s="147"/>
      <c r="WCT278" s="147"/>
      <c r="WCU278" s="147"/>
      <c r="WCV278" s="147"/>
      <c r="WCW278" s="147"/>
      <c r="WCX278" s="147"/>
      <c r="WCY278" s="147"/>
      <c r="WCZ278" s="147"/>
      <c r="WDA278" s="147"/>
      <c r="WDB278" s="147"/>
      <c r="WDC278" s="147"/>
      <c r="WDD278" s="147"/>
      <c r="WDE278" s="147"/>
      <c r="WDF278" s="147"/>
      <c r="WDG278" s="147"/>
      <c r="WDH278" s="147"/>
      <c r="WDI278" s="147"/>
      <c r="WDJ278" s="147"/>
      <c r="WDK278" s="147"/>
      <c r="WDL278" s="147"/>
      <c r="WDM278" s="147"/>
      <c r="WDN278" s="147"/>
      <c r="WDO278" s="147"/>
      <c r="WDP278" s="147"/>
      <c r="WDQ278" s="147"/>
      <c r="WDR278" s="147"/>
      <c r="WDS278" s="147"/>
      <c r="WDT278" s="147"/>
      <c r="WDU278" s="147"/>
      <c r="WDV278" s="147"/>
      <c r="WDW278" s="147"/>
      <c r="WDX278" s="147"/>
      <c r="WDY278" s="147"/>
      <c r="WDZ278" s="147"/>
      <c r="WEA278" s="147"/>
      <c r="WEB278" s="147"/>
      <c r="WEC278" s="147"/>
      <c r="WED278" s="147"/>
      <c r="WEE278" s="147"/>
      <c r="WEF278" s="147"/>
      <c r="WEG278" s="147"/>
      <c r="WEH278" s="147"/>
      <c r="WEI278" s="147"/>
      <c r="WEJ278" s="147"/>
      <c r="WEK278" s="147"/>
      <c r="WEL278" s="147"/>
      <c r="WEM278" s="147"/>
      <c r="WEN278" s="147"/>
      <c r="WEO278" s="147"/>
      <c r="WEP278" s="147"/>
      <c r="WEQ278" s="147"/>
      <c r="WER278" s="147"/>
      <c r="WES278" s="147"/>
      <c r="WET278" s="147"/>
      <c r="WEU278" s="147"/>
      <c r="WEV278" s="147"/>
      <c r="WEW278" s="147"/>
      <c r="WEX278" s="147"/>
      <c r="WEY278" s="147"/>
      <c r="WEZ278" s="147"/>
      <c r="WFA278" s="147"/>
      <c r="WFB278" s="147"/>
      <c r="WFC278" s="147"/>
      <c r="WFD278" s="147"/>
      <c r="WFE278" s="147"/>
      <c r="WFF278" s="147"/>
      <c r="WFG278" s="147"/>
      <c r="WFH278" s="147"/>
      <c r="WFI278" s="147"/>
      <c r="WFJ278" s="147"/>
      <c r="WFK278" s="147"/>
      <c r="WFL278" s="147"/>
      <c r="WFM278" s="147"/>
      <c r="WFN278" s="147"/>
      <c r="WFO278" s="147"/>
      <c r="WFP278" s="147"/>
      <c r="WFQ278" s="147"/>
      <c r="WFR278" s="147"/>
      <c r="WFS278" s="147"/>
      <c r="WFT278" s="147"/>
      <c r="WFU278" s="147"/>
      <c r="WFV278" s="147"/>
      <c r="WFW278" s="147"/>
      <c r="WFX278" s="147"/>
      <c r="WFY278" s="147"/>
      <c r="WFZ278" s="147"/>
      <c r="WGA278" s="147"/>
      <c r="WGB278" s="147"/>
      <c r="WGC278" s="147"/>
      <c r="WGD278" s="147"/>
      <c r="WGE278" s="147"/>
      <c r="WGF278" s="147"/>
      <c r="WGG278" s="147"/>
      <c r="WGH278" s="147"/>
      <c r="WGI278" s="147"/>
      <c r="WGJ278" s="147"/>
      <c r="WGK278" s="147"/>
      <c r="WGL278" s="147"/>
      <c r="WGM278" s="147"/>
      <c r="WGN278" s="147"/>
      <c r="WGO278" s="147"/>
      <c r="WGP278" s="147"/>
      <c r="WGQ278" s="147"/>
      <c r="WGR278" s="147"/>
      <c r="WGS278" s="147"/>
      <c r="WGT278" s="147"/>
      <c r="WGU278" s="147"/>
      <c r="WGV278" s="147"/>
      <c r="WGW278" s="147"/>
      <c r="WGX278" s="147"/>
      <c r="WGY278" s="147"/>
      <c r="WGZ278" s="147"/>
      <c r="WHA278" s="147"/>
      <c r="WHB278" s="147"/>
      <c r="WHC278" s="147"/>
      <c r="WHD278" s="147"/>
      <c r="WHE278" s="147"/>
      <c r="WHF278" s="147"/>
      <c r="WHG278" s="147"/>
      <c r="WHH278" s="147"/>
      <c r="WHI278" s="147"/>
      <c r="WHJ278" s="147"/>
      <c r="WHK278" s="147"/>
      <c r="WHL278" s="147"/>
      <c r="WHM278" s="147"/>
      <c r="WHN278" s="147"/>
      <c r="WHO278" s="147"/>
      <c r="WHP278" s="147"/>
      <c r="WHQ278" s="147"/>
      <c r="WHR278" s="147"/>
      <c r="WHS278" s="147"/>
      <c r="WHT278" s="147"/>
      <c r="WHU278" s="147"/>
      <c r="WHV278" s="147"/>
      <c r="WHW278" s="147"/>
      <c r="WHX278" s="147"/>
      <c r="WHY278" s="147"/>
      <c r="WHZ278" s="147"/>
      <c r="WIA278" s="147"/>
      <c r="WIB278" s="147"/>
      <c r="WIC278" s="147"/>
      <c r="WID278" s="147"/>
      <c r="WIE278" s="147"/>
      <c r="WIF278" s="147"/>
      <c r="WIG278" s="147"/>
      <c r="WIH278" s="147"/>
      <c r="WII278" s="147"/>
      <c r="WIJ278" s="147"/>
      <c r="WIK278" s="147"/>
      <c r="WIL278" s="147"/>
      <c r="WIM278" s="147"/>
      <c r="WIN278" s="147"/>
      <c r="WIO278" s="147"/>
      <c r="WIP278" s="147"/>
      <c r="WIQ278" s="147"/>
      <c r="WIR278" s="147"/>
      <c r="WIS278" s="147"/>
      <c r="WIT278" s="147"/>
      <c r="WIU278" s="147"/>
      <c r="WIV278" s="147"/>
      <c r="WIW278" s="147"/>
      <c r="WIX278" s="147"/>
      <c r="WIY278" s="147"/>
      <c r="WIZ278" s="147"/>
      <c r="WJA278" s="147"/>
      <c r="WJB278" s="147"/>
      <c r="WJC278" s="147"/>
      <c r="WJD278" s="147"/>
      <c r="WJE278" s="147"/>
      <c r="WJF278" s="147"/>
      <c r="WJG278" s="147"/>
      <c r="WJH278" s="147"/>
      <c r="WJI278" s="147"/>
      <c r="WJJ278" s="147"/>
      <c r="WJK278" s="147"/>
      <c r="WJL278" s="147"/>
      <c r="WJM278" s="147"/>
      <c r="WJN278" s="147"/>
      <c r="WJO278" s="147"/>
      <c r="WJP278" s="147"/>
      <c r="WJQ278" s="147"/>
      <c r="WJR278" s="147"/>
      <c r="WJS278" s="147"/>
      <c r="WJT278" s="147"/>
      <c r="WJU278" s="147"/>
      <c r="WJV278" s="147"/>
      <c r="WJW278" s="147"/>
      <c r="WJX278" s="147"/>
      <c r="WJY278" s="147"/>
      <c r="WJZ278" s="147"/>
      <c r="WKA278" s="147"/>
      <c r="WKB278" s="147"/>
      <c r="WKC278" s="147"/>
      <c r="WKD278" s="147"/>
      <c r="WKE278" s="147"/>
      <c r="WKF278" s="147"/>
      <c r="WKG278" s="147"/>
      <c r="WKH278" s="147"/>
      <c r="WKI278" s="147"/>
      <c r="WKJ278" s="147"/>
      <c r="WKK278" s="147"/>
      <c r="WKL278" s="147"/>
      <c r="WKM278" s="147"/>
      <c r="WKN278" s="147"/>
      <c r="WKO278" s="147"/>
      <c r="WKP278" s="147"/>
      <c r="WKQ278" s="147"/>
      <c r="WKR278" s="147"/>
      <c r="WKS278" s="147"/>
      <c r="WKT278" s="147"/>
      <c r="WKU278" s="147"/>
      <c r="WKV278" s="147"/>
      <c r="WKW278" s="147"/>
      <c r="WKX278" s="147"/>
      <c r="WKY278" s="147"/>
      <c r="WKZ278" s="147"/>
      <c r="WLA278" s="147"/>
      <c r="WLB278" s="147"/>
      <c r="WLC278" s="147"/>
      <c r="WLD278" s="147"/>
      <c r="WLE278" s="147"/>
      <c r="WLF278" s="147"/>
      <c r="WLG278" s="147"/>
      <c r="WLH278" s="147"/>
      <c r="WLI278" s="147"/>
      <c r="WLJ278" s="147"/>
      <c r="WLK278" s="147"/>
      <c r="WLL278" s="147"/>
      <c r="WLM278" s="147"/>
      <c r="WLN278" s="147"/>
      <c r="WLO278" s="147"/>
      <c r="WLP278" s="147"/>
      <c r="WLQ278" s="147"/>
      <c r="WLR278" s="147"/>
      <c r="WLS278" s="147"/>
      <c r="WLT278" s="147"/>
      <c r="WLU278" s="147"/>
      <c r="WLV278" s="147"/>
      <c r="WLW278" s="147"/>
      <c r="WLX278" s="147"/>
      <c r="WLY278" s="147"/>
      <c r="WLZ278" s="147"/>
      <c r="WMA278" s="147"/>
      <c r="WMB278" s="147"/>
      <c r="WMC278" s="147"/>
      <c r="WMD278" s="147"/>
      <c r="WME278" s="147"/>
      <c r="WMF278" s="147"/>
      <c r="WMG278" s="147"/>
      <c r="WMH278" s="147"/>
      <c r="WMI278" s="147"/>
      <c r="WMJ278" s="147"/>
      <c r="WMK278" s="147"/>
      <c r="WML278" s="147"/>
      <c r="WMM278" s="147"/>
      <c r="WMN278" s="147"/>
      <c r="WMO278" s="147"/>
      <c r="WMP278" s="147"/>
      <c r="WMQ278" s="147"/>
      <c r="WMR278" s="147"/>
      <c r="WMS278" s="147"/>
      <c r="WMT278" s="147"/>
      <c r="WMU278" s="147"/>
      <c r="WMV278" s="147"/>
      <c r="WMW278" s="147"/>
      <c r="WMX278" s="147"/>
      <c r="WMY278" s="147"/>
      <c r="WMZ278" s="147"/>
      <c r="WNA278" s="147"/>
      <c r="WNB278" s="147"/>
      <c r="WNC278" s="147"/>
      <c r="WND278" s="147"/>
      <c r="WNE278" s="147"/>
      <c r="WNF278" s="147"/>
      <c r="WNG278" s="147"/>
      <c r="WNH278" s="147"/>
      <c r="WNI278" s="147"/>
      <c r="WNJ278" s="147"/>
      <c r="WNK278" s="147"/>
      <c r="WNL278" s="147"/>
      <c r="WNM278" s="147"/>
      <c r="WNN278" s="147"/>
      <c r="WNO278" s="147"/>
      <c r="WNP278" s="147"/>
      <c r="WNQ278" s="147"/>
      <c r="WNR278" s="147"/>
      <c r="WNS278" s="147"/>
      <c r="WNT278" s="147"/>
      <c r="WNU278" s="147"/>
      <c r="WNV278" s="147"/>
      <c r="WNW278" s="147"/>
      <c r="WNX278" s="147"/>
      <c r="WNY278" s="147"/>
      <c r="WNZ278" s="147"/>
      <c r="WOA278" s="147"/>
      <c r="WOB278" s="147"/>
      <c r="WOC278" s="147"/>
      <c r="WOD278" s="147"/>
      <c r="WOE278" s="147"/>
      <c r="WOF278" s="147"/>
      <c r="WOG278" s="147"/>
      <c r="WOH278" s="147"/>
      <c r="WOI278" s="147"/>
      <c r="WOJ278" s="147"/>
      <c r="WOK278" s="147"/>
      <c r="WOL278" s="147"/>
      <c r="WOM278" s="147"/>
      <c r="WON278" s="147"/>
      <c r="WOO278" s="147"/>
      <c r="WOP278" s="147"/>
      <c r="WOQ278" s="147"/>
      <c r="WOR278" s="147"/>
      <c r="WOS278" s="147"/>
      <c r="WOT278" s="147"/>
      <c r="WOU278" s="147"/>
      <c r="WOV278" s="147"/>
      <c r="WOW278" s="147"/>
      <c r="WOX278" s="147"/>
      <c r="WOY278" s="147"/>
      <c r="WOZ278" s="147"/>
      <c r="WPA278" s="147"/>
      <c r="WPB278" s="147"/>
      <c r="WPC278" s="147"/>
      <c r="WPD278" s="147"/>
      <c r="WPE278" s="147"/>
      <c r="WPF278" s="147"/>
      <c r="WPG278" s="147"/>
      <c r="WPH278" s="147"/>
      <c r="WPI278" s="147"/>
      <c r="WPJ278" s="147"/>
      <c r="WPK278" s="147"/>
      <c r="WPL278" s="147"/>
      <c r="WPM278" s="147"/>
      <c r="WPN278" s="147"/>
      <c r="WPO278" s="147"/>
      <c r="WPP278" s="147"/>
      <c r="WPQ278" s="147"/>
      <c r="WPR278" s="147"/>
      <c r="WPS278" s="147"/>
      <c r="WPT278" s="147"/>
      <c r="WPU278" s="147"/>
      <c r="WPV278" s="147"/>
      <c r="WPW278" s="147"/>
      <c r="WPX278" s="147"/>
      <c r="WPY278" s="147"/>
      <c r="WPZ278" s="147"/>
      <c r="WQA278" s="147"/>
      <c r="WQB278" s="147"/>
      <c r="WQC278" s="147"/>
      <c r="WQD278" s="147"/>
      <c r="WQE278" s="147"/>
      <c r="WQF278" s="147"/>
      <c r="WQG278" s="147"/>
      <c r="WQH278" s="147"/>
      <c r="WQI278" s="147"/>
      <c r="WQJ278" s="147"/>
      <c r="WQK278" s="147"/>
      <c r="WQL278" s="147"/>
      <c r="WQM278" s="147"/>
      <c r="WQN278" s="147"/>
      <c r="WQO278" s="147"/>
      <c r="WQP278" s="147"/>
      <c r="WQQ278" s="147"/>
      <c r="WQR278" s="147"/>
      <c r="WQS278" s="147"/>
      <c r="WQT278" s="147"/>
      <c r="WQU278" s="147"/>
      <c r="WQV278" s="147"/>
      <c r="WQW278" s="147"/>
      <c r="WQX278" s="147"/>
      <c r="WQY278" s="147"/>
      <c r="WQZ278" s="147"/>
      <c r="WRA278" s="147"/>
      <c r="WRB278" s="147"/>
      <c r="WRC278" s="147"/>
      <c r="WRD278" s="147"/>
      <c r="WRE278" s="147"/>
      <c r="WRF278" s="147"/>
      <c r="WRG278" s="147"/>
      <c r="WRH278" s="147"/>
      <c r="WRI278" s="147"/>
      <c r="WRJ278" s="147"/>
      <c r="WRK278" s="147"/>
      <c r="WRL278" s="147"/>
      <c r="WRM278" s="147"/>
      <c r="WRN278" s="147"/>
      <c r="WRO278" s="147"/>
      <c r="WRP278" s="147"/>
      <c r="WRQ278" s="147"/>
      <c r="WRR278" s="147"/>
      <c r="WRS278" s="147"/>
      <c r="WRT278" s="147"/>
      <c r="WRU278" s="147"/>
      <c r="WRV278" s="147"/>
      <c r="WRW278" s="147"/>
      <c r="WRX278" s="147"/>
      <c r="WRY278" s="147"/>
      <c r="WRZ278" s="147"/>
      <c r="WSA278" s="147"/>
      <c r="WSB278" s="147"/>
      <c r="WSC278" s="147"/>
      <c r="WSD278" s="147"/>
      <c r="WSE278" s="147"/>
      <c r="WSF278" s="147"/>
      <c r="WSG278" s="147"/>
      <c r="WSH278" s="147"/>
      <c r="WSI278" s="147"/>
      <c r="WSJ278" s="147"/>
      <c r="WSK278" s="147"/>
      <c r="WSL278" s="147"/>
      <c r="WSM278" s="147"/>
      <c r="WSN278" s="147"/>
      <c r="WSO278" s="147"/>
      <c r="WSP278" s="147"/>
      <c r="WSQ278" s="147"/>
      <c r="WSR278" s="147"/>
      <c r="WSS278" s="147"/>
      <c r="WST278" s="147"/>
      <c r="WSU278" s="147"/>
      <c r="WSV278" s="147"/>
      <c r="WSW278" s="147"/>
      <c r="WSX278" s="147"/>
      <c r="WSY278" s="147"/>
      <c r="WSZ278" s="147"/>
      <c r="WTA278" s="147"/>
      <c r="WTB278" s="147"/>
      <c r="WTC278" s="147"/>
      <c r="WTD278" s="147"/>
      <c r="WTE278" s="147"/>
      <c r="WTF278" s="147"/>
      <c r="WTG278" s="147"/>
      <c r="WTH278" s="147"/>
      <c r="WTI278" s="147"/>
      <c r="WTJ278" s="147"/>
      <c r="WTK278" s="147"/>
      <c r="WTL278" s="147"/>
      <c r="WTM278" s="147"/>
      <c r="WTN278" s="147"/>
      <c r="WTO278" s="147"/>
      <c r="WTP278" s="147"/>
      <c r="WTQ278" s="147"/>
      <c r="WTR278" s="147"/>
      <c r="WTS278" s="147"/>
      <c r="WTT278" s="147"/>
      <c r="WTU278" s="147"/>
      <c r="WTV278" s="147"/>
      <c r="WTW278" s="147"/>
      <c r="WTX278" s="147"/>
      <c r="WTY278" s="147"/>
      <c r="WTZ278" s="147"/>
      <c r="WUA278" s="147"/>
      <c r="WUB278" s="147"/>
      <c r="WUC278" s="147"/>
      <c r="WUD278" s="147"/>
      <c r="WUE278" s="147"/>
      <c r="WUF278" s="147"/>
      <c r="WUG278" s="147"/>
      <c r="WUH278" s="147"/>
      <c r="WUI278" s="147"/>
      <c r="WUJ278" s="147"/>
      <c r="WUK278" s="147"/>
      <c r="WUL278" s="147"/>
      <c r="WUM278" s="147"/>
      <c r="WUN278" s="147"/>
      <c r="WUO278" s="147"/>
      <c r="WUP278" s="147"/>
      <c r="WUQ278" s="147"/>
      <c r="WUR278" s="147"/>
      <c r="WUS278" s="147"/>
      <c r="WUT278" s="147"/>
      <c r="WUU278" s="147"/>
      <c r="WUV278" s="147"/>
      <c r="WUW278" s="147"/>
      <c r="WUX278" s="147"/>
      <c r="WUY278" s="147"/>
      <c r="WUZ278" s="147"/>
      <c r="WVA278" s="147"/>
      <c r="WVB278" s="147"/>
      <c r="WVC278" s="147"/>
      <c r="WVD278" s="147"/>
      <c r="WVE278" s="147"/>
      <c r="WVF278" s="147"/>
      <c r="WVG278" s="147"/>
      <c r="WVH278" s="147"/>
      <c r="WVI278" s="147"/>
      <c r="WVJ278" s="147"/>
      <c r="WVK278" s="147"/>
      <c r="WVL278" s="147"/>
      <c r="WVM278" s="147"/>
      <c r="WVN278" s="147"/>
      <c r="WVO278" s="147"/>
      <c r="WVP278" s="147"/>
      <c r="WVQ278" s="147"/>
      <c r="WVR278" s="147"/>
      <c r="WVS278" s="147"/>
      <c r="WVT278" s="147"/>
      <c r="WVU278" s="147"/>
    </row>
    <row r="327" spans="1:5" x14ac:dyDescent="0.3">
      <c r="A327" s="147"/>
      <c r="B327" s="148"/>
      <c r="C327" s="150"/>
      <c r="E327" s="1683"/>
    </row>
    <row r="328" spans="1:5" x14ac:dyDescent="0.3">
      <c r="A328" s="147"/>
      <c r="B328" s="146"/>
      <c r="C328" s="260"/>
      <c r="D328" s="481"/>
      <c r="E328" s="2"/>
    </row>
    <row r="329" spans="1:5" x14ac:dyDescent="0.3">
      <c r="A329" s="147"/>
      <c r="B329" s="148"/>
      <c r="C329" s="260"/>
      <c r="D329" s="1682"/>
      <c r="E329" s="1684"/>
    </row>
    <row r="330" spans="1:5" x14ac:dyDescent="0.3">
      <c r="A330" s="147"/>
      <c r="B330" s="146"/>
      <c r="C330" s="260"/>
      <c r="D330" s="1682"/>
      <c r="E330" s="2"/>
    </row>
    <row r="331" spans="1:5" x14ac:dyDescent="0.3">
      <c r="A331" s="147"/>
      <c r="B331" s="148"/>
      <c r="C331" s="150"/>
      <c r="D331" s="1682"/>
      <c r="E331" s="2"/>
    </row>
    <row r="332" spans="1:5" ht="17.25" x14ac:dyDescent="0.35">
      <c r="A332" s="147"/>
      <c r="B332" s="1679"/>
      <c r="C332" s="1680"/>
      <c r="D332" s="481"/>
      <c r="E332" s="2"/>
    </row>
    <row r="333" spans="1:5" ht="17.25" x14ac:dyDescent="0.35">
      <c r="A333" s="147"/>
      <c r="B333" s="148"/>
      <c r="C333" s="150"/>
      <c r="D333" s="1681"/>
      <c r="E333" s="2"/>
    </row>
    <row r="334" spans="1:5" ht="17.25" x14ac:dyDescent="0.3">
      <c r="A334" s="147"/>
      <c r="B334" s="148"/>
      <c r="C334" s="1668"/>
      <c r="D334" s="1685"/>
      <c r="E334" s="2"/>
    </row>
    <row r="335" spans="1:5" ht="17.25" x14ac:dyDescent="0.35">
      <c r="A335" s="147"/>
      <c r="B335" s="148"/>
      <c r="C335" s="150"/>
      <c r="D335" s="1686"/>
      <c r="E335" s="2"/>
    </row>
    <row r="336" spans="1:5" x14ac:dyDescent="0.3">
      <c r="A336" s="147"/>
      <c r="D336" s="481"/>
    </row>
    <row r="380" spans="1:5" x14ac:dyDescent="0.3">
      <c r="A380" s="147"/>
      <c r="B380" s="148"/>
      <c r="C380" s="150"/>
      <c r="E380" s="1683"/>
    </row>
    <row r="381" spans="1:5" x14ac:dyDescent="0.3">
      <c r="A381" s="147"/>
      <c r="B381" s="146"/>
      <c r="C381" s="260"/>
      <c r="D381" s="481"/>
      <c r="E381" s="2"/>
    </row>
    <row r="382" spans="1:5" x14ac:dyDescent="0.3">
      <c r="A382" s="147"/>
      <c r="B382" s="148"/>
      <c r="C382" s="260"/>
      <c r="D382" s="1682"/>
      <c r="E382" s="1684"/>
    </row>
    <row r="383" spans="1:5" x14ac:dyDescent="0.3">
      <c r="A383" s="147"/>
      <c r="B383" s="146"/>
      <c r="C383" s="260"/>
      <c r="D383" s="1682"/>
      <c r="E383" s="2"/>
    </row>
    <row r="384" spans="1:5" x14ac:dyDescent="0.3">
      <c r="A384" s="147"/>
      <c r="B384" s="148"/>
      <c r="C384" s="150"/>
      <c r="D384" s="1682"/>
      <c r="E384" s="2"/>
    </row>
    <row r="385" spans="1:256" x14ac:dyDescent="0.3">
      <c r="A385" s="147"/>
      <c r="D385" s="481"/>
    </row>
    <row r="400" spans="1:256" s="1625" customFormat="1" x14ac:dyDescent="0.3">
      <c r="A400" s="1624"/>
      <c r="B400" s="147"/>
      <c r="C400" s="150"/>
      <c r="E400" s="72"/>
      <c r="F400" s="147"/>
      <c r="G400" s="147"/>
      <c r="H400" s="147"/>
      <c r="I400" s="147"/>
      <c r="J400" s="72"/>
      <c r="K400" s="147"/>
      <c r="L400" s="72"/>
      <c r="M400" s="147"/>
      <c r="N400" s="147"/>
      <c r="O400" s="147"/>
      <c r="P400" s="147"/>
      <c r="Q400" s="147"/>
      <c r="R400" s="147"/>
      <c r="S400" s="147"/>
      <c r="T400" s="147"/>
      <c r="U400" s="147"/>
      <c r="V400" s="147"/>
      <c r="W400" s="147"/>
      <c r="X400" s="147"/>
      <c r="Y400" s="147"/>
      <c r="Z400" s="147"/>
      <c r="AA400" s="147"/>
      <c r="AB400" s="147"/>
      <c r="AC400" s="147"/>
      <c r="AD400" s="147"/>
      <c r="AE400" s="147"/>
      <c r="AF400" s="147"/>
      <c r="AG400" s="147"/>
      <c r="AH400" s="147"/>
      <c r="AI400" s="147"/>
      <c r="AJ400" s="147"/>
      <c r="AK400" s="147"/>
      <c r="AL400" s="147"/>
      <c r="AM400" s="147"/>
      <c r="AN400" s="147"/>
      <c r="AO400" s="147"/>
      <c r="AP400" s="147"/>
      <c r="AQ400" s="147"/>
      <c r="AR400" s="147"/>
      <c r="AS400" s="147"/>
      <c r="AT400" s="147"/>
      <c r="AU400" s="147"/>
      <c r="AV400" s="147"/>
      <c r="AW400" s="147"/>
      <c r="AX400" s="147"/>
      <c r="AY400" s="147"/>
      <c r="AZ400" s="147"/>
      <c r="BA400" s="147"/>
      <c r="BB400" s="147"/>
      <c r="BC400" s="147"/>
      <c r="BD400" s="147"/>
      <c r="BE400" s="147"/>
      <c r="BF400" s="147"/>
      <c r="BG400" s="147"/>
      <c r="BH400" s="147"/>
      <c r="BI400" s="147"/>
      <c r="BJ400" s="147"/>
      <c r="BK400" s="147"/>
      <c r="BL400" s="147"/>
      <c r="BM400" s="147"/>
      <c r="BN400" s="147"/>
      <c r="BO400" s="147"/>
      <c r="BP400" s="147"/>
      <c r="BQ400" s="147"/>
      <c r="BR400" s="147"/>
      <c r="BS400" s="147"/>
      <c r="BT400" s="147"/>
      <c r="BU400" s="147"/>
      <c r="BV400" s="147"/>
      <c r="BW400" s="147"/>
      <c r="BX400" s="147"/>
      <c r="BY400" s="147"/>
      <c r="BZ400" s="147"/>
      <c r="CA400" s="147"/>
      <c r="CB400" s="147"/>
      <c r="CC400" s="147"/>
      <c r="CD400" s="147"/>
      <c r="CE400" s="147"/>
      <c r="CF400" s="147"/>
      <c r="CG400" s="147"/>
      <c r="CH400" s="147"/>
      <c r="CI400" s="147"/>
      <c r="CJ400" s="147"/>
      <c r="CK400" s="147"/>
      <c r="CL400" s="147"/>
      <c r="CM400" s="147"/>
      <c r="CN400" s="147"/>
      <c r="CO400" s="147"/>
      <c r="CP400" s="147"/>
      <c r="CQ400" s="147"/>
      <c r="CR400" s="147"/>
      <c r="CS400" s="147"/>
      <c r="CT400" s="147"/>
      <c r="CU400" s="147"/>
      <c r="CV400" s="147"/>
      <c r="CW400" s="147"/>
      <c r="CX400" s="147"/>
      <c r="CY400" s="147"/>
      <c r="CZ400" s="147"/>
      <c r="DA400" s="147"/>
      <c r="DB400" s="147"/>
      <c r="DC400" s="147"/>
      <c r="DD400" s="147"/>
      <c r="DE400" s="147"/>
      <c r="DF400" s="147"/>
      <c r="DG400" s="147"/>
      <c r="DH400" s="147"/>
      <c r="DI400" s="147"/>
      <c r="DJ400" s="147"/>
      <c r="DK400" s="147"/>
      <c r="DL400" s="147"/>
      <c r="DM400" s="147"/>
      <c r="DN400" s="147"/>
      <c r="DO400" s="147"/>
      <c r="DP400" s="147"/>
      <c r="DQ400" s="147"/>
      <c r="DR400" s="147"/>
      <c r="DS400" s="147"/>
      <c r="DT400" s="147"/>
      <c r="DU400" s="147"/>
      <c r="DV400" s="147"/>
      <c r="DW400" s="147"/>
      <c r="DX400" s="147"/>
      <c r="DY400" s="147"/>
      <c r="DZ400" s="147"/>
      <c r="EA400" s="147"/>
      <c r="EB400" s="147"/>
      <c r="EC400" s="147"/>
      <c r="ED400" s="147"/>
      <c r="EE400" s="147"/>
      <c r="EF400" s="147"/>
      <c r="EG400" s="147"/>
      <c r="EH400" s="147"/>
      <c r="EI400" s="147"/>
      <c r="EJ400" s="147"/>
      <c r="EK400" s="147"/>
      <c r="EL400" s="147"/>
      <c r="EM400" s="147"/>
      <c r="EN400" s="147"/>
      <c r="EO400" s="147"/>
      <c r="EP400" s="147"/>
      <c r="EQ400" s="147"/>
      <c r="ER400" s="147"/>
      <c r="ES400" s="147"/>
      <c r="ET400" s="147"/>
      <c r="EU400" s="147"/>
      <c r="EV400" s="147"/>
      <c r="EW400" s="147"/>
      <c r="EX400" s="147"/>
      <c r="EY400" s="147"/>
      <c r="EZ400" s="147"/>
      <c r="FA400" s="147"/>
      <c r="FB400" s="147"/>
      <c r="FC400" s="147"/>
      <c r="FD400" s="147"/>
      <c r="FE400" s="147"/>
      <c r="FF400" s="147"/>
      <c r="FG400" s="147"/>
      <c r="FH400" s="147"/>
      <c r="FI400" s="147"/>
      <c r="FJ400" s="147"/>
      <c r="FK400" s="147"/>
      <c r="FL400" s="147"/>
      <c r="FM400" s="147"/>
      <c r="FN400" s="147"/>
      <c r="FO400" s="147"/>
      <c r="FP400" s="147"/>
      <c r="FQ400" s="147"/>
      <c r="FR400" s="147"/>
      <c r="FS400" s="147"/>
      <c r="FT400" s="147"/>
      <c r="FU400" s="147"/>
      <c r="FV400" s="147"/>
      <c r="FW400" s="147"/>
      <c r="FX400" s="147"/>
      <c r="FY400" s="147"/>
      <c r="FZ400" s="147"/>
      <c r="GA400" s="147"/>
      <c r="GB400" s="147"/>
      <c r="GC400" s="147"/>
      <c r="GD400" s="147"/>
      <c r="GE400" s="147"/>
      <c r="GF400" s="147"/>
      <c r="GG400" s="147"/>
      <c r="GH400" s="147"/>
      <c r="GI400" s="147"/>
      <c r="GJ400" s="147"/>
      <c r="GK400" s="147"/>
      <c r="GL400" s="147"/>
      <c r="GM400" s="147"/>
      <c r="GN400" s="147"/>
      <c r="GO400" s="147"/>
      <c r="GP400" s="147"/>
      <c r="GQ400" s="147"/>
      <c r="GR400" s="147"/>
      <c r="GS400" s="147"/>
      <c r="GT400" s="147"/>
      <c r="GU400" s="147"/>
      <c r="GV400" s="147"/>
      <c r="GW400" s="147"/>
      <c r="GX400" s="147"/>
      <c r="GY400" s="147"/>
      <c r="GZ400" s="147"/>
      <c r="HA400" s="147"/>
      <c r="HB400" s="147"/>
      <c r="HC400" s="147"/>
      <c r="HD400" s="147"/>
      <c r="HE400" s="147"/>
      <c r="HF400" s="147"/>
      <c r="HG400" s="147"/>
      <c r="HH400" s="147"/>
      <c r="HI400" s="147"/>
      <c r="HJ400" s="147"/>
      <c r="HK400" s="147"/>
      <c r="HL400" s="147"/>
      <c r="HM400" s="147"/>
      <c r="HN400" s="147"/>
      <c r="HO400" s="147"/>
      <c r="HP400" s="147"/>
      <c r="HQ400" s="147"/>
      <c r="HR400" s="147"/>
      <c r="HS400" s="147"/>
      <c r="HT400" s="147"/>
      <c r="HU400" s="147"/>
      <c r="HV400" s="147"/>
      <c r="HW400" s="147"/>
      <c r="HX400" s="147"/>
      <c r="HY400" s="147"/>
      <c r="HZ400" s="147"/>
      <c r="IA400" s="147"/>
      <c r="IB400" s="147"/>
      <c r="IC400" s="147"/>
      <c r="ID400" s="147"/>
      <c r="IE400" s="147"/>
      <c r="IF400" s="147"/>
      <c r="IG400" s="147"/>
      <c r="IH400" s="147"/>
      <c r="II400" s="147"/>
      <c r="IJ400" s="147"/>
      <c r="IK400" s="147"/>
      <c r="IL400" s="147"/>
      <c r="IM400" s="147"/>
      <c r="IN400" s="147"/>
      <c r="IO400" s="147"/>
      <c r="IP400" s="147"/>
      <c r="IQ400" s="147"/>
      <c r="IR400" s="147"/>
      <c r="IS400" s="147"/>
      <c r="IT400" s="147"/>
      <c r="IU400" s="147"/>
      <c r="IV400" s="147"/>
    </row>
    <row r="421" spans="1:5" x14ac:dyDescent="0.3">
      <c r="A421" s="147"/>
      <c r="B421" s="148"/>
      <c r="C421" s="150"/>
      <c r="E421" s="2"/>
    </row>
    <row r="422" spans="1:5" ht="17.25" x14ac:dyDescent="0.35">
      <c r="A422" s="147"/>
      <c r="B422" s="148"/>
      <c r="C422" s="1668"/>
      <c r="D422" s="481"/>
      <c r="E422" s="1687"/>
    </row>
    <row r="423" spans="1:5" ht="17.25" x14ac:dyDescent="0.35">
      <c r="A423" s="147"/>
      <c r="B423" s="148"/>
      <c r="C423" s="1668"/>
      <c r="D423" s="1686"/>
      <c r="E423" s="1687"/>
    </row>
    <row r="424" spans="1:5" ht="17.25" x14ac:dyDescent="0.35">
      <c r="A424" s="147"/>
      <c r="B424" s="148"/>
      <c r="C424" s="150"/>
      <c r="D424" s="1686"/>
      <c r="E424" s="2"/>
    </row>
    <row r="425" spans="1:5" ht="17.25" x14ac:dyDescent="0.3">
      <c r="A425" s="147"/>
      <c r="B425" s="148"/>
      <c r="C425" s="1668"/>
      <c r="D425" s="481"/>
      <c r="E425" s="2"/>
    </row>
    <row r="426" spans="1:5" ht="17.25" x14ac:dyDescent="0.35">
      <c r="A426" s="147"/>
      <c r="B426" s="148"/>
      <c r="C426" s="150"/>
      <c r="D426" s="1686"/>
      <c r="E426" s="2"/>
    </row>
    <row r="427" spans="1:5" x14ac:dyDescent="0.3">
      <c r="A427" s="147"/>
      <c r="B427" s="148"/>
      <c r="C427" s="150"/>
      <c r="D427" s="481"/>
      <c r="E427" s="2"/>
    </row>
    <row r="428" spans="1:5" x14ac:dyDescent="0.3">
      <c r="A428" s="147"/>
      <c r="B428" s="148"/>
      <c r="C428" s="150"/>
      <c r="D428" s="481"/>
      <c r="E428" s="2"/>
    </row>
    <row r="429" spans="1:5" x14ac:dyDescent="0.3">
      <c r="A429" s="147"/>
      <c r="B429" s="148"/>
      <c r="C429" s="150"/>
      <c r="D429" s="481"/>
      <c r="E429" s="2"/>
    </row>
    <row r="430" spans="1:5" x14ac:dyDescent="0.3">
      <c r="A430" s="147"/>
      <c r="B430" s="148"/>
      <c r="C430" s="150"/>
      <c r="D430" s="481"/>
      <c r="E430" s="2"/>
    </row>
    <row r="431" spans="1:5" ht="17.25" x14ac:dyDescent="0.35">
      <c r="A431" s="147"/>
      <c r="B431" s="148"/>
      <c r="C431" s="1668"/>
      <c r="D431" s="481"/>
      <c r="E431" s="1687"/>
    </row>
    <row r="432" spans="1:5" ht="17.25" x14ac:dyDescent="0.35">
      <c r="A432" s="147"/>
      <c r="B432" s="148"/>
      <c r="C432" s="150"/>
      <c r="D432" s="1686"/>
      <c r="E432" s="2"/>
    </row>
    <row r="433" spans="1:5" x14ac:dyDescent="0.3">
      <c r="A433" s="147"/>
      <c r="B433" s="148"/>
      <c r="C433" s="150"/>
      <c r="D433" s="481"/>
      <c r="E433" s="2"/>
    </row>
    <row r="434" spans="1:5" x14ac:dyDescent="0.3">
      <c r="A434" s="147"/>
      <c r="B434" s="148"/>
      <c r="C434" s="150"/>
      <c r="D434" s="481"/>
      <c r="E434" s="1683"/>
    </row>
    <row r="435" spans="1:5" x14ac:dyDescent="0.3">
      <c r="A435" s="147"/>
      <c r="B435" s="146"/>
      <c r="C435" s="260"/>
      <c r="D435" s="481"/>
      <c r="E435" s="2"/>
    </row>
    <row r="436" spans="1:5" x14ac:dyDescent="0.3">
      <c r="A436" s="147"/>
      <c r="B436" s="148"/>
      <c r="C436" s="260"/>
      <c r="D436" s="1682"/>
      <c r="E436" s="1684"/>
    </row>
    <row r="437" spans="1:5" x14ac:dyDescent="0.3">
      <c r="A437" s="147"/>
      <c r="B437" s="146"/>
      <c r="C437" s="260"/>
      <c r="D437" s="1682"/>
      <c r="E437" s="2"/>
    </row>
    <row r="438" spans="1:5" x14ac:dyDescent="0.3">
      <c r="A438" s="147"/>
      <c r="B438" s="148"/>
      <c r="C438" s="150"/>
      <c r="D438" s="1682"/>
      <c r="E438" s="2"/>
    </row>
    <row r="439" spans="1:5" ht="17.25" x14ac:dyDescent="0.3">
      <c r="A439" s="147"/>
      <c r="B439" s="148"/>
      <c r="C439" s="1668"/>
      <c r="D439" s="481"/>
      <c r="E439" s="2"/>
    </row>
    <row r="440" spans="1:5" ht="17.25" x14ac:dyDescent="0.35">
      <c r="A440" s="147"/>
      <c r="B440" s="148"/>
      <c r="C440" s="150"/>
      <c r="D440" s="1686"/>
      <c r="E440" s="2"/>
    </row>
    <row r="441" spans="1:5" x14ac:dyDescent="0.3">
      <c r="A441" s="147"/>
      <c r="B441" s="148"/>
      <c r="C441" s="150"/>
      <c r="D441" s="481"/>
      <c r="E441" s="2"/>
    </row>
    <row r="442" spans="1:5" x14ac:dyDescent="0.3">
      <c r="A442" s="147"/>
      <c r="B442" s="148"/>
      <c r="C442" s="150"/>
      <c r="D442" s="481"/>
      <c r="E442" s="2"/>
    </row>
    <row r="443" spans="1:5" x14ac:dyDescent="0.3">
      <c r="A443" s="147"/>
      <c r="B443" s="148"/>
      <c r="C443" s="150"/>
      <c r="D443" s="481"/>
      <c r="E443" s="2"/>
    </row>
    <row r="444" spans="1:5" ht="17.25" x14ac:dyDescent="0.35">
      <c r="A444" s="147"/>
      <c r="B444" s="148"/>
      <c r="C444" s="1668"/>
      <c r="D444" s="481"/>
      <c r="E444" s="1687"/>
    </row>
    <row r="445" spans="1:5" ht="17.25" x14ac:dyDescent="0.35">
      <c r="A445" s="147"/>
      <c r="B445" s="148"/>
      <c r="C445" s="150"/>
      <c r="D445" s="1686"/>
      <c r="E445" s="2"/>
    </row>
    <row r="446" spans="1:5" ht="17.25" x14ac:dyDescent="0.3">
      <c r="A446" s="147"/>
      <c r="B446" s="148"/>
      <c r="C446" s="1668"/>
      <c r="D446" s="481"/>
      <c r="E446" s="2"/>
    </row>
    <row r="447" spans="1:5" ht="17.25" x14ac:dyDescent="0.35">
      <c r="A447" s="147"/>
      <c r="B447" s="148"/>
      <c r="C447" s="150"/>
      <c r="D447" s="1686"/>
      <c r="E447" s="2"/>
    </row>
    <row r="448" spans="1:5" x14ac:dyDescent="0.3">
      <c r="A448" s="147"/>
      <c r="B448" s="148"/>
      <c r="C448" s="150"/>
      <c r="D448" s="481"/>
      <c r="E448" s="2"/>
    </row>
    <row r="449" spans="1:5" x14ac:dyDescent="0.3">
      <c r="A449" s="147"/>
      <c r="B449" s="148"/>
      <c r="C449" s="150"/>
      <c r="D449" s="481"/>
      <c r="E449" s="2"/>
    </row>
    <row r="450" spans="1:5" x14ac:dyDescent="0.3">
      <c r="A450" s="147"/>
      <c r="B450" s="148"/>
      <c r="C450" s="150"/>
      <c r="D450" s="481"/>
      <c r="E450" s="2"/>
    </row>
    <row r="451" spans="1:5" x14ac:dyDescent="0.3">
      <c r="A451" s="147"/>
      <c r="B451" s="148"/>
      <c r="C451" s="150"/>
      <c r="D451" s="481"/>
      <c r="E451" s="2"/>
    </row>
    <row r="452" spans="1:5" x14ac:dyDescent="0.3">
      <c r="A452" s="147"/>
      <c r="B452" s="148"/>
      <c r="C452" s="150"/>
      <c r="D452" s="481"/>
      <c r="E452" s="2"/>
    </row>
    <row r="453" spans="1:5" x14ac:dyDescent="0.3">
      <c r="A453" s="147"/>
      <c r="B453" s="148"/>
      <c r="C453" s="150"/>
      <c r="D453" s="481"/>
      <c r="E453" s="2"/>
    </row>
    <row r="454" spans="1:5" x14ac:dyDescent="0.3">
      <c r="A454" s="147"/>
      <c r="B454" s="148"/>
      <c r="C454" s="150"/>
      <c r="D454" s="481"/>
      <c r="E454" s="2"/>
    </row>
    <row r="455" spans="1:5" x14ac:dyDescent="0.3">
      <c r="A455" s="147"/>
      <c r="B455" s="148"/>
      <c r="C455" s="150"/>
      <c r="D455" s="481"/>
      <c r="E455" s="2"/>
    </row>
    <row r="456" spans="1:5" x14ac:dyDescent="0.3">
      <c r="A456" s="147"/>
      <c r="B456" s="148"/>
      <c r="C456" s="150"/>
      <c r="D456" s="481"/>
      <c r="E456" s="2"/>
    </row>
    <row r="457" spans="1:5" x14ac:dyDescent="0.3">
      <c r="A457" s="147"/>
      <c r="B457" s="148"/>
      <c r="C457" s="150"/>
      <c r="D457" s="481"/>
      <c r="E457" s="2"/>
    </row>
    <row r="458" spans="1:5" x14ac:dyDescent="0.3">
      <c r="A458" s="147"/>
      <c r="B458" s="148"/>
      <c r="C458" s="150"/>
      <c r="D458" s="481"/>
      <c r="E458" s="2"/>
    </row>
    <row r="459" spans="1:5" x14ac:dyDescent="0.3">
      <c r="A459" s="147"/>
      <c r="B459" s="148"/>
      <c r="C459" s="150"/>
      <c r="D459" s="481"/>
      <c r="E459" s="2"/>
    </row>
    <row r="460" spans="1:5" x14ac:dyDescent="0.3">
      <c r="A460" s="147"/>
      <c r="B460" s="148"/>
      <c r="C460" s="150"/>
      <c r="D460" s="481"/>
      <c r="E460" s="2"/>
    </row>
    <row r="461" spans="1:5" ht="17.25" x14ac:dyDescent="0.35">
      <c r="A461" s="147"/>
      <c r="B461" s="148"/>
      <c r="C461" s="1668"/>
      <c r="D461" s="481"/>
      <c r="E461" s="1687"/>
    </row>
    <row r="462" spans="1:5" ht="17.25" x14ac:dyDescent="0.35">
      <c r="A462" s="147"/>
      <c r="B462" s="148"/>
      <c r="C462" s="150"/>
      <c r="D462" s="1686"/>
      <c r="E462" s="2"/>
    </row>
    <row r="463" spans="1:5" ht="17.25" x14ac:dyDescent="0.3">
      <c r="A463" s="147"/>
      <c r="B463" s="148"/>
      <c r="C463" s="1668"/>
      <c r="D463" s="481"/>
      <c r="E463" s="2"/>
    </row>
    <row r="464" spans="1:5" ht="17.25" x14ac:dyDescent="0.35">
      <c r="A464" s="147"/>
      <c r="B464" s="148"/>
      <c r="C464" s="150"/>
      <c r="D464" s="1686"/>
      <c r="E464" s="2"/>
    </row>
    <row r="465" spans="1:5" x14ac:dyDescent="0.3">
      <c r="A465" s="147"/>
      <c r="B465" s="148"/>
      <c r="C465" s="150"/>
      <c r="D465" s="481"/>
      <c r="E465" s="2"/>
    </row>
    <row r="466" spans="1:5" x14ac:dyDescent="0.3">
      <c r="A466" s="147"/>
      <c r="B466" s="148"/>
      <c r="C466" s="150"/>
      <c r="D466" s="481"/>
      <c r="E466" s="2"/>
    </row>
    <row r="467" spans="1:5" x14ac:dyDescent="0.3">
      <c r="A467" s="147"/>
      <c r="B467" s="148"/>
      <c r="C467" s="150"/>
      <c r="D467" s="481"/>
      <c r="E467" s="2"/>
    </row>
    <row r="468" spans="1:5" x14ac:dyDescent="0.3">
      <c r="A468" s="147"/>
      <c r="B468" s="148"/>
      <c r="C468" s="150"/>
      <c r="D468" s="481"/>
      <c r="E468" s="2"/>
    </row>
    <row r="469" spans="1:5" x14ac:dyDescent="0.3">
      <c r="A469" s="147"/>
      <c r="B469" s="148"/>
      <c r="C469" s="150"/>
      <c r="D469" s="481"/>
      <c r="E469" s="2"/>
    </row>
    <row r="470" spans="1:5" x14ac:dyDescent="0.3">
      <c r="A470" s="147"/>
      <c r="B470" s="148"/>
      <c r="C470" s="150"/>
      <c r="D470" s="481"/>
      <c r="E470" s="2"/>
    </row>
    <row r="471" spans="1:5" x14ac:dyDescent="0.3">
      <c r="A471" s="147"/>
      <c r="B471" s="148"/>
      <c r="C471" s="150"/>
      <c r="D471" s="481"/>
      <c r="E471" s="2"/>
    </row>
    <row r="472" spans="1:5" x14ac:dyDescent="0.3">
      <c r="A472" s="147"/>
      <c r="B472" s="148"/>
      <c r="C472" s="150"/>
      <c r="D472" s="481"/>
      <c r="E472" s="2"/>
    </row>
    <row r="473" spans="1:5" x14ac:dyDescent="0.3">
      <c r="A473" s="147"/>
      <c r="B473" s="148"/>
      <c r="C473" s="150"/>
      <c r="D473" s="481"/>
      <c r="E473" s="2"/>
    </row>
    <row r="474" spans="1:5" x14ac:dyDescent="0.3">
      <c r="A474" s="147"/>
      <c r="B474" s="148"/>
      <c r="C474" s="150"/>
      <c r="D474" s="481"/>
      <c r="E474" s="2"/>
    </row>
    <row r="475" spans="1:5" x14ac:dyDescent="0.3">
      <c r="A475" s="147"/>
      <c r="B475" s="148"/>
      <c r="C475" s="150"/>
      <c r="D475" s="481"/>
      <c r="E475" s="2"/>
    </row>
    <row r="476" spans="1:5" x14ac:dyDescent="0.3">
      <c r="A476" s="147"/>
      <c r="B476" s="148"/>
      <c r="C476" s="150"/>
      <c r="D476" s="481"/>
      <c r="E476" s="2"/>
    </row>
    <row r="477" spans="1:5" x14ac:dyDescent="0.3">
      <c r="A477" s="147"/>
      <c r="B477" s="148"/>
      <c r="C477" s="150"/>
      <c r="D477" s="481"/>
      <c r="E477" s="2"/>
    </row>
    <row r="478" spans="1:5" x14ac:dyDescent="0.3">
      <c r="A478" s="147"/>
      <c r="B478" s="148"/>
      <c r="C478" s="150"/>
      <c r="D478" s="481"/>
      <c r="E478" s="2"/>
    </row>
    <row r="479" spans="1:5" x14ac:dyDescent="0.3">
      <c r="A479" s="147"/>
      <c r="B479" s="148"/>
      <c r="C479" s="150"/>
      <c r="D479" s="481"/>
      <c r="E479" s="2"/>
    </row>
    <row r="480" spans="1:5" x14ac:dyDescent="0.3">
      <c r="A480" s="147"/>
      <c r="B480" s="148"/>
      <c r="C480" s="150"/>
      <c r="D480" s="481"/>
      <c r="E480" s="2"/>
    </row>
    <row r="481" spans="1:5" x14ac:dyDescent="0.3">
      <c r="A481" s="147"/>
      <c r="B481" s="148"/>
      <c r="C481" s="150"/>
      <c r="D481" s="481"/>
      <c r="E481" s="2"/>
    </row>
    <row r="482" spans="1:5" x14ac:dyDescent="0.3">
      <c r="A482" s="147"/>
      <c r="B482" s="148"/>
      <c r="C482" s="150"/>
      <c r="D482" s="481"/>
      <c r="E482" s="2"/>
    </row>
    <row r="483" spans="1:5" x14ac:dyDescent="0.3">
      <c r="A483" s="147"/>
      <c r="B483" s="148"/>
      <c r="C483" s="150"/>
      <c r="D483" s="481"/>
      <c r="E483" s="2"/>
    </row>
    <row r="484" spans="1:5" x14ac:dyDescent="0.3">
      <c r="A484" s="147"/>
      <c r="B484" s="148"/>
      <c r="C484" s="150"/>
      <c r="D484" s="481"/>
      <c r="E484" s="2"/>
    </row>
    <row r="485" spans="1:5" x14ac:dyDescent="0.3">
      <c r="A485" s="147"/>
      <c r="B485" s="148"/>
      <c r="C485" s="150"/>
      <c r="D485" s="481"/>
      <c r="E485" s="2"/>
    </row>
    <row r="486" spans="1:5" x14ac:dyDescent="0.3">
      <c r="A486" s="147"/>
      <c r="B486" s="148"/>
      <c r="C486" s="150"/>
      <c r="D486" s="481"/>
      <c r="E486" s="2"/>
    </row>
    <row r="487" spans="1:5" x14ac:dyDescent="0.3">
      <c r="A487" s="147"/>
      <c r="B487" s="148"/>
      <c r="C487" s="150"/>
      <c r="D487" s="481"/>
      <c r="E487" s="2"/>
    </row>
    <row r="488" spans="1:5" x14ac:dyDescent="0.3">
      <c r="A488" s="147"/>
      <c r="B488" s="148"/>
      <c r="C488" s="150"/>
      <c r="D488" s="481"/>
      <c r="E488" s="2"/>
    </row>
    <row r="489" spans="1:5" x14ac:dyDescent="0.3">
      <c r="A489" s="147"/>
      <c r="B489" s="148"/>
      <c r="C489" s="150"/>
      <c r="D489" s="481"/>
      <c r="E489" s="2"/>
    </row>
    <row r="490" spans="1:5" x14ac:dyDescent="0.3">
      <c r="A490" s="147"/>
      <c r="B490" s="148"/>
      <c r="C490" s="150"/>
      <c r="D490" s="481"/>
      <c r="E490" s="2"/>
    </row>
    <row r="491" spans="1:5" x14ac:dyDescent="0.3">
      <c r="A491" s="147"/>
      <c r="B491" s="148"/>
      <c r="C491" s="150"/>
      <c r="D491" s="481"/>
      <c r="E491" s="2"/>
    </row>
    <row r="492" spans="1:5" x14ac:dyDescent="0.3">
      <c r="A492" s="147"/>
      <c r="B492" s="148"/>
      <c r="C492" s="150"/>
      <c r="D492" s="481"/>
      <c r="E492" s="2"/>
    </row>
    <row r="493" spans="1:5" x14ac:dyDescent="0.3">
      <c r="A493" s="147"/>
      <c r="B493" s="148"/>
      <c r="C493" s="150"/>
      <c r="D493" s="481"/>
      <c r="E493" s="1688"/>
    </row>
    <row r="494" spans="1:5" ht="17.25" x14ac:dyDescent="0.35">
      <c r="A494" s="147"/>
      <c r="B494" s="148"/>
      <c r="C494" s="1668"/>
      <c r="D494" s="481"/>
      <c r="E494" s="1687"/>
    </row>
    <row r="495" spans="1:5" ht="17.25" x14ac:dyDescent="0.35">
      <c r="A495" s="147"/>
      <c r="B495" s="148"/>
      <c r="C495" s="150"/>
      <c r="D495" s="1686"/>
      <c r="E495" s="2"/>
    </row>
    <row r="496" spans="1:5" ht="17.25" x14ac:dyDescent="0.3">
      <c r="A496" s="147"/>
      <c r="B496" s="148"/>
      <c r="C496" s="1668"/>
      <c r="D496" s="481"/>
      <c r="E496" s="2"/>
    </row>
    <row r="497" spans="1:5" ht="17.25" x14ac:dyDescent="0.35">
      <c r="A497" s="147"/>
      <c r="B497" s="148"/>
      <c r="C497" s="150"/>
      <c r="D497" s="1686"/>
      <c r="E497" s="2"/>
    </row>
    <row r="498" spans="1:5" x14ac:dyDescent="0.3">
      <c r="A498" s="147"/>
      <c r="B498" s="148"/>
      <c r="C498" s="150"/>
      <c r="D498" s="1685"/>
      <c r="E498" s="2"/>
    </row>
    <row r="499" spans="1:5" x14ac:dyDescent="0.3">
      <c r="A499" s="147"/>
      <c r="B499" s="148"/>
      <c r="C499" s="150"/>
      <c r="D499" s="481"/>
      <c r="E499" s="2"/>
    </row>
    <row r="500" spans="1:5" x14ac:dyDescent="0.3">
      <c r="A500" s="147"/>
      <c r="B500" s="148"/>
      <c r="C500" s="150"/>
      <c r="D500" s="481"/>
      <c r="E500" s="2"/>
    </row>
    <row r="501" spans="1:5" x14ac:dyDescent="0.3">
      <c r="A501" s="147"/>
      <c r="B501" s="148"/>
      <c r="C501" s="150"/>
      <c r="D501" s="481"/>
      <c r="E501" s="2"/>
    </row>
    <row r="502" spans="1:5" x14ac:dyDescent="0.3">
      <c r="A502" s="147"/>
      <c r="B502" s="148"/>
      <c r="C502" s="150"/>
      <c r="D502" s="481"/>
      <c r="E502" s="2"/>
    </row>
    <row r="503" spans="1:5" x14ac:dyDescent="0.3">
      <c r="A503" s="147"/>
      <c r="B503" s="148"/>
      <c r="C503" s="150"/>
      <c r="D503" s="481"/>
      <c r="E503" s="2"/>
    </row>
    <row r="504" spans="1:5" x14ac:dyDescent="0.3">
      <c r="A504" s="147"/>
      <c r="B504" s="148"/>
      <c r="C504" s="150"/>
      <c r="D504" s="481"/>
      <c r="E504" s="2"/>
    </row>
    <row r="505" spans="1:5" x14ac:dyDescent="0.3">
      <c r="A505" s="147"/>
      <c r="B505" s="148"/>
      <c r="C505" s="150"/>
      <c r="D505" s="481"/>
      <c r="E505" s="2"/>
    </row>
    <row r="506" spans="1:5" x14ac:dyDescent="0.3">
      <c r="A506" s="147"/>
      <c r="B506" s="148"/>
      <c r="C506" s="150"/>
      <c r="D506" s="481"/>
      <c r="E506" s="2"/>
    </row>
    <row r="507" spans="1:5" x14ac:dyDescent="0.3">
      <c r="A507" s="147"/>
      <c r="B507" s="148"/>
      <c r="C507" s="150"/>
      <c r="D507" s="481"/>
      <c r="E507" s="2"/>
    </row>
    <row r="508" spans="1:5" x14ac:dyDescent="0.3">
      <c r="A508" s="147"/>
      <c r="B508" s="148"/>
      <c r="C508" s="150"/>
      <c r="D508" s="481"/>
      <c r="E508" s="2"/>
    </row>
    <row r="509" spans="1:5" x14ac:dyDescent="0.3">
      <c r="A509" s="147"/>
      <c r="B509" s="148"/>
      <c r="C509" s="150"/>
      <c r="D509" s="481"/>
      <c r="E509" s="2"/>
    </row>
    <row r="510" spans="1:5" x14ac:dyDescent="0.3">
      <c r="A510" s="147"/>
      <c r="B510" s="148"/>
      <c r="C510" s="150"/>
      <c r="D510" s="481"/>
      <c r="E510" s="2"/>
    </row>
    <row r="511" spans="1:5" x14ac:dyDescent="0.3">
      <c r="A511" s="147"/>
      <c r="B511" s="148"/>
      <c r="C511" s="150"/>
      <c r="D511" s="481"/>
      <c r="E511" s="2"/>
    </row>
    <row r="512" spans="1:5" ht="17.25" x14ac:dyDescent="0.35">
      <c r="A512" s="147"/>
      <c r="B512" s="148"/>
      <c r="C512" s="1668"/>
      <c r="D512" s="481"/>
      <c r="E512" s="1687"/>
    </row>
    <row r="513" spans="1:5" ht="17.25" x14ac:dyDescent="0.35">
      <c r="A513" s="147"/>
      <c r="B513" s="148"/>
      <c r="C513" s="150"/>
      <c r="D513" s="1686"/>
      <c r="E513" s="2"/>
    </row>
    <row r="514" spans="1:5" x14ac:dyDescent="0.3">
      <c r="A514" s="147"/>
      <c r="D514" s="1685"/>
    </row>
    <row r="520" spans="1:5" x14ac:dyDescent="0.3">
      <c r="A520" s="147"/>
      <c r="D520" s="1689"/>
    </row>
    <row r="527" spans="1:5" x14ac:dyDescent="0.3">
      <c r="A527" s="147"/>
      <c r="E527" s="1690"/>
    </row>
    <row r="533" spans="1:5" x14ac:dyDescent="0.3">
      <c r="A533" s="147"/>
      <c r="B533" s="148"/>
      <c r="C533" s="150"/>
      <c r="E533" s="1683"/>
    </row>
    <row r="534" spans="1:5" x14ac:dyDescent="0.3">
      <c r="A534" s="147"/>
      <c r="B534" s="146"/>
      <c r="C534" s="260"/>
      <c r="D534" s="481"/>
      <c r="E534" s="2"/>
    </row>
    <row r="535" spans="1:5" x14ac:dyDescent="0.3">
      <c r="A535" s="147"/>
      <c r="B535" s="148"/>
      <c r="C535" s="260"/>
      <c r="D535" s="1682"/>
      <c r="E535" s="1684"/>
    </row>
    <row r="536" spans="1:5" x14ac:dyDescent="0.3">
      <c r="A536" s="147"/>
      <c r="B536" s="146"/>
      <c r="C536" s="260"/>
      <c r="D536" s="1682"/>
      <c r="E536" s="2"/>
    </row>
    <row r="537" spans="1:5" x14ac:dyDescent="0.3">
      <c r="A537" s="147"/>
      <c r="B537" s="148"/>
      <c r="C537" s="150"/>
      <c r="D537" s="1682"/>
      <c r="E537" s="2"/>
    </row>
    <row r="538" spans="1:5" x14ac:dyDescent="0.3">
      <c r="A538" s="147"/>
      <c r="D538" s="481"/>
    </row>
    <row r="539" spans="1:5" x14ac:dyDescent="0.3">
      <c r="A539" s="147"/>
      <c r="D539" s="1689"/>
    </row>
    <row r="547" spans="1:5" x14ac:dyDescent="0.3">
      <c r="A547" s="147"/>
      <c r="E547" s="1690"/>
    </row>
    <row r="551" spans="1:5" ht="17.25" x14ac:dyDescent="0.35">
      <c r="A551" s="147"/>
      <c r="B551" s="148"/>
      <c r="C551" s="150"/>
      <c r="E551" s="1687"/>
    </row>
    <row r="552" spans="1:5" ht="17.25" x14ac:dyDescent="0.35">
      <c r="A552" s="147"/>
      <c r="B552" s="148"/>
      <c r="C552" s="150"/>
      <c r="D552" s="1686"/>
      <c r="E552" s="1687"/>
    </row>
    <row r="553" spans="1:5" ht="17.25" x14ac:dyDescent="0.35">
      <c r="A553" s="147"/>
      <c r="B553" s="148"/>
      <c r="C553" s="150"/>
      <c r="D553" s="1686"/>
      <c r="E553" s="2"/>
    </row>
    <row r="554" spans="1:5" x14ac:dyDescent="0.3">
      <c r="A554" s="147"/>
      <c r="D554" s="481"/>
    </row>
    <row r="570" spans="1:5" ht="17.25" x14ac:dyDescent="0.35">
      <c r="A570" s="147"/>
      <c r="C570" s="147"/>
      <c r="E570" s="1677"/>
    </row>
    <row r="571" spans="1:5" ht="17.25" x14ac:dyDescent="0.35">
      <c r="A571" s="147"/>
      <c r="C571" s="147"/>
      <c r="D571" s="1691"/>
    </row>
    <row r="572" spans="1:5" x14ac:dyDescent="0.3">
      <c r="A572" s="147"/>
      <c r="E572" s="2"/>
    </row>
    <row r="573" spans="1:5" x14ac:dyDescent="0.3">
      <c r="A573" s="147"/>
      <c r="D573" s="1685"/>
      <c r="E573" s="2"/>
    </row>
    <row r="574" spans="1:5" x14ac:dyDescent="0.3">
      <c r="A574" s="147"/>
      <c r="D574" s="481"/>
      <c r="E574" s="2"/>
    </row>
    <row r="575" spans="1:5" x14ac:dyDescent="0.3">
      <c r="A575" s="147"/>
      <c r="D575" s="481"/>
      <c r="E575" s="2"/>
    </row>
    <row r="576" spans="1:5" x14ac:dyDescent="0.3">
      <c r="A576" s="147"/>
      <c r="D576" s="481"/>
      <c r="E576" s="2"/>
    </row>
    <row r="577" spans="1:5" x14ac:dyDescent="0.3">
      <c r="A577" s="147"/>
      <c r="D577" s="481"/>
      <c r="E577" s="2"/>
    </row>
    <row r="578" spans="1:5" x14ac:dyDescent="0.3">
      <c r="A578" s="147"/>
      <c r="D578" s="481"/>
      <c r="E578" s="2"/>
    </row>
    <row r="579" spans="1:5" x14ac:dyDescent="0.3">
      <c r="A579" s="147"/>
      <c r="D579" s="481"/>
      <c r="E579" s="2"/>
    </row>
    <row r="580" spans="1:5" x14ac:dyDescent="0.3">
      <c r="A580" s="147"/>
      <c r="D580" s="481"/>
      <c r="E580" s="2"/>
    </row>
    <row r="581" spans="1:5" x14ac:dyDescent="0.3">
      <c r="A581" s="147"/>
      <c r="D581" s="481"/>
      <c r="E581" s="2"/>
    </row>
    <row r="582" spans="1:5" x14ac:dyDescent="0.3">
      <c r="A582" s="147"/>
      <c r="D582" s="481"/>
      <c r="E582" s="2"/>
    </row>
    <row r="583" spans="1:5" x14ac:dyDescent="0.3">
      <c r="A583" s="147"/>
      <c r="D583" s="481"/>
      <c r="E583" s="1688"/>
    </row>
    <row r="584" spans="1:5" x14ac:dyDescent="0.3">
      <c r="A584" s="147"/>
      <c r="D584" s="481"/>
      <c r="E584" s="2"/>
    </row>
    <row r="585" spans="1:5" x14ac:dyDescent="0.3">
      <c r="A585" s="147"/>
      <c r="D585" s="481"/>
      <c r="E585" s="2"/>
    </row>
    <row r="586" spans="1:5" x14ac:dyDescent="0.3">
      <c r="A586" s="147"/>
      <c r="B586" s="148"/>
      <c r="C586" s="150"/>
      <c r="D586" s="481"/>
      <c r="E586" s="1683"/>
    </row>
    <row r="587" spans="1:5" x14ac:dyDescent="0.3">
      <c r="A587" s="147"/>
      <c r="B587" s="146"/>
      <c r="C587" s="260"/>
      <c r="D587" s="481"/>
      <c r="E587" s="2"/>
    </row>
    <row r="588" spans="1:5" x14ac:dyDescent="0.3">
      <c r="A588" s="147"/>
      <c r="B588" s="148"/>
      <c r="C588" s="260"/>
      <c r="D588" s="1682"/>
      <c r="E588" s="1684"/>
    </row>
    <row r="589" spans="1:5" x14ac:dyDescent="0.3">
      <c r="A589" s="147"/>
      <c r="B589" s="146"/>
      <c r="C589" s="260"/>
      <c r="D589" s="1682"/>
      <c r="E589" s="2"/>
    </row>
    <row r="590" spans="1:5" x14ac:dyDescent="0.3">
      <c r="A590" s="147"/>
      <c r="B590" s="148"/>
      <c r="C590" s="150"/>
      <c r="D590" s="1682"/>
      <c r="E590" s="2"/>
    </row>
    <row r="591" spans="1:5" x14ac:dyDescent="0.3">
      <c r="A591" s="147"/>
      <c r="D591" s="481"/>
    </row>
    <row r="592" spans="1:5" ht="17.25" x14ac:dyDescent="0.35">
      <c r="A592" s="147"/>
      <c r="D592" s="1691"/>
    </row>
    <row r="594" spans="1:4" x14ac:dyDescent="0.3">
      <c r="A594" s="147"/>
      <c r="D594" s="1689"/>
    </row>
    <row r="640" spans="1:5" x14ac:dyDescent="0.3">
      <c r="A640" s="147"/>
      <c r="B640" s="148"/>
      <c r="C640" s="150"/>
      <c r="E640" s="1683"/>
    </row>
    <row r="641" spans="1:5" x14ac:dyDescent="0.3">
      <c r="A641" s="147"/>
      <c r="B641" s="146"/>
      <c r="C641" s="260"/>
      <c r="D641" s="481"/>
      <c r="E641" s="2"/>
    </row>
    <row r="642" spans="1:5" x14ac:dyDescent="0.3">
      <c r="A642" s="147"/>
      <c r="B642" s="148"/>
      <c r="C642" s="260"/>
      <c r="D642" s="1682"/>
      <c r="E642" s="1684"/>
    </row>
    <row r="643" spans="1:5" x14ac:dyDescent="0.3">
      <c r="A643" s="147"/>
      <c r="B643" s="146"/>
      <c r="C643" s="260"/>
      <c r="D643" s="1682"/>
      <c r="E643" s="2"/>
    </row>
    <row r="644" spans="1:5" x14ac:dyDescent="0.3">
      <c r="A644" s="147"/>
      <c r="B644" s="148"/>
      <c r="C644" s="150"/>
      <c r="D644" s="1682"/>
      <c r="E644" s="2"/>
    </row>
    <row r="645" spans="1:5" x14ac:dyDescent="0.3">
      <c r="A645" s="147"/>
      <c r="B645" s="148"/>
      <c r="C645" s="150"/>
      <c r="D645" s="481"/>
      <c r="E645" s="1688"/>
    </row>
    <row r="646" spans="1:5" x14ac:dyDescent="0.3">
      <c r="A646" s="147"/>
      <c r="D646" s="481"/>
      <c r="E646" s="2"/>
    </row>
    <row r="647" spans="1:5" x14ac:dyDescent="0.3">
      <c r="A647" s="147"/>
      <c r="D647" s="481"/>
      <c r="E647" s="2"/>
    </row>
    <row r="648" spans="1:5" x14ac:dyDescent="0.3">
      <c r="A648" s="147"/>
      <c r="D648" s="481"/>
      <c r="E648" s="2"/>
    </row>
    <row r="649" spans="1:5" x14ac:dyDescent="0.3">
      <c r="A649" s="147"/>
      <c r="D649" s="481"/>
      <c r="E649" s="2"/>
    </row>
    <row r="650" spans="1:5" ht="17.25" x14ac:dyDescent="0.35">
      <c r="A650" s="147"/>
      <c r="D650" s="481"/>
      <c r="E650" s="1687"/>
    </row>
    <row r="651" spans="1:5" ht="17.25" x14ac:dyDescent="0.35">
      <c r="A651" s="147"/>
      <c r="D651" s="1686"/>
      <c r="E651" s="2"/>
    </row>
    <row r="652" spans="1:5" x14ac:dyDescent="0.3">
      <c r="A652" s="147"/>
      <c r="C652" s="147"/>
      <c r="D652" s="481"/>
      <c r="E652" s="2"/>
    </row>
    <row r="653" spans="1:5" x14ac:dyDescent="0.3">
      <c r="A653" s="147"/>
      <c r="C653" s="147"/>
      <c r="D653" s="481"/>
      <c r="E653" s="2"/>
    </row>
    <row r="654" spans="1:5" x14ac:dyDescent="0.3">
      <c r="A654" s="147"/>
      <c r="C654" s="147"/>
      <c r="D654" s="1685"/>
      <c r="E654" s="2"/>
    </row>
    <row r="655" spans="1:5" x14ac:dyDescent="0.3">
      <c r="A655" s="147"/>
      <c r="C655" s="147"/>
      <c r="D655" s="481"/>
      <c r="E655" s="2"/>
    </row>
    <row r="656" spans="1:5" x14ac:dyDescent="0.3">
      <c r="A656" s="147"/>
      <c r="C656" s="147"/>
      <c r="D656" s="481"/>
      <c r="E656" s="2"/>
    </row>
    <row r="657" spans="1:5" x14ac:dyDescent="0.3">
      <c r="A657" s="147"/>
      <c r="C657" s="147"/>
      <c r="D657" s="481"/>
      <c r="E657" s="2"/>
    </row>
    <row r="658" spans="1:5" x14ac:dyDescent="0.3">
      <c r="A658" s="147"/>
      <c r="C658" s="147"/>
      <c r="D658" s="481"/>
      <c r="E658" s="2"/>
    </row>
    <row r="659" spans="1:5" x14ac:dyDescent="0.3">
      <c r="A659" s="147"/>
      <c r="C659" s="147"/>
      <c r="D659" s="481"/>
      <c r="E659" s="2"/>
    </row>
    <row r="660" spans="1:5" x14ac:dyDescent="0.3">
      <c r="A660" s="147"/>
      <c r="C660" s="147"/>
      <c r="D660" s="481"/>
      <c r="E660" s="2"/>
    </row>
    <row r="661" spans="1:5" x14ac:dyDescent="0.3">
      <c r="A661" s="147"/>
      <c r="C661" s="147"/>
      <c r="D661" s="481"/>
      <c r="E661" s="2"/>
    </row>
    <row r="662" spans="1:5" x14ac:dyDescent="0.3">
      <c r="A662" s="147"/>
      <c r="C662" s="147"/>
      <c r="D662" s="1685"/>
    </row>
    <row r="677" spans="1:256" x14ac:dyDescent="0.3">
      <c r="A677" s="147"/>
      <c r="E677" s="2"/>
    </row>
    <row r="678" spans="1:256" x14ac:dyDescent="0.3">
      <c r="A678" s="147"/>
      <c r="D678" s="481"/>
    </row>
    <row r="680" spans="1:256" ht="17.25" x14ac:dyDescent="0.35">
      <c r="A680" s="147"/>
      <c r="B680" s="259"/>
      <c r="C680" s="1629"/>
      <c r="E680" s="1654"/>
      <c r="F680" s="259"/>
      <c r="G680" s="259"/>
      <c r="H680" s="259"/>
      <c r="I680" s="259"/>
      <c r="J680" s="1654"/>
      <c r="K680" s="259"/>
      <c r="L680" s="1654"/>
      <c r="M680" s="259"/>
      <c r="N680" s="259"/>
      <c r="O680" s="259"/>
      <c r="P680" s="259"/>
      <c r="Q680" s="259"/>
      <c r="R680" s="259"/>
      <c r="S680" s="259"/>
      <c r="T680" s="259"/>
      <c r="U680" s="259"/>
      <c r="V680" s="259"/>
      <c r="W680" s="259"/>
      <c r="X680" s="259"/>
      <c r="Y680" s="259"/>
      <c r="Z680" s="259"/>
      <c r="AA680" s="259"/>
      <c r="AB680" s="259"/>
      <c r="AC680" s="259"/>
      <c r="AD680" s="259"/>
      <c r="AE680" s="259"/>
      <c r="AF680" s="259"/>
      <c r="AG680" s="259"/>
      <c r="AH680" s="259"/>
      <c r="AI680" s="259"/>
      <c r="AJ680" s="259"/>
      <c r="AK680" s="259"/>
      <c r="AL680" s="259"/>
      <c r="AM680" s="259"/>
      <c r="AN680" s="259"/>
      <c r="AO680" s="259"/>
      <c r="AP680" s="259"/>
      <c r="AQ680" s="259"/>
      <c r="AR680" s="259"/>
      <c r="AS680" s="259"/>
      <c r="AT680" s="259"/>
      <c r="AU680" s="259"/>
      <c r="AV680" s="259"/>
      <c r="AW680" s="259"/>
      <c r="AX680" s="259"/>
      <c r="AY680" s="259"/>
      <c r="AZ680" s="259"/>
      <c r="BA680" s="259"/>
      <c r="BB680" s="259"/>
      <c r="BC680" s="259"/>
      <c r="BD680" s="259"/>
      <c r="BE680" s="259"/>
      <c r="BF680" s="259"/>
      <c r="BG680" s="259"/>
      <c r="BH680" s="259"/>
      <c r="BI680" s="259"/>
      <c r="BJ680" s="259"/>
      <c r="BK680" s="259"/>
      <c r="BL680" s="259"/>
      <c r="BM680" s="259"/>
      <c r="BN680" s="259"/>
      <c r="BO680" s="259"/>
      <c r="BP680" s="259"/>
      <c r="BQ680" s="259"/>
      <c r="BR680" s="259"/>
      <c r="BS680" s="259"/>
      <c r="BT680" s="259"/>
      <c r="BU680" s="259"/>
      <c r="BV680" s="259"/>
      <c r="BW680" s="259"/>
      <c r="BX680" s="259"/>
      <c r="BY680" s="259"/>
      <c r="BZ680" s="259"/>
      <c r="CA680" s="259"/>
      <c r="CB680" s="259"/>
      <c r="CC680" s="259"/>
      <c r="CD680" s="259"/>
      <c r="CE680" s="259"/>
      <c r="CF680" s="259"/>
      <c r="CG680" s="259"/>
      <c r="CH680" s="259"/>
      <c r="CI680" s="259"/>
      <c r="CJ680" s="259"/>
      <c r="CK680" s="259"/>
      <c r="CL680" s="259"/>
      <c r="CM680" s="259"/>
      <c r="CN680" s="259"/>
      <c r="CO680" s="259"/>
      <c r="CP680" s="259"/>
      <c r="CQ680" s="259"/>
      <c r="CR680" s="259"/>
      <c r="CS680" s="259"/>
      <c r="CT680" s="259"/>
      <c r="CU680" s="259"/>
      <c r="CV680" s="259"/>
      <c r="CW680" s="259"/>
      <c r="CX680" s="259"/>
      <c r="CY680" s="259"/>
      <c r="CZ680" s="259"/>
      <c r="DA680" s="259"/>
      <c r="DB680" s="259"/>
      <c r="DC680" s="259"/>
      <c r="DD680" s="259"/>
      <c r="DE680" s="259"/>
      <c r="DF680" s="259"/>
      <c r="DG680" s="259"/>
      <c r="DH680" s="259"/>
      <c r="DI680" s="259"/>
      <c r="DJ680" s="259"/>
      <c r="DK680" s="259"/>
      <c r="DL680" s="259"/>
      <c r="DM680" s="259"/>
      <c r="DN680" s="259"/>
      <c r="DO680" s="259"/>
      <c r="DP680" s="259"/>
      <c r="DQ680" s="259"/>
      <c r="DR680" s="259"/>
      <c r="DS680" s="259"/>
      <c r="DT680" s="259"/>
      <c r="DU680" s="259"/>
      <c r="DV680" s="259"/>
      <c r="DW680" s="259"/>
      <c r="DX680" s="259"/>
      <c r="DY680" s="259"/>
      <c r="DZ680" s="259"/>
      <c r="EA680" s="259"/>
      <c r="EB680" s="259"/>
      <c r="EC680" s="259"/>
      <c r="ED680" s="259"/>
      <c r="EE680" s="259"/>
      <c r="EF680" s="259"/>
      <c r="EG680" s="259"/>
      <c r="EH680" s="259"/>
      <c r="EI680" s="259"/>
      <c r="EJ680" s="259"/>
      <c r="EK680" s="259"/>
      <c r="EL680" s="259"/>
      <c r="EM680" s="259"/>
      <c r="EN680" s="259"/>
      <c r="EO680" s="259"/>
      <c r="EP680" s="259"/>
      <c r="EQ680" s="259"/>
      <c r="ER680" s="259"/>
      <c r="ES680" s="259"/>
      <c r="ET680" s="259"/>
      <c r="EU680" s="259"/>
      <c r="EV680" s="259"/>
      <c r="EW680" s="259"/>
      <c r="EX680" s="259"/>
      <c r="EY680" s="259"/>
      <c r="EZ680" s="259"/>
      <c r="FA680" s="259"/>
      <c r="FB680" s="259"/>
      <c r="FC680" s="259"/>
      <c r="FD680" s="259"/>
      <c r="FE680" s="259"/>
      <c r="FF680" s="259"/>
      <c r="FG680" s="259"/>
      <c r="FH680" s="259"/>
      <c r="FI680" s="259"/>
      <c r="FJ680" s="259"/>
      <c r="FK680" s="259"/>
      <c r="FL680" s="259"/>
      <c r="FM680" s="259"/>
      <c r="FN680" s="259"/>
      <c r="FO680" s="259"/>
      <c r="FP680" s="259"/>
      <c r="FQ680" s="259"/>
      <c r="FR680" s="259"/>
      <c r="FS680" s="259"/>
      <c r="FT680" s="259"/>
      <c r="FU680" s="259"/>
      <c r="FV680" s="259"/>
      <c r="FW680" s="259"/>
      <c r="FX680" s="259"/>
      <c r="FY680" s="259"/>
      <c r="FZ680" s="259"/>
      <c r="GA680" s="259"/>
      <c r="GB680" s="259"/>
      <c r="GC680" s="259"/>
      <c r="GD680" s="259"/>
      <c r="GE680" s="259"/>
      <c r="GF680" s="259"/>
      <c r="GG680" s="259"/>
      <c r="GH680" s="259"/>
      <c r="GI680" s="259"/>
      <c r="GJ680" s="259"/>
      <c r="GK680" s="259"/>
      <c r="GL680" s="259"/>
      <c r="GM680" s="259"/>
      <c r="GN680" s="259"/>
      <c r="GO680" s="259"/>
      <c r="GP680" s="259"/>
      <c r="GQ680" s="259"/>
      <c r="GR680" s="259"/>
      <c r="GS680" s="259"/>
      <c r="GT680" s="259"/>
      <c r="GU680" s="259"/>
      <c r="GV680" s="259"/>
      <c r="GW680" s="259"/>
      <c r="GX680" s="259"/>
      <c r="GY680" s="259"/>
      <c r="GZ680" s="259"/>
      <c r="HA680" s="259"/>
      <c r="HB680" s="259"/>
      <c r="HC680" s="259"/>
      <c r="HD680" s="259"/>
      <c r="HE680" s="259"/>
      <c r="HF680" s="259"/>
      <c r="HG680" s="259"/>
      <c r="HH680" s="259"/>
      <c r="HI680" s="259"/>
      <c r="HJ680" s="259"/>
      <c r="HK680" s="259"/>
      <c r="HL680" s="259"/>
      <c r="HM680" s="259"/>
      <c r="HN680" s="259"/>
      <c r="HO680" s="259"/>
      <c r="HP680" s="259"/>
      <c r="HQ680" s="259"/>
      <c r="HR680" s="259"/>
      <c r="HS680" s="259"/>
      <c r="HT680" s="259"/>
      <c r="HU680" s="259"/>
      <c r="HV680" s="259"/>
      <c r="HW680" s="259"/>
      <c r="HX680" s="259"/>
      <c r="HY680" s="259"/>
      <c r="HZ680" s="259"/>
      <c r="IA680" s="259"/>
      <c r="IB680" s="259"/>
      <c r="IC680" s="259"/>
      <c r="ID680" s="259"/>
      <c r="IE680" s="259"/>
      <c r="IF680" s="259"/>
      <c r="IG680" s="259"/>
      <c r="IH680" s="259"/>
      <c r="II680" s="259"/>
      <c r="IJ680" s="259"/>
      <c r="IK680" s="259"/>
      <c r="IL680" s="259"/>
      <c r="IM680" s="259"/>
      <c r="IN680" s="259"/>
      <c r="IO680" s="259"/>
      <c r="IP680" s="259"/>
      <c r="IQ680" s="259"/>
      <c r="IR680" s="259"/>
      <c r="IS680" s="259"/>
      <c r="IT680" s="259"/>
      <c r="IU680" s="259"/>
      <c r="IV680" s="259"/>
    </row>
    <row r="681" spans="1:256" ht="17.25" x14ac:dyDescent="0.35">
      <c r="A681" s="147"/>
      <c r="D681" s="1630"/>
    </row>
  </sheetData>
  <mergeCells count="4">
    <mergeCell ref="B1:E1"/>
    <mergeCell ref="B2:E2"/>
    <mergeCell ref="B3:E3"/>
    <mergeCell ref="D93:E93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80" fitToHeight="10" orientation="portrait" r:id="rId1"/>
  <headerFooter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5"/>
  <sheetViews>
    <sheetView view="pageBreakPreview" zoomScale="90" zoomScaleNormal="100" zoomScaleSheetLayoutView="90" workbookViewId="0">
      <selection activeCell="B1" sqref="B1:M1"/>
    </sheetView>
  </sheetViews>
  <sheetFormatPr defaultColWidth="9.140625" defaultRowHeight="17.25" x14ac:dyDescent="0.35"/>
  <cols>
    <col min="1" max="1" width="3.7109375" style="132" customWidth="1"/>
    <col min="2" max="5" width="5.7109375" style="284" customWidth="1"/>
    <col min="6" max="6" width="59.7109375" style="147" customWidth="1"/>
    <col min="7" max="10" width="13.7109375" style="72" customWidth="1"/>
    <col min="11" max="11" width="15.7109375" style="307" customWidth="1"/>
    <col min="12" max="12" width="15.7109375" style="1677" customWidth="1"/>
    <col min="13" max="13" width="15.7109375" style="147" customWidth="1"/>
    <col min="14" max="16384" width="9.140625" style="147"/>
  </cols>
  <sheetData>
    <row r="1" spans="1:22" x14ac:dyDescent="0.35">
      <c r="A1" s="2045"/>
      <c r="B1" s="2076" t="s">
        <v>1304</v>
      </c>
      <c r="C1" s="2076"/>
      <c r="D1" s="2076"/>
      <c r="E1" s="2076"/>
      <c r="F1" s="2076"/>
      <c r="G1" s="2076"/>
      <c r="H1" s="2076"/>
      <c r="I1" s="2076"/>
      <c r="J1" s="2076"/>
      <c r="K1" s="2076"/>
      <c r="L1" s="2076"/>
      <c r="M1" s="2076"/>
    </row>
    <row r="2" spans="1:22" ht="16.5" x14ac:dyDescent="0.3">
      <c r="A2" s="2045"/>
      <c r="B2" s="2077" t="s">
        <v>1278</v>
      </c>
      <c r="C2" s="2077"/>
      <c r="D2" s="2077"/>
      <c r="E2" s="2077"/>
      <c r="F2" s="2077"/>
      <c r="G2" s="2077"/>
      <c r="H2" s="2077"/>
      <c r="I2" s="2077"/>
      <c r="J2" s="2077"/>
      <c r="K2" s="2077"/>
      <c r="L2" s="2077"/>
      <c r="M2" s="2077"/>
    </row>
    <row r="3" spans="1:22" ht="16.5" x14ac:dyDescent="0.3">
      <c r="A3" s="2045"/>
      <c r="B3" s="2046"/>
      <c r="C3" s="2046"/>
      <c r="D3" s="2046"/>
      <c r="E3" s="2046"/>
      <c r="F3" s="2046"/>
      <c r="G3" s="2046"/>
      <c r="H3" s="2046"/>
      <c r="I3" s="2046"/>
      <c r="J3" s="2046"/>
      <c r="K3" s="2046"/>
      <c r="L3" s="2046"/>
      <c r="M3" s="2046"/>
    </row>
    <row r="4" spans="1:22" s="23" customFormat="1" ht="25.15" customHeight="1" x14ac:dyDescent="0.3">
      <c r="A4" s="132"/>
      <c r="B4" s="2074" t="s">
        <v>172</v>
      </c>
      <c r="C4" s="2074"/>
      <c r="D4" s="2074"/>
      <c r="E4" s="2074"/>
      <c r="F4" s="2074"/>
      <c r="G4" s="2074"/>
      <c r="H4" s="2074"/>
      <c r="I4" s="2074"/>
      <c r="J4" s="2074"/>
      <c r="K4" s="2074"/>
      <c r="L4" s="2074"/>
      <c r="M4" s="2074"/>
    </row>
    <row r="5" spans="1:22" s="23" customFormat="1" ht="25.15" customHeight="1" x14ac:dyDescent="0.3">
      <c r="A5" s="132"/>
      <c r="B5" s="2075" t="s">
        <v>1277</v>
      </c>
      <c r="C5" s="2075"/>
      <c r="D5" s="2075"/>
      <c r="E5" s="2075"/>
      <c r="F5" s="2075"/>
      <c r="G5" s="2075"/>
      <c r="H5" s="2075"/>
      <c r="I5" s="2075"/>
      <c r="J5" s="2075"/>
      <c r="K5" s="2075"/>
      <c r="L5" s="2075"/>
      <c r="M5" s="2075"/>
    </row>
    <row r="6" spans="1:22" s="796" customFormat="1" ht="15" x14ac:dyDescent="0.3">
      <c r="A6" s="132"/>
      <c r="B6" s="795"/>
      <c r="C6" s="795"/>
      <c r="D6" s="795"/>
      <c r="E6" s="795"/>
      <c r="F6" s="795"/>
      <c r="G6" s="453"/>
      <c r="H6" s="453"/>
      <c r="I6" s="292"/>
      <c r="J6" s="292"/>
      <c r="K6" s="295"/>
      <c r="L6" s="1763"/>
      <c r="M6" s="295" t="s">
        <v>0</v>
      </c>
    </row>
    <row r="7" spans="1:22" s="799" customFormat="1" ht="18" customHeight="1" thickBot="1" x14ac:dyDescent="0.35">
      <c r="A7" s="132"/>
      <c r="B7" s="797" t="s">
        <v>1</v>
      </c>
      <c r="C7" s="797" t="s">
        <v>3</v>
      </c>
      <c r="D7" s="797" t="s">
        <v>2</v>
      </c>
      <c r="E7" s="797" t="s">
        <v>4</v>
      </c>
      <c r="F7" s="797" t="s">
        <v>5</v>
      </c>
      <c r="G7" s="798" t="s">
        <v>15</v>
      </c>
      <c r="H7" s="798" t="s">
        <v>16</v>
      </c>
      <c r="I7" s="798" t="s">
        <v>17</v>
      </c>
      <c r="J7" s="798" t="s">
        <v>36</v>
      </c>
      <c r="K7" s="798" t="s">
        <v>30</v>
      </c>
      <c r="L7" s="61" t="s">
        <v>23</v>
      </c>
      <c r="M7" s="131" t="s">
        <v>37</v>
      </c>
    </row>
    <row r="8" spans="1:22" s="73" customFormat="1" ht="80.099999999999994" customHeight="1" thickBot="1" x14ac:dyDescent="0.35">
      <c r="A8" s="894"/>
      <c r="B8" s="395" t="s">
        <v>18</v>
      </c>
      <c r="C8" s="396" t="s">
        <v>19</v>
      </c>
      <c r="D8" s="394" t="s">
        <v>664</v>
      </c>
      <c r="E8" s="394" t="s">
        <v>665</v>
      </c>
      <c r="F8" s="397" t="s">
        <v>6</v>
      </c>
      <c r="G8" s="398" t="s">
        <v>655</v>
      </c>
      <c r="H8" s="308" t="s">
        <v>631</v>
      </c>
      <c r="I8" s="1700" t="s">
        <v>888</v>
      </c>
      <c r="J8" s="1918" t="s">
        <v>1045</v>
      </c>
      <c r="K8" s="1915" t="s">
        <v>1075</v>
      </c>
      <c r="L8" s="1310" t="s">
        <v>123</v>
      </c>
      <c r="M8" s="1295" t="s">
        <v>1150</v>
      </c>
      <c r="N8" s="85"/>
      <c r="O8" s="85"/>
      <c r="P8" s="85"/>
      <c r="Q8" s="85"/>
      <c r="R8" s="85"/>
      <c r="S8" s="85"/>
      <c r="T8" s="85"/>
      <c r="U8" s="85"/>
      <c r="V8" s="85"/>
    </row>
    <row r="9" spans="1:22" s="255" customFormat="1" ht="36" customHeight="1" x14ac:dyDescent="0.35">
      <c r="A9" s="894">
        <v>1</v>
      </c>
      <c r="B9" s="380"/>
      <c r="C9" s="251"/>
      <c r="D9" s="252">
        <v>1</v>
      </c>
      <c r="E9" s="252"/>
      <c r="F9" s="253" t="s">
        <v>143</v>
      </c>
      <c r="G9" s="399">
        <f t="shared" ref="G9:M9" si="0">SUM(G10,G17,G27,G33,G35,G16,G32)</f>
        <v>14062643</v>
      </c>
      <c r="H9" s="399">
        <f t="shared" si="0"/>
        <v>12977517</v>
      </c>
      <c r="I9" s="399">
        <f t="shared" si="0"/>
        <v>14853364</v>
      </c>
      <c r="J9" s="1302">
        <f t="shared" si="0"/>
        <v>15115259</v>
      </c>
      <c r="K9" s="399">
        <f t="shared" si="0"/>
        <v>13925030</v>
      </c>
      <c r="L9" s="1319">
        <f>SUM(L10,L17,L27,L33,L35,L16,L32)</f>
        <v>65149</v>
      </c>
      <c r="M9" s="1830">
        <f t="shared" si="0"/>
        <v>13990179</v>
      </c>
      <c r="N9" s="254"/>
      <c r="O9" s="254"/>
      <c r="P9" s="254"/>
      <c r="Q9" s="254"/>
      <c r="R9" s="254"/>
      <c r="S9" s="254"/>
      <c r="T9" s="254"/>
      <c r="U9" s="254"/>
      <c r="V9" s="254"/>
    </row>
    <row r="10" spans="1:22" s="255" customFormat="1" ht="36" customHeight="1" x14ac:dyDescent="0.35">
      <c r="A10" s="894">
        <v>2</v>
      </c>
      <c r="B10" s="381">
        <v>18</v>
      </c>
      <c r="C10" s="256"/>
      <c r="D10" s="257"/>
      <c r="E10" s="257">
        <v>1</v>
      </c>
      <c r="F10" s="256" t="s">
        <v>173</v>
      </c>
      <c r="G10" s="65">
        <f t="shared" ref="G10:M10" si="1">SUM(G11,G14:G14)</f>
        <v>3706565</v>
      </c>
      <c r="H10" s="65">
        <f t="shared" si="1"/>
        <v>3419289</v>
      </c>
      <c r="I10" s="65">
        <f t="shared" si="1"/>
        <v>4483032</v>
      </c>
      <c r="J10" s="1303">
        <f t="shared" si="1"/>
        <v>4404208</v>
      </c>
      <c r="K10" s="65">
        <f t="shared" si="1"/>
        <v>4425412</v>
      </c>
      <c r="L10" s="1320">
        <f t="shared" si="1"/>
        <v>-48837</v>
      </c>
      <c r="M10" s="1831">
        <f t="shared" si="1"/>
        <v>4376575</v>
      </c>
      <c r="N10" s="254"/>
      <c r="O10" s="254"/>
      <c r="P10" s="254"/>
      <c r="Q10" s="254"/>
      <c r="R10" s="254"/>
      <c r="S10" s="254"/>
      <c r="T10" s="254"/>
      <c r="U10" s="254"/>
      <c r="V10" s="254"/>
    </row>
    <row r="11" spans="1:22" s="259" customFormat="1" x14ac:dyDescent="0.35">
      <c r="A11" s="894">
        <v>3</v>
      </c>
      <c r="B11" s="122"/>
      <c r="C11" s="188"/>
      <c r="D11" s="146"/>
      <c r="E11" s="146"/>
      <c r="F11" s="258" t="s">
        <v>174</v>
      </c>
      <c r="G11" s="10">
        <f t="shared" ref="G11:M11" si="2">SUM(G12:G13)</f>
        <v>3341151</v>
      </c>
      <c r="H11" s="10">
        <f t="shared" si="2"/>
        <v>3194545</v>
      </c>
      <c r="I11" s="10">
        <f t="shared" si="2"/>
        <v>3563207</v>
      </c>
      <c r="J11" s="1304">
        <f t="shared" si="2"/>
        <v>3066627</v>
      </c>
      <c r="K11" s="1314">
        <f>SUM(K12:K13)</f>
        <v>3431177</v>
      </c>
      <c r="L11" s="1314">
        <f t="shared" si="2"/>
        <v>-52469</v>
      </c>
      <c r="M11" s="1296">
        <f t="shared" si="2"/>
        <v>3378708</v>
      </c>
    </row>
    <row r="12" spans="1:22" ht="33" customHeight="1" x14ac:dyDescent="0.35">
      <c r="A12" s="894">
        <v>4</v>
      </c>
      <c r="B12" s="125"/>
      <c r="C12" s="260"/>
      <c r="D12" s="260"/>
      <c r="E12" s="260"/>
      <c r="F12" s="68" t="s">
        <v>299</v>
      </c>
      <c r="G12" s="2">
        <v>3286398</v>
      </c>
      <c r="H12" s="2">
        <v>3194545</v>
      </c>
      <c r="I12" s="2">
        <v>3533067</v>
      </c>
      <c r="J12" s="1920">
        <v>3066627</v>
      </c>
      <c r="K12" s="1683">
        <v>3428227</v>
      </c>
      <c r="L12" s="1687">
        <v>-52469</v>
      </c>
      <c r="M12" s="1296">
        <f>SUM(K12:L12)</f>
        <v>3375758</v>
      </c>
    </row>
    <row r="13" spans="1:22" ht="33.75" x14ac:dyDescent="0.35">
      <c r="A13" s="894">
        <v>5</v>
      </c>
      <c r="B13" s="122"/>
      <c r="C13" s="260"/>
      <c r="D13" s="260"/>
      <c r="E13" s="260"/>
      <c r="F13" s="68" t="s">
        <v>175</v>
      </c>
      <c r="G13" s="2">
        <v>54753</v>
      </c>
      <c r="H13" s="2"/>
      <c r="I13" s="2">
        <v>30140</v>
      </c>
      <c r="J13" s="1920"/>
      <c r="K13" s="1683">
        <v>2950</v>
      </c>
      <c r="L13" s="1687"/>
      <c r="M13" s="1296">
        <f>SUM(K13:L13)</f>
        <v>2950</v>
      </c>
    </row>
    <row r="14" spans="1:22" s="259" customFormat="1" x14ac:dyDescent="0.35">
      <c r="A14" s="894">
        <v>6</v>
      </c>
      <c r="B14" s="122"/>
      <c r="C14" s="261"/>
      <c r="D14" s="260"/>
      <c r="E14" s="260"/>
      <c r="F14" s="67" t="s">
        <v>176</v>
      </c>
      <c r="G14" s="10">
        <v>365414</v>
      </c>
      <c r="H14" s="10">
        <v>224744</v>
      </c>
      <c r="I14" s="10">
        <v>919825</v>
      </c>
      <c r="J14" s="1919">
        <v>1337581</v>
      </c>
      <c r="K14" s="1314">
        <v>994235</v>
      </c>
      <c r="L14" s="1806">
        <v>3632</v>
      </c>
      <c r="M14" s="1296">
        <f>SUM(K14:L14)</f>
        <v>997867</v>
      </c>
    </row>
    <row r="15" spans="1:22" ht="16.5" customHeight="1" x14ac:dyDescent="0.35">
      <c r="A15" s="894">
        <v>7</v>
      </c>
      <c r="B15" s="122"/>
      <c r="C15" s="260"/>
      <c r="D15" s="260"/>
      <c r="E15" s="260"/>
      <c r="F15" s="68" t="s">
        <v>177</v>
      </c>
      <c r="G15" s="2">
        <v>148540</v>
      </c>
      <c r="H15" s="2">
        <v>147600</v>
      </c>
      <c r="I15" s="2">
        <v>160234</v>
      </c>
      <c r="J15" s="1920">
        <v>180000</v>
      </c>
      <c r="K15" s="1683">
        <v>199387</v>
      </c>
      <c r="L15" s="1687"/>
      <c r="M15" s="1296">
        <f>SUM(K15:L15)</f>
        <v>199387</v>
      </c>
    </row>
    <row r="16" spans="1:22" ht="36" customHeight="1" x14ac:dyDescent="0.35">
      <c r="A16" s="894">
        <v>8</v>
      </c>
      <c r="B16" s="382" t="s">
        <v>547</v>
      </c>
      <c r="C16" s="260"/>
      <c r="D16" s="260"/>
      <c r="E16" s="309">
        <v>2</v>
      </c>
      <c r="F16" s="256" t="s">
        <v>178</v>
      </c>
      <c r="G16" s="10">
        <v>216590</v>
      </c>
      <c r="H16" s="10">
        <v>117496</v>
      </c>
      <c r="I16" s="10">
        <v>317352</v>
      </c>
      <c r="J16" s="1919">
        <v>236049</v>
      </c>
      <c r="K16" s="1314">
        <v>194057</v>
      </c>
      <c r="L16" s="1637">
        <v>4892</v>
      </c>
      <c r="M16" s="1296">
        <f>SUM(K16:L16)</f>
        <v>198949</v>
      </c>
    </row>
    <row r="17" spans="1:13" s="149" customFormat="1" ht="36" customHeight="1" x14ac:dyDescent="0.35">
      <c r="A17" s="894">
        <v>9</v>
      </c>
      <c r="B17" s="122">
        <v>18</v>
      </c>
      <c r="C17" s="188"/>
      <c r="D17" s="146"/>
      <c r="E17" s="146">
        <v>3</v>
      </c>
      <c r="F17" s="189" t="s">
        <v>179</v>
      </c>
      <c r="G17" s="69">
        <f>SUM(G18,G26:G26)</f>
        <v>8049548</v>
      </c>
      <c r="H17" s="69">
        <f>SUM(H18,H26:H26)</f>
        <v>7765600</v>
      </c>
      <c r="I17" s="69">
        <f>SUM(I18,I26:I26)</f>
        <v>8108452</v>
      </c>
      <c r="J17" s="1304">
        <f>SUM(J18,J26:J26)</f>
        <v>7945120</v>
      </c>
      <c r="K17" s="1314">
        <f>SUM(K18,K26:K26)</f>
        <v>7280120</v>
      </c>
      <c r="L17" s="1806">
        <f t="shared" ref="L17:M17" si="3">SUM(L18,L26:L26)</f>
        <v>100000</v>
      </c>
      <c r="M17" s="1296">
        <f t="shared" si="3"/>
        <v>7380120</v>
      </c>
    </row>
    <row r="18" spans="1:13" s="259" customFormat="1" x14ac:dyDescent="0.35">
      <c r="A18" s="894">
        <v>10</v>
      </c>
      <c r="B18" s="122"/>
      <c r="C18" s="188"/>
      <c r="D18" s="146"/>
      <c r="E18" s="146"/>
      <c r="F18" s="67" t="s">
        <v>180</v>
      </c>
      <c r="G18" s="10">
        <f>SUM(G19:G25)</f>
        <v>8043412</v>
      </c>
      <c r="H18" s="10">
        <f>SUM(H19:H25)</f>
        <v>7760000</v>
      </c>
      <c r="I18" s="10">
        <f>SUM(I19:I25)</f>
        <v>8100342</v>
      </c>
      <c r="J18" s="1304">
        <f>SUM(J19:J25)</f>
        <v>7940000</v>
      </c>
      <c r="K18" s="1314">
        <f>SUM(K19:K25)</f>
        <v>7275000</v>
      </c>
      <c r="L18" s="1806">
        <f t="shared" ref="L18:M18" si="4">SUM(L19:L25)</f>
        <v>100000</v>
      </c>
      <c r="M18" s="1296">
        <f t="shared" si="4"/>
        <v>7375000</v>
      </c>
    </row>
    <row r="19" spans="1:13" x14ac:dyDescent="0.35">
      <c r="A19" s="894">
        <v>11</v>
      </c>
      <c r="B19" s="122"/>
      <c r="C19" s="146"/>
      <c r="D19" s="146"/>
      <c r="E19" s="146"/>
      <c r="F19" s="68" t="s">
        <v>132</v>
      </c>
      <c r="G19" s="2">
        <v>1300333</v>
      </c>
      <c r="H19" s="2">
        <v>1300000</v>
      </c>
      <c r="I19" s="2">
        <v>1353716</v>
      </c>
      <c r="J19" s="1920">
        <v>1320000</v>
      </c>
      <c r="K19" s="1683">
        <v>1320000</v>
      </c>
      <c r="L19" s="1687"/>
      <c r="M19" s="1296">
        <f>SUM(K19:L19)</f>
        <v>1320000</v>
      </c>
    </row>
    <row r="20" spans="1:13" x14ac:dyDescent="0.35">
      <c r="A20" s="894">
        <v>12</v>
      </c>
      <c r="B20" s="122"/>
      <c r="C20" s="146"/>
      <c r="D20" s="146"/>
      <c r="E20" s="146"/>
      <c r="F20" s="68" t="s">
        <v>135</v>
      </c>
      <c r="G20" s="2">
        <v>44141</v>
      </c>
      <c r="H20" s="2">
        <v>45000</v>
      </c>
      <c r="I20" s="2">
        <v>45085</v>
      </c>
      <c r="J20" s="1920">
        <v>55000</v>
      </c>
      <c r="K20" s="1683">
        <v>10000</v>
      </c>
      <c r="L20" s="1687"/>
      <c r="M20" s="1296">
        <f t="shared" ref="M20:M26" si="5">SUM(K20:L20)</f>
        <v>10000</v>
      </c>
    </row>
    <row r="21" spans="1:13" x14ac:dyDescent="0.35">
      <c r="A21" s="894">
        <v>13</v>
      </c>
      <c r="B21" s="122"/>
      <c r="C21" s="146"/>
      <c r="D21" s="146"/>
      <c r="E21" s="146"/>
      <c r="F21" s="68" t="s">
        <v>134</v>
      </c>
      <c r="G21" s="2">
        <v>143422</v>
      </c>
      <c r="H21" s="2">
        <v>145000</v>
      </c>
      <c r="I21" s="2">
        <v>142925</v>
      </c>
      <c r="J21" s="1920">
        <v>143000</v>
      </c>
      <c r="K21" s="1683">
        <v>143000</v>
      </c>
      <c r="L21" s="1687"/>
      <c r="M21" s="1296">
        <f t="shared" si="5"/>
        <v>143000</v>
      </c>
    </row>
    <row r="22" spans="1:13" x14ac:dyDescent="0.35">
      <c r="A22" s="894">
        <v>14</v>
      </c>
      <c r="B22" s="122"/>
      <c r="C22" s="146"/>
      <c r="D22" s="146"/>
      <c r="E22" s="146"/>
      <c r="F22" s="68" t="s">
        <v>133</v>
      </c>
      <c r="G22" s="2">
        <v>95735</v>
      </c>
      <c r="H22" s="2">
        <v>95000</v>
      </c>
      <c r="I22" s="2">
        <v>91186</v>
      </c>
      <c r="J22" s="1920">
        <v>92000</v>
      </c>
      <c r="K22" s="1683">
        <v>92000</v>
      </c>
      <c r="L22" s="1687"/>
      <c r="M22" s="1296">
        <f t="shared" si="5"/>
        <v>92000</v>
      </c>
    </row>
    <row r="23" spans="1:13" x14ac:dyDescent="0.35">
      <c r="A23" s="894">
        <v>15</v>
      </c>
      <c r="B23" s="122"/>
      <c r="C23" s="146"/>
      <c r="D23" s="146"/>
      <c r="E23" s="146"/>
      <c r="F23" s="68" t="s">
        <v>131</v>
      </c>
      <c r="G23" s="2">
        <v>6222826</v>
      </c>
      <c r="H23" s="2">
        <v>5950000</v>
      </c>
      <c r="I23" s="2">
        <v>6222920</v>
      </c>
      <c r="J23" s="1920">
        <v>6100000</v>
      </c>
      <c r="K23" s="1683">
        <v>5700000</v>
      </c>
      <c r="L23" s="1687">
        <v>100000</v>
      </c>
      <c r="M23" s="1296">
        <f t="shared" si="5"/>
        <v>5800000</v>
      </c>
    </row>
    <row r="24" spans="1:13" x14ac:dyDescent="0.35">
      <c r="A24" s="894">
        <v>16</v>
      </c>
      <c r="B24" s="122"/>
      <c r="C24" s="146"/>
      <c r="D24" s="146"/>
      <c r="E24" s="146"/>
      <c r="F24" s="68" t="s">
        <v>136</v>
      </c>
      <c r="G24" s="2">
        <v>215843</v>
      </c>
      <c r="H24" s="2">
        <v>210000</v>
      </c>
      <c r="I24" s="2">
        <v>230151</v>
      </c>
      <c r="J24" s="1920">
        <v>220000</v>
      </c>
      <c r="K24" s="1683">
        <v>0</v>
      </c>
      <c r="L24" s="1687"/>
      <c r="M24" s="1296">
        <f t="shared" si="5"/>
        <v>0</v>
      </c>
    </row>
    <row r="25" spans="1:13" x14ac:dyDescent="0.35">
      <c r="A25" s="894">
        <v>17</v>
      </c>
      <c r="B25" s="122"/>
      <c r="C25" s="146"/>
      <c r="D25" s="146"/>
      <c r="E25" s="146"/>
      <c r="F25" s="68" t="s">
        <v>181</v>
      </c>
      <c r="G25" s="2">
        <v>21112</v>
      </c>
      <c r="H25" s="2">
        <v>15000</v>
      </c>
      <c r="I25" s="2">
        <v>14359</v>
      </c>
      <c r="J25" s="1920">
        <v>10000</v>
      </c>
      <c r="K25" s="1683">
        <v>10000</v>
      </c>
      <c r="L25" s="1687"/>
      <c r="M25" s="1296">
        <f t="shared" si="5"/>
        <v>10000</v>
      </c>
    </row>
    <row r="26" spans="1:13" s="259" customFormat="1" ht="34.5" x14ac:dyDescent="0.35">
      <c r="A26" s="894">
        <v>18</v>
      </c>
      <c r="B26" s="122"/>
      <c r="C26" s="188"/>
      <c r="D26" s="146"/>
      <c r="E26" s="146"/>
      <c r="F26" s="67" t="s">
        <v>182</v>
      </c>
      <c r="G26" s="10">
        <v>6136</v>
      </c>
      <c r="H26" s="10">
        <v>5600</v>
      </c>
      <c r="I26" s="10">
        <v>8110</v>
      </c>
      <c r="J26" s="1919">
        <v>5120</v>
      </c>
      <c r="K26" s="1314">
        <v>5120</v>
      </c>
      <c r="L26" s="1637"/>
      <c r="M26" s="1296">
        <f t="shared" si="5"/>
        <v>5120</v>
      </c>
    </row>
    <row r="27" spans="1:13" s="149" customFormat="1" ht="36" customHeight="1" x14ac:dyDescent="0.35">
      <c r="A27" s="894">
        <v>19</v>
      </c>
      <c r="B27" s="122">
        <v>18</v>
      </c>
      <c r="C27" s="188"/>
      <c r="D27" s="146"/>
      <c r="E27" s="146">
        <v>4</v>
      </c>
      <c r="F27" s="189" t="s">
        <v>146</v>
      </c>
      <c r="G27" s="69">
        <f>SUM(G28:G31)</f>
        <v>1035546</v>
      </c>
      <c r="H27" s="69">
        <f>SUM(H28:H31)</f>
        <v>765238</v>
      </c>
      <c r="I27" s="69">
        <f>SUM(I28:I31)</f>
        <v>818620</v>
      </c>
      <c r="J27" s="1304">
        <f>SUM(J28:J31)</f>
        <v>1501270</v>
      </c>
      <c r="K27" s="1314">
        <f>SUM(K28:K31)</f>
        <v>1134028</v>
      </c>
      <c r="L27" s="1314">
        <f t="shared" ref="L27:M27" si="6">SUM(L28:L31)</f>
        <v>1846</v>
      </c>
      <c r="M27" s="1296">
        <f t="shared" si="6"/>
        <v>1135874</v>
      </c>
    </row>
    <row r="28" spans="1:13" ht="16.5" customHeight="1" x14ac:dyDescent="0.35">
      <c r="A28" s="894">
        <v>20</v>
      </c>
      <c r="B28" s="122"/>
      <c r="C28" s="146"/>
      <c r="D28" s="146"/>
      <c r="E28" s="146"/>
      <c r="F28" s="68" t="s">
        <v>295</v>
      </c>
      <c r="G28" s="2">
        <v>319006</v>
      </c>
      <c r="H28" s="2">
        <v>367526</v>
      </c>
      <c r="I28" s="2">
        <v>335480</v>
      </c>
      <c r="J28" s="1920">
        <v>327392</v>
      </c>
      <c r="K28" s="1683">
        <v>263773</v>
      </c>
      <c r="L28" s="1687">
        <v>1329</v>
      </c>
      <c r="M28" s="1296">
        <f>SUM(K28:L28)</f>
        <v>265102</v>
      </c>
    </row>
    <row r="29" spans="1:13" ht="16.5" customHeight="1" x14ac:dyDescent="0.35">
      <c r="A29" s="894">
        <v>21</v>
      </c>
      <c r="B29" s="122"/>
      <c r="C29" s="146"/>
      <c r="D29" s="146"/>
      <c r="E29" s="146"/>
      <c r="F29" s="68" t="s">
        <v>296</v>
      </c>
      <c r="G29" s="2">
        <v>155541</v>
      </c>
      <c r="H29" s="2">
        <v>192783</v>
      </c>
      <c r="I29" s="2">
        <v>219462</v>
      </c>
      <c r="J29" s="1920">
        <v>280770</v>
      </c>
      <c r="K29" s="1683">
        <v>281160</v>
      </c>
      <c r="L29" s="1687">
        <v>124</v>
      </c>
      <c r="M29" s="1296">
        <f t="shared" ref="M29:M31" si="7">SUM(K29:L29)</f>
        <v>281284</v>
      </c>
    </row>
    <row r="30" spans="1:13" ht="16.5" customHeight="1" x14ac:dyDescent="0.35">
      <c r="A30" s="894">
        <v>22</v>
      </c>
      <c r="B30" s="122"/>
      <c r="C30" s="146"/>
      <c r="D30" s="146"/>
      <c r="E30" s="146"/>
      <c r="F30" s="68" t="s">
        <v>297</v>
      </c>
      <c r="G30" s="2">
        <v>490423</v>
      </c>
      <c r="H30" s="2">
        <v>204929</v>
      </c>
      <c r="I30" s="2">
        <v>219034</v>
      </c>
      <c r="J30" s="1920">
        <v>889171</v>
      </c>
      <c r="K30" s="1683">
        <v>584630</v>
      </c>
      <c r="L30" s="1820">
        <f>359+34</f>
        <v>393</v>
      </c>
      <c r="M30" s="1296">
        <f t="shared" si="7"/>
        <v>585023</v>
      </c>
    </row>
    <row r="31" spans="1:13" ht="16.5" customHeight="1" x14ac:dyDescent="0.35">
      <c r="A31" s="894">
        <v>23</v>
      </c>
      <c r="B31" s="122"/>
      <c r="C31" s="146"/>
      <c r="D31" s="146"/>
      <c r="E31" s="146"/>
      <c r="F31" s="68" t="s">
        <v>298</v>
      </c>
      <c r="G31" s="2">
        <v>70576</v>
      </c>
      <c r="H31" s="2"/>
      <c r="I31" s="2">
        <v>44644</v>
      </c>
      <c r="J31" s="1920">
        <v>3937</v>
      </c>
      <c r="K31" s="1683">
        <v>4465</v>
      </c>
      <c r="L31" s="1820"/>
      <c r="M31" s="1296">
        <f t="shared" si="7"/>
        <v>4465</v>
      </c>
    </row>
    <row r="32" spans="1:13" s="149" customFormat="1" ht="36" customHeight="1" x14ac:dyDescent="0.35">
      <c r="A32" s="894">
        <v>24</v>
      </c>
      <c r="B32" s="383" t="s">
        <v>547</v>
      </c>
      <c r="C32" s="188"/>
      <c r="D32" s="146"/>
      <c r="E32" s="146">
        <v>5</v>
      </c>
      <c r="F32" s="189" t="s">
        <v>183</v>
      </c>
      <c r="G32" s="69">
        <v>998980</v>
      </c>
      <c r="H32" s="69">
        <v>909894</v>
      </c>
      <c r="I32" s="69">
        <v>1111879</v>
      </c>
      <c r="J32" s="1921">
        <v>1028612</v>
      </c>
      <c r="K32" s="1314">
        <v>879787</v>
      </c>
      <c r="L32" s="1695">
        <v>7248</v>
      </c>
      <c r="M32" s="1296">
        <f>SUM(K32:L32)</f>
        <v>887035</v>
      </c>
    </row>
    <row r="33" spans="1:22" s="149" customFormat="1" ht="36" customHeight="1" x14ac:dyDescent="0.35">
      <c r="A33" s="894">
        <v>25</v>
      </c>
      <c r="B33" s="122">
        <v>18</v>
      </c>
      <c r="C33" s="188"/>
      <c r="D33" s="146"/>
      <c r="E33" s="146">
        <v>6</v>
      </c>
      <c r="F33" s="189" t="s">
        <v>184</v>
      </c>
      <c r="G33" s="69">
        <v>41080</v>
      </c>
      <c r="H33" s="69"/>
      <c r="I33" s="69">
        <v>5713</v>
      </c>
      <c r="J33" s="1921"/>
      <c r="K33" s="1314">
        <v>10120</v>
      </c>
      <c r="L33" s="1695"/>
      <c r="M33" s="1296">
        <f>SUM(K33:L33)</f>
        <v>10120</v>
      </c>
    </row>
    <row r="34" spans="1:22" s="149" customFormat="1" ht="18" customHeight="1" x14ac:dyDescent="0.35">
      <c r="A34" s="894">
        <v>26</v>
      </c>
      <c r="B34" s="122"/>
      <c r="C34" s="188"/>
      <c r="D34" s="146"/>
      <c r="E34" s="146"/>
      <c r="F34" s="68" t="s">
        <v>1021</v>
      </c>
      <c r="G34" s="69"/>
      <c r="H34" s="69"/>
      <c r="I34" s="69"/>
      <c r="J34" s="1921"/>
      <c r="K34" s="1683">
        <v>6120</v>
      </c>
      <c r="L34" s="1807"/>
      <c r="M34" s="1297">
        <f>SUM(K34:L34)</f>
        <v>6120</v>
      </c>
    </row>
    <row r="35" spans="1:22" s="259" customFormat="1" ht="36" customHeight="1" x14ac:dyDescent="0.35">
      <c r="A35" s="894">
        <v>27</v>
      </c>
      <c r="B35" s="384" t="s">
        <v>547</v>
      </c>
      <c r="C35" s="262"/>
      <c r="D35" s="262"/>
      <c r="E35" s="263">
        <v>7</v>
      </c>
      <c r="F35" s="264" t="s">
        <v>185</v>
      </c>
      <c r="G35" s="400">
        <v>14334</v>
      </c>
      <c r="H35" s="400"/>
      <c r="I35" s="400">
        <v>8316</v>
      </c>
      <c r="J35" s="1922"/>
      <c r="K35" s="1916">
        <v>1506</v>
      </c>
      <c r="L35" s="1637"/>
      <c r="M35" s="1296">
        <f>SUM(K35:L35)</f>
        <v>1506</v>
      </c>
    </row>
    <row r="36" spans="1:22" s="255" customFormat="1" ht="36" customHeight="1" x14ac:dyDescent="0.35">
      <c r="A36" s="894">
        <v>28</v>
      </c>
      <c r="B36" s="385"/>
      <c r="C36" s="265"/>
      <c r="D36" s="266">
        <v>2</v>
      </c>
      <c r="E36" s="266"/>
      <c r="F36" s="267" t="s">
        <v>144</v>
      </c>
      <c r="G36" s="401">
        <f>SUM(G37,G40:G41,G43:G45)</f>
        <v>12772481</v>
      </c>
      <c r="H36" s="401">
        <f>SUM(H37,H40:H41,H43:H45)</f>
        <v>5648160</v>
      </c>
      <c r="I36" s="1321">
        <f>SUM(I37,I40:I41,I43:I45)</f>
        <v>6259786</v>
      </c>
      <c r="J36" s="1923">
        <f>SUM(J37,J40:J41,J43:J45)</f>
        <v>8363612</v>
      </c>
      <c r="K36" s="401">
        <f>SUM(K37,K40:K41,K43:K45)</f>
        <v>10416945</v>
      </c>
      <c r="L36" s="1321">
        <f t="shared" ref="L36:M36" si="8">SUM(L37,L40:L41,L43:L45)</f>
        <v>90191</v>
      </c>
      <c r="M36" s="1832">
        <f t="shared" si="8"/>
        <v>10507136</v>
      </c>
      <c r="N36" s="254"/>
      <c r="O36" s="254"/>
      <c r="P36" s="254"/>
      <c r="Q36" s="254"/>
      <c r="R36" s="254"/>
      <c r="S36" s="254"/>
      <c r="T36" s="254"/>
      <c r="U36" s="254"/>
      <c r="V36" s="254"/>
    </row>
    <row r="37" spans="1:22" s="149" customFormat="1" ht="36" customHeight="1" x14ac:dyDescent="0.35">
      <c r="A37" s="894">
        <v>29</v>
      </c>
      <c r="B37" s="122"/>
      <c r="C37" s="188"/>
      <c r="D37" s="146"/>
      <c r="E37" s="146">
        <v>8</v>
      </c>
      <c r="F37" s="189" t="s">
        <v>186</v>
      </c>
      <c r="G37" s="69">
        <f>SUM(G38,G39)</f>
        <v>12588575</v>
      </c>
      <c r="H37" s="69">
        <f>SUM(H38,H39)</f>
        <v>5270260</v>
      </c>
      <c r="I37" s="69">
        <f>SUM(I38,I39)</f>
        <v>5463793</v>
      </c>
      <c r="J37" s="1304">
        <f>SUM(J38,J39)</f>
        <v>8162019</v>
      </c>
      <c r="K37" s="1314">
        <f>SUM(K38,K39)</f>
        <v>10218410</v>
      </c>
      <c r="L37" s="1314">
        <f t="shared" ref="L37:M37" si="9">SUM(L38,L39)</f>
        <v>89241</v>
      </c>
      <c r="M37" s="1296">
        <f t="shared" si="9"/>
        <v>10307651</v>
      </c>
    </row>
    <row r="38" spans="1:22" s="259" customFormat="1" x14ac:dyDescent="0.35">
      <c r="A38" s="894">
        <v>30</v>
      </c>
      <c r="B38" s="122">
        <v>18</v>
      </c>
      <c r="C38" s="188"/>
      <c r="D38" s="146"/>
      <c r="E38" s="146"/>
      <c r="F38" s="67" t="s">
        <v>187</v>
      </c>
      <c r="G38" s="10">
        <v>4325400</v>
      </c>
      <c r="H38" s="10"/>
      <c r="I38" s="10">
        <v>6456</v>
      </c>
      <c r="J38" s="1919"/>
      <c r="K38" s="1314"/>
      <c r="L38" s="1637"/>
      <c r="M38" s="1296"/>
    </row>
    <row r="39" spans="1:22" s="259" customFormat="1" x14ac:dyDescent="0.35">
      <c r="A39" s="894">
        <v>31</v>
      </c>
      <c r="B39" s="122">
        <v>18</v>
      </c>
      <c r="C39" s="261"/>
      <c r="D39" s="260"/>
      <c r="E39" s="260"/>
      <c r="F39" s="67" t="s">
        <v>188</v>
      </c>
      <c r="G39" s="10">
        <v>8263175</v>
      </c>
      <c r="H39" s="10">
        <v>5270260</v>
      </c>
      <c r="I39" s="10">
        <v>5457337</v>
      </c>
      <c r="J39" s="1304">
        <v>8162019</v>
      </c>
      <c r="K39" s="1314">
        <v>10218410</v>
      </c>
      <c r="L39" s="1687">
        <v>89241</v>
      </c>
      <c r="M39" s="1296">
        <f>SUM(K39:L39)</f>
        <v>10307651</v>
      </c>
    </row>
    <row r="40" spans="1:22" s="259" customFormat="1" ht="36" customHeight="1" x14ac:dyDescent="0.35">
      <c r="A40" s="894">
        <v>32</v>
      </c>
      <c r="B40" s="384" t="s">
        <v>547</v>
      </c>
      <c r="C40" s="261"/>
      <c r="D40" s="261"/>
      <c r="E40" s="260">
        <v>9</v>
      </c>
      <c r="F40" s="67" t="s">
        <v>189</v>
      </c>
      <c r="G40" s="10">
        <v>40469</v>
      </c>
      <c r="H40" s="10">
        <v>2900</v>
      </c>
      <c r="I40" s="10">
        <v>14183</v>
      </c>
      <c r="J40" s="1919">
        <v>4050</v>
      </c>
      <c r="K40" s="1314">
        <v>4135</v>
      </c>
      <c r="L40" s="1637"/>
      <c r="M40" s="1296">
        <f>SUM(K40:L40)</f>
        <v>4135</v>
      </c>
    </row>
    <row r="41" spans="1:22" s="149" customFormat="1" ht="36" customHeight="1" x14ac:dyDescent="0.35">
      <c r="A41" s="894">
        <v>33</v>
      </c>
      <c r="B41" s="122">
        <v>18</v>
      </c>
      <c r="C41" s="188"/>
      <c r="D41" s="146"/>
      <c r="E41" s="146">
        <v>10</v>
      </c>
      <c r="F41" s="189" t="s">
        <v>190</v>
      </c>
      <c r="G41" s="69">
        <f>SUM(G42:G42)</f>
        <v>136583</v>
      </c>
      <c r="H41" s="69">
        <f>SUM(H42:H42)</f>
        <v>225000</v>
      </c>
      <c r="I41" s="69">
        <f>SUM(I42:I42)</f>
        <v>153966</v>
      </c>
      <c r="J41" s="1304">
        <f>SUM(J42:J42)</f>
        <v>190000</v>
      </c>
      <c r="K41" s="1314">
        <f>SUM(K42:K42)</f>
        <v>190000</v>
      </c>
      <c r="L41" s="1314">
        <f t="shared" ref="L41:M41" si="10">SUM(L42:L42)</f>
        <v>0</v>
      </c>
      <c r="M41" s="1296">
        <f t="shared" si="10"/>
        <v>190000</v>
      </c>
    </row>
    <row r="42" spans="1:22" x14ac:dyDescent="0.35">
      <c r="A42" s="894">
        <v>34</v>
      </c>
      <c r="B42" s="122"/>
      <c r="C42" s="146"/>
      <c r="D42" s="146"/>
      <c r="E42" s="146"/>
      <c r="F42" s="68" t="s">
        <v>191</v>
      </c>
      <c r="G42" s="2">
        <v>136583</v>
      </c>
      <c r="H42" s="2">
        <v>225000</v>
      </c>
      <c r="I42" s="2">
        <v>153966</v>
      </c>
      <c r="J42" s="1920">
        <v>190000</v>
      </c>
      <c r="K42" s="1683">
        <v>190000</v>
      </c>
      <c r="L42" s="1687"/>
      <c r="M42" s="1296">
        <f>SUM(K42:L42)</f>
        <v>190000</v>
      </c>
    </row>
    <row r="43" spans="1:22" ht="36" customHeight="1" x14ac:dyDescent="0.35">
      <c r="A43" s="894">
        <v>35</v>
      </c>
      <c r="B43" s="122"/>
      <c r="C43" s="146"/>
      <c r="D43" s="146"/>
      <c r="E43" s="146">
        <v>11</v>
      </c>
      <c r="F43" s="67" t="s">
        <v>192</v>
      </c>
      <c r="G43" s="10">
        <v>957</v>
      </c>
      <c r="H43" s="10"/>
      <c r="I43" s="10">
        <v>939</v>
      </c>
      <c r="J43" s="1919">
        <v>7543</v>
      </c>
      <c r="K43" s="1314">
        <v>4400</v>
      </c>
      <c r="L43" s="1687">
        <v>950</v>
      </c>
      <c r="M43" s="1296">
        <f>SUM(K43:L43)</f>
        <v>5350</v>
      </c>
    </row>
    <row r="44" spans="1:22" s="149" customFormat="1" ht="36" customHeight="1" x14ac:dyDescent="0.35">
      <c r="A44" s="894">
        <v>36</v>
      </c>
      <c r="B44" s="122">
        <v>18</v>
      </c>
      <c r="C44" s="188"/>
      <c r="D44" s="146"/>
      <c r="E44" s="146">
        <v>12</v>
      </c>
      <c r="F44" s="189" t="s">
        <v>193</v>
      </c>
      <c r="G44" s="69">
        <v>5897</v>
      </c>
      <c r="H44" s="69">
        <v>150000</v>
      </c>
      <c r="I44" s="69">
        <v>626905</v>
      </c>
      <c r="J44" s="1921"/>
      <c r="K44" s="1314"/>
      <c r="L44" s="1695"/>
      <c r="M44" s="1296"/>
    </row>
    <row r="45" spans="1:22" s="259" customFormat="1" ht="36" customHeight="1" x14ac:dyDescent="0.35">
      <c r="A45" s="894">
        <v>37</v>
      </c>
      <c r="B45" s="384" t="s">
        <v>547</v>
      </c>
      <c r="C45" s="261"/>
      <c r="D45" s="261"/>
      <c r="E45" s="260">
        <v>13</v>
      </c>
      <c r="F45" s="268" t="s">
        <v>194</v>
      </c>
      <c r="G45" s="10"/>
      <c r="H45" s="10"/>
      <c r="I45" s="10"/>
      <c r="J45" s="1919"/>
      <c r="K45" s="1314"/>
      <c r="L45" s="1637"/>
      <c r="M45" s="1296"/>
    </row>
    <row r="46" spans="1:22" s="30" customFormat="1" ht="36" customHeight="1" x14ac:dyDescent="0.3">
      <c r="A46" s="894">
        <v>38</v>
      </c>
      <c r="B46" s="27">
        <v>18</v>
      </c>
      <c r="C46" s="269"/>
      <c r="D46" s="270"/>
      <c r="E46" s="270"/>
      <c r="F46" s="578" t="s">
        <v>195</v>
      </c>
      <c r="G46" s="70">
        <f>SUM(G47:G47)</f>
        <v>700</v>
      </c>
      <c r="H46" s="70">
        <f>SUM(H47:H47)</f>
        <v>0</v>
      </c>
      <c r="I46" s="70">
        <f>SUM(I47:I47)</f>
        <v>183</v>
      </c>
      <c r="J46" s="1305">
        <f>SUM(J47:J47)</f>
        <v>0</v>
      </c>
      <c r="K46" s="1311">
        <f>SUM(K47:K47)</f>
        <v>0</v>
      </c>
      <c r="L46" s="1311">
        <f t="shared" ref="L46:M46" si="11">SUM(L47:L47)</f>
        <v>0</v>
      </c>
      <c r="M46" s="1298">
        <f t="shared" si="11"/>
        <v>0</v>
      </c>
    </row>
    <row r="47" spans="1:22" ht="33.75" x14ac:dyDescent="0.35">
      <c r="A47" s="894">
        <v>39</v>
      </c>
      <c r="B47" s="122"/>
      <c r="C47" s="271"/>
      <c r="D47" s="271"/>
      <c r="E47" s="271"/>
      <c r="F47" s="579" t="s">
        <v>261</v>
      </c>
      <c r="G47" s="71">
        <v>700</v>
      </c>
      <c r="H47" s="71"/>
      <c r="I47" s="71">
        <v>183</v>
      </c>
      <c r="J47" s="1924"/>
      <c r="K47" s="1917"/>
      <c r="L47" s="1764"/>
      <c r="M47" s="1298"/>
    </row>
    <row r="48" spans="1:22" s="30" customFormat="1" ht="40.15" customHeight="1" thickBot="1" x14ac:dyDescent="0.35">
      <c r="A48" s="894">
        <v>40</v>
      </c>
      <c r="B48" s="386"/>
      <c r="C48" s="272"/>
      <c r="D48" s="273"/>
      <c r="E48" s="273"/>
      <c r="F48" s="274" t="s">
        <v>196</v>
      </c>
      <c r="G48" s="402">
        <f t="shared" ref="G48:L48" si="12">SUM(G9,G36,G46)</f>
        <v>26835824</v>
      </c>
      <c r="H48" s="402">
        <f t="shared" si="12"/>
        <v>18625677</v>
      </c>
      <c r="I48" s="402">
        <f t="shared" si="12"/>
        <v>21113333</v>
      </c>
      <c r="J48" s="1306">
        <f t="shared" si="12"/>
        <v>23478871</v>
      </c>
      <c r="K48" s="1315">
        <f t="shared" si="12"/>
        <v>24341975</v>
      </c>
      <c r="L48" s="1315">
        <f t="shared" si="12"/>
        <v>155340</v>
      </c>
      <c r="M48" s="1610">
        <f t="shared" ref="M48" si="13">SUM(M9,M36,M46)</f>
        <v>24497315</v>
      </c>
    </row>
    <row r="49" spans="1:13" s="30" customFormat="1" ht="40.15" customHeight="1" thickTop="1" thickBot="1" x14ac:dyDescent="0.35">
      <c r="A49" s="894">
        <v>41</v>
      </c>
      <c r="B49" s="387"/>
      <c r="C49" s="275"/>
      <c r="D49" s="276"/>
      <c r="E49" s="276"/>
      <c r="F49" s="277" t="s">
        <v>197</v>
      </c>
      <c r="G49" s="1064">
        <f>+G48-'2.Onki'!G35</f>
        <v>6257189</v>
      </c>
      <c r="H49" s="1064">
        <f>+H48-'2.Onki'!H35</f>
        <v>-8870872</v>
      </c>
      <c r="I49" s="1064">
        <f>+I48-'2.Onki'!I35</f>
        <v>1177920</v>
      </c>
      <c r="J49" s="1307">
        <f>J48-'2.Onki'!J35</f>
        <v>-14073403</v>
      </c>
      <c r="K49" s="1316">
        <f>+K48-'2.Onki'!K35</f>
        <v>-15255267</v>
      </c>
      <c r="L49" s="1316">
        <f>+L48-'2.Onki'!L35</f>
        <v>0</v>
      </c>
      <c r="M49" s="1833">
        <f>+M48-'2.Onki'!M35</f>
        <v>-15255267</v>
      </c>
    </row>
    <row r="50" spans="1:13" s="30" customFormat="1" ht="36" customHeight="1" x14ac:dyDescent="0.3">
      <c r="A50" s="894">
        <v>42</v>
      </c>
      <c r="B50" s="27"/>
      <c r="C50" s="1828"/>
      <c r="D50" s="250"/>
      <c r="E50" s="250">
        <v>14</v>
      </c>
      <c r="F50" s="199" t="s">
        <v>198</v>
      </c>
      <c r="G50" s="403">
        <f>SUM(G52,G61)+G51</f>
        <v>7032676</v>
      </c>
      <c r="H50" s="403">
        <f>SUM(H52,H61)+H51</f>
        <v>9080507</v>
      </c>
      <c r="I50" s="403">
        <f>SUM(I52,I61)+I51</f>
        <v>13278366</v>
      </c>
      <c r="J50" s="1308">
        <f>SUM(J52,J61)+J51</f>
        <v>14293174</v>
      </c>
      <c r="K50" s="1317">
        <f>SUM(K52,K61)+K51</f>
        <v>15475038</v>
      </c>
      <c r="L50" s="1317">
        <f t="shared" ref="L50:M50" si="14">SUM(L52,L61)+L51</f>
        <v>0</v>
      </c>
      <c r="M50" s="1300">
        <f t="shared" si="14"/>
        <v>15475038</v>
      </c>
    </row>
    <row r="51" spans="1:13" s="30" customFormat="1" ht="36" customHeight="1" x14ac:dyDescent="0.3">
      <c r="A51" s="894">
        <v>43</v>
      </c>
      <c r="B51" s="27"/>
      <c r="C51" s="1828"/>
      <c r="D51" s="250">
        <v>1</v>
      </c>
      <c r="E51" s="250"/>
      <c r="F51" s="199" t="s">
        <v>265</v>
      </c>
      <c r="G51" s="403">
        <v>107506</v>
      </c>
      <c r="H51" s="403"/>
      <c r="I51" s="403">
        <v>143801</v>
      </c>
      <c r="J51" s="1925"/>
      <c r="K51" s="1317"/>
      <c r="L51" s="1765"/>
      <c r="M51" s="1300"/>
    </row>
    <row r="52" spans="1:13" s="30" customFormat="1" ht="33" customHeight="1" x14ac:dyDescent="0.3">
      <c r="A52" s="894">
        <v>44</v>
      </c>
      <c r="B52" s="388"/>
      <c r="C52" s="269"/>
      <c r="D52" s="270"/>
      <c r="E52" s="270"/>
      <c r="F52" s="278" t="s">
        <v>300</v>
      </c>
      <c r="G52" s="70">
        <f>SUM(G53,G57)</f>
        <v>6873658</v>
      </c>
      <c r="H52" s="70">
        <f>SUM(H53,H57)</f>
        <v>8404019</v>
      </c>
      <c r="I52" s="70">
        <f>SUM(I53,I57)</f>
        <v>13087077</v>
      </c>
      <c r="J52" s="1305">
        <f>SUM(J53,J57)</f>
        <v>12883374</v>
      </c>
      <c r="K52" s="1311">
        <f>SUM(K53,K57)</f>
        <v>14215038</v>
      </c>
      <c r="L52" s="1311">
        <f t="shared" ref="L52:M52" si="15">SUM(L53,L57)</f>
        <v>0</v>
      </c>
      <c r="M52" s="1298">
        <f t="shared" si="15"/>
        <v>14215038</v>
      </c>
    </row>
    <row r="53" spans="1:13" s="149" customFormat="1" ht="24" customHeight="1" x14ac:dyDescent="0.35">
      <c r="A53" s="894">
        <v>45</v>
      </c>
      <c r="B53" s="122"/>
      <c r="C53" s="188"/>
      <c r="D53" s="146">
        <v>1</v>
      </c>
      <c r="E53" s="146"/>
      <c r="F53" s="189" t="s">
        <v>263</v>
      </c>
      <c r="G53" s="69">
        <f>SUM(G54:G56)</f>
        <v>1957723</v>
      </c>
      <c r="H53" s="69">
        <f>SUM(H54:H56)</f>
        <v>1315949</v>
      </c>
      <c r="I53" s="69">
        <f>SUM(I54:I56)</f>
        <v>2879946</v>
      </c>
      <c r="J53" s="1304">
        <f>SUM(J54:J56)</f>
        <v>1081085</v>
      </c>
      <c r="K53" s="1314">
        <f>SUM(K54:K56)</f>
        <v>2384006</v>
      </c>
      <c r="L53" s="1314">
        <f t="shared" ref="L53:M53" si="16">SUM(L54:L56)</f>
        <v>0</v>
      </c>
      <c r="M53" s="1296">
        <f t="shared" si="16"/>
        <v>2384006</v>
      </c>
    </row>
    <row r="54" spans="1:13" x14ac:dyDescent="0.35">
      <c r="A54" s="894">
        <v>46</v>
      </c>
      <c r="B54" s="382" t="s">
        <v>424</v>
      </c>
      <c r="C54" s="146"/>
      <c r="D54" s="146"/>
      <c r="E54" s="146"/>
      <c r="F54" s="68" t="s">
        <v>199</v>
      </c>
      <c r="G54" s="2">
        <v>612577</v>
      </c>
      <c r="H54" s="2">
        <v>137936</v>
      </c>
      <c r="I54" s="2">
        <v>573305</v>
      </c>
      <c r="J54" s="1920">
        <v>31301</v>
      </c>
      <c r="K54" s="1683">
        <v>661346</v>
      </c>
      <c r="L54" s="1687"/>
      <c r="M54" s="1296">
        <f>SUM(K54:L54)</f>
        <v>661346</v>
      </c>
    </row>
    <row r="55" spans="1:13" x14ac:dyDescent="0.35">
      <c r="A55" s="894">
        <v>47</v>
      </c>
      <c r="B55" s="122">
        <v>17</v>
      </c>
      <c r="C55" s="146"/>
      <c r="D55" s="146"/>
      <c r="E55" s="146"/>
      <c r="F55" s="68" t="s">
        <v>200</v>
      </c>
      <c r="G55" s="2">
        <v>251672</v>
      </c>
      <c r="H55" s="2">
        <v>14861</v>
      </c>
      <c r="I55" s="2">
        <v>294771</v>
      </c>
      <c r="J55" s="1920">
        <v>75474</v>
      </c>
      <c r="K55" s="1683">
        <v>360284</v>
      </c>
      <c r="L55" s="1687"/>
      <c r="M55" s="1296">
        <f t="shared" ref="M55:M56" si="17">SUM(K55:L55)</f>
        <v>360284</v>
      </c>
    </row>
    <row r="56" spans="1:13" x14ac:dyDescent="0.35">
      <c r="A56" s="894">
        <v>48</v>
      </c>
      <c r="B56" s="122">
        <v>18</v>
      </c>
      <c r="C56" s="146"/>
      <c r="D56" s="146"/>
      <c r="E56" s="146"/>
      <c r="F56" s="68" t="s">
        <v>127</v>
      </c>
      <c r="G56" s="2">
        <v>1093474</v>
      </c>
      <c r="H56" s="2">
        <v>1163152</v>
      </c>
      <c r="I56" s="2">
        <v>2011870</v>
      </c>
      <c r="J56" s="1920">
        <v>974310</v>
      </c>
      <c r="K56" s="1683">
        <v>1362376</v>
      </c>
      <c r="L56" s="1687"/>
      <c r="M56" s="1296">
        <f t="shared" si="17"/>
        <v>1362376</v>
      </c>
    </row>
    <row r="57" spans="1:13" s="149" customFormat="1" ht="24" customHeight="1" x14ac:dyDescent="0.35">
      <c r="A57" s="894">
        <v>49</v>
      </c>
      <c r="B57" s="122"/>
      <c r="C57" s="188"/>
      <c r="D57" s="146">
        <v>2</v>
      </c>
      <c r="E57" s="146"/>
      <c r="F57" s="189" t="s">
        <v>262</v>
      </c>
      <c r="G57" s="69">
        <f>SUM(G58:G60)</f>
        <v>4915935</v>
      </c>
      <c r="H57" s="69">
        <f>H58+H60</f>
        <v>7088070</v>
      </c>
      <c r="I57" s="69">
        <f>SUM(I58:I60)</f>
        <v>10207131</v>
      </c>
      <c r="J57" s="1304">
        <f>SUM(J58:J60)</f>
        <v>11802289</v>
      </c>
      <c r="K57" s="1314">
        <f>SUM(K58:K60)</f>
        <v>11831032</v>
      </c>
      <c r="L57" s="1314">
        <f t="shared" ref="L57:M57" si="18">SUM(L58:L60)</f>
        <v>0</v>
      </c>
      <c r="M57" s="1296">
        <f t="shared" si="18"/>
        <v>11831032</v>
      </c>
    </row>
    <row r="58" spans="1:13" s="259" customFormat="1" x14ac:dyDescent="0.35">
      <c r="A58" s="894">
        <v>50</v>
      </c>
      <c r="B58" s="383" t="s">
        <v>424</v>
      </c>
      <c r="C58" s="146"/>
      <c r="D58" s="146"/>
      <c r="E58" s="146"/>
      <c r="F58" s="279" t="s">
        <v>199</v>
      </c>
      <c r="G58" s="2">
        <v>48512</v>
      </c>
      <c r="H58" s="2">
        <v>58070</v>
      </c>
      <c r="I58" s="2">
        <v>127144</v>
      </c>
      <c r="J58" s="1920">
        <v>12621</v>
      </c>
      <c r="K58" s="1683">
        <v>27970</v>
      </c>
      <c r="L58" s="1687"/>
      <c r="M58" s="1296">
        <f>SUM(K58:L58)</f>
        <v>27970</v>
      </c>
    </row>
    <row r="59" spans="1:13" s="259" customFormat="1" x14ac:dyDescent="0.35">
      <c r="A59" s="894">
        <v>51</v>
      </c>
      <c r="B59" s="383" t="s">
        <v>322</v>
      </c>
      <c r="C59" s="146"/>
      <c r="D59" s="146"/>
      <c r="E59" s="146"/>
      <c r="F59" s="68" t="s">
        <v>200</v>
      </c>
      <c r="G59" s="2">
        <v>16696</v>
      </c>
      <c r="H59" s="2"/>
      <c r="I59" s="2">
        <v>24251</v>
      </c>
      <c r="J59" s="1920">
        <v>16985</v>
      </c>
      <c r="K59" s="1683">
        <v>24177</v>
      </c>
      <c r="L59" s="1687"/>
      <c r="M59" s="1296">
        <f t="shared" ref="M59:M60" si="19">SUM(K59:L59)</f>
        <v>24177</v>
      </c>
    </row>
    <row r="60" spans="1:13" s="259" customFormat="1" x14ac:dyDescent="0.35">
      <c r="A60" s="894">
        <v>52</v>
      </c>
      <c r="B60" s="122">
        <v>18</v>
      </c>
      <c r="C60" s="146"/>
      <c r="D60" s="146"/>
      <c r="E60" s="146"/>
      <c r="F60" s="279" t="s">
        <v>414</v>
      </c>
      <c r="G60" s="2">
        <v>4850727</v>
      </c>
      <c r="H60" s="2">
        <v>7030000</v>
      </c>
      <c r="I60" s="2">
        <v>10055736</v>
      </c>
      <c r="J60" s="1920">
        <v>11772683</v>
      </c>
      <c r="K60" s="1683">
        <v>11778885</v>
      </c>
      <c r="L60" s="1687"/>
      <c r="M60" s="1296">
        <f t="shared" si="19"/>
        <v>11778885</v>
      </c>
    </row>
    <row r="61" spans="1:13" s="30" customFormat="1" ht="30" customHeight="1" x14ac:dyDescent="0.3">
      <c r="A61" s="894">
        <v>53</v>
      </c>
      <c r="B61" s="388"/>
      <c r="C61" s="269"/>
      <c r="D61" s="270"/>
      <c r="E61" s="270"/>
      <c r="F61" s="278" t="s">
        <v>301</v>
      </c>
      <c r="G61" s="70">
        <f>SUM(G62:G64)</f>
        <v>51512</v>
      </c>
      <c r="H61" s="70">
        <f>SUM(H62:H64)</f>
        <v>676488</v>
      </c>
      <c r="I61" s="70">
        <f>SUM(I62:I64)</f>
        <v>47488</v>
      </c>
      <c r="J61" s="1305">
        <f>SUM(J62:J64)</f>
        <v>1409800</v>
      </c>
      <c r="K61" s="1311">
        <f>SUM(K62:K64)</f>
        <v>1260000</v>
      </c>
      <c r="L61" s="1311">
        <f t="shared" ref="L61:M61" si="20">SUM(L62:L64)</f>
        <v>0</v>
      </c>
      <c r="M61" s="1298">
        <f t="shared" si="20"/>
        <v>1260000</v>
      </c>
    </row>
    <row r="62" spans="1:13" s="149" customFormat="1" ht="24" customHeight="1" x14ac:dyDescent="0.35">
      <c r="A62" s="894">
        <v>54</v>
      </c>
      <c r="B62" s="122">
        <v>18</v>
      </c>
      <c r="C62" s="188"/>
      <c r="D62" s="146">
        <v>2</v>
      </c>
      <c r="E62" s="146"/>
      <c r="F62" s="189" t="s">
        <v>201</v>
      </c>
      <c r="G62" s="69"/>
      <c r="H62" s="69"/>
      <c r="I62" s="69"/>
      <c r="J62" s="1921"/>
      <c r="K62" s="1314"/>
      <c r="L62" s="1695"/>
      <c r="M62" s="1312"/>
    </row>
    <row r="63" spans="1:13" x14ac:dyDescent="0.35">
      <c r="A63" s="894">
        <v>55</v>
      </c>
      <c r="B63" s="122"/>
      <c r="C63" s="146"/>
      <c r="D63" s="146"/>
      <c r="E63" s="146"/>
      <c r="F63" s="68" t="s">
        <v>201</v>
      </c>
      <c r="G63" s="2"/>
      <c r="H63" s="2">
        <v>629000</v>
      </c>
      <c r="I63" s="2"/>
      <c r="J63" s="1920">
        <v>780800</v>
      </c>
      <c r="K63" s="1683">
        <v>631000</v>
      </c>
      <c r="L63" s="1687"/>
      <c r="M63" s="1296">
        <f>SUM(K63:L63)</f>
        <v>631000</v>
      </c>
    </row>
    <row r="64" spans="1:13" x14ac:dyDescent="0.35">
      <c r="A64" s="894">
        <v>56</v>
      </c>
      <c r="B64" s="122"/>
      <c r="C64" s="146"/>
      <c r="D64" s="146"/>
      <c r="E64" s="146"/>
      <c r="F64" s="280" t="s">
        <v>202</v>
      </c>
      <c r="G64" s="71">
        <v>51512</v>
      </c>
      <c r="H64" s="71">
        <v>47488</v>
      </c>
      <c r="I64" s="71">
        <v>47488</v>
      </c>
      <c r="J64" s="1920">
        <v>629000</v>
      </c>
      <c r="K64" s="1683">
        <v>629000</v>
      </c>
      <c r="L64" s="1766"/>
      <c r="M64" s="1299">
        <f>SUM(K64:L64)</f>
        <v>629000</v>
      </c>
    </row>
    <row r="65" spans="1:13" s="30" customFormat="1" ht="36" customHeight="1" thickBot="1" x14ac:dyDescent="0.35">
      <c r="A65" s="894">
        <v>57</v>
      </c>
      <c r="B65" s="389"/>
      <c r="C65" s="281"/>
      <c r="D65" s="282"/>
      <c r="E65" s="282"/>
      <c r="F65" s="283" t="s">
        <v>203</v>
      </c>
      <c r="G65" s="404">
        <f t="shared" ref="G65:M65" si="21">SUM(G48,G50)</f>
        <v>33868500</v>
      </c>
      <c r="H65" s="404">
        <f t="shared" si="21"/>
        <v>27706184</v>
      </c>
      <c r="I65" s="404">
        <f t="shared" si="21"/>
        <v>34391699</v>
      </c>
      <c r="J65" s="1309">
        <f t="shared" si="21"/>
        <v>37772045</v>
      </c>
      <c r="K65" s="1318">
        <f t="shared" si="21"/>
        <v>39817013</v>
      </c>
      <c r="L65" s="1318">
        <f t="shared" si="21"/>
        <v>155340</v>
      </c>
      <c r="M65" s="1834">
        <f t="shared" si="21"/>
        <v>39972353</v>
      </c>
    </row>
  </sheetData>
  <mergeCells count="4">
    <mergeCell ref="B4:M4"/>
    <mergeCell ref="B5:M5"/>
    <mergeCell ref="B1:M1"/>
    <mergeCell ref="B2:M2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53" fitToHeight="2" orientation="portrait" r:id="rId1"/>
  <headerFooter alignWithMargins="0">
    <oddFooter>&amp;C- &amp;P -</oddFooter>
  </headerFooter>
  <rowBreaks count="1" manualBreakCount="1">
    <brk id="4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6"/>
  <sheetViews>
    <sheetView view="pageBreakPreview" topLeftCell="A22" zoomScaleNormal="100" zoomScaleSheetLayoutView="100" workbookViewId="0">
      <selection activeCell="H30" sqref="H30"/>
    </sheetView>
  </sheetViews>
  <sheetFormatPr defaultColWidth="9.140625" defaultRowHeight="16.5" x14ac:dyDescent="0.3"/>
  <cols>
    <col min="1" max="1" width="3.7109375" style="203" customWidth="1"/>
    <col min="2" max="2" width="75.7109375" style="234" customWidth="1"/>
    <col min="3" max="6" width="13.7109375" style="235" customWidth="1"/>
    <col min="7" max="7" width="15.7109375" style="235" customWidth="1"/>
    <col min="8" max="8" width="13.7109375" style="235" customWidth="1"/>
    <col min="9" max="9" width="16.85546875" style="236" customWidth="1"/>
    <col min="10" max="16384" width="9.140625" style="236"/>
  </cols>
  <sheetData>
    <row r="1" spans="1:14" s="204" customFormat="1" ht="16.5" customHeight="1" x14ac:dyDescent="0.2">
      <c r="A1" s="203"/>
      <c r="B1" s="2078" t="s">
        <v>907</v>
      </c>
      <c r="C1" s="2078"/>
      <c r="D1" s="2079"/>
      <c r="E1" s="2079"/>
      <c r="F1" s="2079"/>
      <c r="G1" s="2079"/>
      <c r="H1" s="788"/>
    </row>
    <row r="2" spans="1:14" s="207" customFormat="1" ht="24.75" customHeight="1" x14ac:dyDescent="0.35">
      <c r="A2" s="205"/>
      <c r="B2" s="2080" t="s">
        <v>327</v>
      </c>
      <c r="C2" s="2080"/>
      <c r="D2" s="2080"/>
      <c r="E2" s="2080"/>
      <c r="F2" s="2080"/>
      <c r="G2" s="2080"/>
      <c r="H2" s="206"/>
      <c r="I2" s="2082"/>
      <c r="J2" s="2082"/>
      <c r="K2" s="2082"/>
      <c r="L2" s="2082"/>
      <c r="M2" s="2082"/>
      <c r="N2" s="2082"/>
    </row>
    <row r="3" spans="1:14" s="204" customFormat="1" ht="24.75" customHeight="1" x14ac:dyDescent="0.2">
      <c r="A3" s="203"/>
      <c r="B3" s="2083" t="s">
        <v>656</v>
      </c>
      <c r="C3" s="2083"/>
      <c r="D3" s="2083"/>
      <c r="E3" s="2083"/>
      <c r="F3" s="2083"/>
      <c r="G3" s="2083"/>
      <c r="H3" s="208"/>
      <c r="I3" s="2084"/>
      <c r="J3" s="2084"/>
      <c r="K3" s="2084"/>
      <c r="L3" s="2084"/>
      <c r="M3" s="2084"/>
      <c r="N3" s="2084"/>
    </row>
    <row r="4" spans="1:14" s="804" customFormat="1" ht="15" x14ac:dyDescent="0.3">
      <c r="A4" s="209"/>
      <c r="B4" s="800"/>
      <c r="C4" s="801"/>
      <c r="D4" s="801"/>
      <c r="E4" s="801"/>
      <c r="F4" s="801"/>
      <c r="G4" s="802" t="s">
        <v>0</v>
      </c>
      <c r="H4" s="803"/>
    </row>
    <row r="5" spans="1:14" s="129" customFormat="1" ht="15" thickBot="1" x14ac:dyDescent="0.35">
      <c r="A5" s="209"/>
      <c r="B5" s="210" t="s">
        <v>1</v>
      </c>
      <c r="C5" s="211" t="s">
        <v>3</v>
      </c>
      <c r="D5" s="211" t="s">
        <v>2</v>
      </c>
      <c r="E5" s="211"/>
      <c r="F5" s="211"/>
      <c r="G5" s="63" t="s">
        <v>4</v>
      </c>
      <c r="H5" s="63"/>
    </row>
    <row r="6" spans="1:14" s="41" customFormat="1" ht="17.25" x14ac:dyDescent="0.35">
      <c r="A6" s="209"/>
      <c r="B6" s="2085" t="s">
        <v>6</v>
      </c>
      <c r="C6" s="2087" t="s">
        <v>526</v>
      </c>
      <c r="D6" s="2087" t="s">
        <v>626</v>
      </c>
      <c r="E6" s="2087" t="s">
        <v>123</v>
      </c>
      <c r="F6" s="2089" t="s">
        <v>983</v>
      </c>
      <c r="G6" s="212" t="s">
        <v>328</v>
      </c>
      <c r="H6" s="213"/>
    </row>
    <row r="7" spans="1:14" s="41" customFormat="1" ht="18" thickBot="1" x14ac:dyDescent="0.4">
      <c r="A7" s="209"/>
      <c r="B7" s="2086"/>
      <c r="C7" s="2088"/>
      <c r="D7" s="2088"/>
      <c r="E7" s="2088"/>
      <c r="F7" s="2090"/>
      <c r="G7" s="214" t="s">
        <v>657</v>
      </c>
      <c r="H7" s="213"/>
    </row>
    <row r="8" spans="1:14" s="66" customFormat="1" ht="34.5" customHeight="1" x14ac:dyDescent="0.35">
      <c r="A8" s="209">
        <v>1</v>
      </c>
      <c r="B8" s="215" t="s">
        <v>329</v>
      </c>
      <c r="C8" s="216">
        <v>0</v>
      </c>
      <c r="D8" s="216">
        <v>0</v>
      </c>
      <c r="E8" s="216">
        <v>7199</v>
      </c>
      <c r="F8" s="221">
        <f t="shared" ref="F8:F13" si="0">SUM(D8:E8)</f>
        <v>7199</v>
      </c>
      <c r="G8" s="224"/>
      <c r="H8" s="218"/>
      <c r="I8" s="219"/>
    </row>
    <row r="9" spans="1:14" s="66" customFormat="1" ht="34.5" customHeight="1" x14ac:dyDescent="0.35">
      <c r="A9" s="209">
        <v>2</v>
      </c>
      <c r="B9" s="220" t="s">
        <v>330</v>
      </c>
      <c r="C9" s="221">
        <f>SUM(C10:C13)</f>
        <v>1108325</v>
      </c>
      <c r="D9" s="221">
        <f>SUM(D10:D13)</f>
        <v>1125011</v>
      </c>
      <c r="E9" s="221">
        <f>SUM(E10:E13)</f>
        <v>3733</v>
      </c>
      <c r="F9" s="221">
        <f>SUM(F10:F13)</f>
        <v>1128744</v>
      </c>
      <c r="G9" s="217">
        <f>(F9/C9)</f>
        <v>1.0184232964157625</v>
      </c>
      <c r="H9" s="218"/>
    </row>
    <row r="10" spans="1:14" s="41" customFormat="1" ht="33" customHeight="1" x14ac:dyDescent="0.3">
      <c r="A10" s="209">
        <v>3</v>
      </c>
      <c r="B10" s="222" t="s">
        <v>331</v>
      </c>
      <c r="C10" s="223">
        <v>911028</v>
      </c>
      <c r="D10" s="223">
        <v>927157</v>
      </c>
      <c r="E10" s="223"/>
      <c r="F10" s="221">
        <f t="shared" si="0"/>
        <v>927157</v>
      </c>
      <c r="G10" s="224">
        <f>(F10/C10)</f>
        <v>1.017704175941903</v>
      </c>
      <c r="H10" s="225"/>
    </row>
    <row r="11" spans="1:14" s="41" customFormat="1" ht="25.9" customHeight="1" x14ac:dyDescent="0.3">
      <c r="A11" s="209">
        <v>4</v>
      </c>
      <c r="B11" s="222" t="s">
        <v>332</v>
      </c>
      <c r="C11" s="223">
        <v>165613</v>
      </c>
      <c r="D11" s="223">
        <v>162239</v>
      </c>
      <c r="E11" s="223"/>
      <c r="F11" s="221">
        <f t="shared" si="0"/>
        <v>162239</v>
      </c>
      <c r="G11" s="224">
        <f t="shared" ref="G11:G13" si="1">(F11/C11)</f>
        <v>0.97962720317849439</v>
      </c>
      <c r="H11" s="225"/>
    </row>
    <row r="12" spans="1:14" s="41" customFormat="1" ht="33" x14ac:dyDescent="0.3">
      <c r="A12" s="209">
        <v>5</v>
      </c>
      <c r="B12" s="222" t="s">
        <v>333</v>
      </c>
      <c r="C12" s="223">
        <v>28306</v>
      </c>
      <c r="D12" s="223">
        <v>30745</v>
      </c>
      <c r="E12" s="223">
        <v>3733</v>
      </c>
      <c r="F12" s="221">
        <f t="shared" si="0"/>
        <v>34478</v>
      </c>
      <c r="G12" s="224">
        <f>(F12/C12)</f>
        <v>1.2180456440330671</v>
      </c>
      <c r="H12" s="225"/>
    </row>
    <row r="13" spans="1:14" s="41" customFormat="1" ht="25.5" customHeight="1" x14ac:dyDescent="0.3">
      <c r="A13" s="209">
        <v>6</v>
      </c>
      <c r="B13" s="222" t="s">
        <v>549</v>
      </c>
      <c r="C13" s="223">
        <v>3378</v>
      </c>
      <c r="D13" s="223">
        <v>4870</v>
      </c>
      <c r="E13" s="223"/>
      <c r="F13" s="221">
        <f t="shared" si="0"/>
        <v>4870</v>
      </c>
      <c r="G13" s="224">
        <f t="shared" si="1"/>
        <v>1.4416814683244523</v>
      </c>
      <c r="H13" s="225"/>
    </row>
    <row r="14" spans="1:14" s="66" customFormat="1" ht="34.5" x14ac:dyDescent="0.35">
      <c r="A14" s="209">
        <v>7</v>
      </c>
      <c r="B14" s="220" t="s">
        <v>413</v>
      </c>
      <c r="C14" s="221">
        <f>SUM(C15:C27)</f>
        <v>1319428</v>
      </c>
      <c r="D14" s="221">
        <f>SUM(D15:D27)</f>
        <v>1480333</v>
      </c>
      <c r="E14" s="221">
        <f>SUM(E15:E27)</f>
        <v>2828</v>
      </c>
      <c r="F14" s="221">
        <f>SUM(F15:F27)</f>
        <v>1483161</v>
      </c>
      <c r="G14" s="217">
        <f>(F14/C14)</f>
        <v>1.1240939255495563</v>
      </c>
      <c r="H14" s="218"/>
    </row>
    <row r="15" spans="1:14" s="41" customFormat="1" ht="25.5" customHeight="1" x14ac:dyDescent="0.3">
      <c r="A15" s="209">
        <v>8</v>
      </c>
      <c r="B15" s="222" t="s">
        <v>408</v>
      </c>
      <c r="C15" s="223">
        <v>35020</v>
      </c>
      <c r="D15" s="223">
        <v>35020</v>
      </c>
      <c r="E15" s="223">
        <v>3158</v>
      </c>
      <c r="F15" s="223">
        <f>SUM(D15:E15)</f>
        <v>38178</v>
      </c>
      <c r="G15" s="224">
        <f>(F15/C15)</f>
        <v>1.0901770416904626</v>
      </c>
      <c r="H15" s="225"/>
    </row>
    <row r="16" spans="1:14" s="41" customFormat="1" ht="25.9" customHeight="1" x14ac:dyDescent="0.3">
      <c r="A16" s="209">
        <v>9</v>
      </c>
      <c r="B16" s="222" t="s">
        <v>409</v>
      </c>
      <c r="C16" s="223">
        <v>39270</v>
      </c>
      <c r="D16" s="223">
        <v>39270</v>
      </c>
      <c r="E16" s="223">
        <v>-330</v>
      </c>
      <c r="F16" s="223">
        <f t="shared" ref="F16:F27" si="2">SUM(D16:E16)</f>
        <v>38940</v>
      </c>
      <c r="G16" s="224">
        <f t="shared" ref="G16:G34" si="3">(F16/C16)</f>
        <v>0.99159663865546221</v>
      </c>
      <c r="H16" s="225"/>
    </row>
    <row r="17" spans="1:8" s="41" customFormat="1" ht="25.9" customHeight="1" x14ac:dyDescent="0.3">
      <c r="A17" s="209">
        <v>10</v>
      </c>
      <c r="B17" s="222" t="s">
        <v>334</v>
      </c>
      <c r="C17" s="223">
        <v>39887</v>
      </c>
      <c r="D17" s="223">
        <v>49393</v>
      </c>
      <c r="E17" s="223"/>
      <c r="F17" s="223">
        <f t="shared" si="2"/>
        <v>49393</v>
      </c>
      <c r="G17" s="224">
        <f t="shared" si="3"/>
        <v>1.2383232632185925</v>
      </c>
      <c r="H17" s="225"/>
    </row>
    <row r="18" spans="1:8" s="41" customFormat="1" ht="25.9" customHeight="1" x14ac:dyDescent="0.3">
      <c r="A18" s="209">
        <v>11</v>
      </c>
      <c r="B18" s="222" t="s">
        <v>335</v>
      </c>
      <c r="C18" s="223">
        <v>52463</v>
      </c>
      <c r="D18" s="223">
        <v>65687</v>
      </c>
      <c r="E18" s="223"/>
      <c r="F18" s="223">
        <f t="shared" si="2"/>
        <v>65687</v>
      </c>
      <c r="G18" s="224">
        <f t="shared" si="3"/>
        <v>1.2520633589386807</v>
      </c>
      <c r="H18" s="225"/>
    </row>
    <row r="19" spans="1:8" s="41" customFormat="1" ht="22.5" customHeight="1" x14ac:dyDescent="0.3">
      <c r="A19" s="209">
        <v>12</v>
      </c>
      <c r="B19" s="222" t="s">
        <v>336</v>
      </c>
      <c r="C19" s="223">
        <v>26160</v>
      </c>
      <c r="D19" s="223">
        <v>39900</v>
      </c>
      <c r="E19" s="223"/>
      <c r="F19" s="223">
        <f t="shared" si="2"/>
        <v>39900</v>
      </c>
      <c r="G19" s="224">
        <f t="shared" si="3"/>
        <v>1.525229357798165</v>
      </c>
      <c r="H19" s="225"/>
    </row>
    <row r="20" spans="1:8" s="41" customFormat="1" ht="22.5" customHeight="1" x14ac:dyDescent="0.3">
      <c r="A20" s="209">
        <v>13</v>
      </c>
      <c r="B20" s="222" t="s">
        <v>410</v>
      </c>
      <c r="C20" s="223">
        <v>22000</v>
      </c>
      <c r="D20" s="223">
        <v>32245</v>
      </c>
      <c r="E20" s="223"/>
      <c r="F20" s="223">
        <f t="shared" si="2"/>
        <v>32245</v>
      </c>
      <c r="G20" s="224">
        <f t="shared" si="3"/>
        <v>1.4656818181818181</v>
      </c>
      <c r="H20" s="225"/>
    </row>
    <row r="21" spans="1:8" s="41" customFormat="1" ht="22.5" customHeight="1" x14ac:dyDescent="0.3">
      <c r="A21" s="209">
        <v>14</v>
      </c>
      <c r="B21" s="222" t="s">
        <v>411</v>
      </c>
      <c r="C21" s="223">
        <v>8500</v>
      </c>
      <c r="D21" s="223">
        <v>13780</v>
      </c>
      <c r="E21" s="223"/>
      <c r="F21" s="223">
        <f t="shared" si="2"/>
        <v>13780</v>
      </c>
      <c r="G21" s="224">
        <f t="shared" si="3"/>
        <v>1.6211764705882352</v>
      </c>
      <c r="H21" s="225"/>
    </row>
    <row r="22" spans="1:8" s="41" customFormat="1" ht="22.5" customHeight="1" x14ac:dyDescent="0.3">
      <c r="A22" s="209">
        <v>15</v>
      </c>
      <c r="B22" s="222" t="s">
        <v>550</v>
      </c>
      <c r="C22" s="223">
        <v>54369</v>
      </c>
      <c r="D22" s="223">
        <v>54612</v>
      </c>
      <c r="E22" s="223"/>
      <c r="F22" s="223">
        <f t="shared" si="2"/>
        <v>54612</v>
      </c>
      <c r="G22" s="224">
        <f t="shared" si="3"/>
        <v>1.0044694586988909</v>
      </c>
      <c r="H22" s="225"/>
    </row>
    <row r="23" spans="1:8" s="41" customFormat="1" ht="22.5" customHeight="1" x14ac:dyDescent="0.3">
      <c r="A23" s="209">
        <v>16</v>
      </c>
      <c r="B23" s="222" t="s">
        <v>337</v>
      </c>
      <c r="C23" s="223">
        <v>9398</v>
      </c>
      <c r="D23" s="223">
        <v>19290</v>
      </c>
      <c r="E23" s="223"/>
      <c r="F23" s="223">
        <f t="shared" si="2"/>
        <v>19290</v>
      </c>
      <c r="G23" s="224">
        <f t="shared" si="3"/>
        <v>2.052564375399021</v>
      </c>
      <c r="H23" s="225"/>
    </row>
    <row r="24" spans="1:8" s="41" customFormat="1" ht="22.5" customHeight="1" x14ac:dyDescent="0.3">
      <c r="A24" s="209">
        <v>17</v>
      </c>
      <c r="B24" s="222" t="s">
        <v>338</v>
      </c>
      <c r="C24" s="223">
        <v>111469</v>
      </c>
      <c r="D24" s="223">
        <f>142747+30058</f>
        <v>172805</v>
      </c>
      <c r="E24" s="223"/>
      <c r="F24" s="223">
        <f t="shared" si="2"/>
        <v>172805</v>
      </c>
      <c r="G24" s="224">
        <f t="shared" si="3"/>
        <v>1.5502516394692696</v>
      </c>
      <c r="H24" s="225"/>
    </row>
    <row r="25" spans="1:8" s="41" customFormat="1" ht="22.5" customHeight="1" x14ac:dyDescent="0.3">
      <c r="A25" s="209">
        <v>18</v>
      </c>
      <c r="B25" s="222" t="s">
        <v>339</v>
      </c>
      <c r="C25" s="223">
        <v>482460</v>
      </c>
      <c r="D25" s="223">
        <v>501906</v>
      </c>
      <c r="E25" s="223"/>
      <c r="F25" s="223">
        <f t="shared" si="2"/>
        <v>501906</v>
      </c>
      <c r="G25" s="224">
        <f t="shared" si="3"/>
        <v>1.0403059320979977</v>
      </c>
      <c r="H25" s="225"/>
    </row>
    <row r="26" spans="1:8" s="41" customFormat="1" ht="22.5" customHeight="1" x14ac:dyDescent="0.3">
      <c r="A26" s="209">
        <v>19</v>
      </c>
      <c r="B26" s="222" t="s">
        <v>340</v>
      </c>
      <c r="C26" s="223">
        <v>133</v>
      </c>
      <c r="D26" s="223">
        <v>76</v>
      </c>
      <c r="E26" s="223"/>
      <c r="F26" s="223">
        <f t="shared" si="2"/>
        <v>76</v>
      </c>
      <c r="G26" s="224">
        <f t="shared" si="3"/>
        <v>0.5714285714285714</v>
      </c>
      <c r="H26" s="225"/>
    </row>
    <row r="27" spans="1:8" s="41" customFormat="1" ht="22.5" customHeight="1" x14ac:dyDescent="0.3">
      <c r="A27" s="209">
        <v>20</v>
      </c>
      <c r="B27" s="222" t="s">
        <v>412</v>
      </c>
      <c r="C27" s="223">
        <v>438299</v>
      </c>
      <c r="D27" s="223">
        <v>456349</v>
      </c>
      <c r="E27" s="223"/>
      <c r="F27" s="223">
        <f t="shared" si="2"/>
        <v>456349</v>
      </c>
      <c r="G27" s="224">
        <f t="shared" si="3"/>
        <v>1.0411819328814349</v>
      </c>
      <c r="H27" s="225"/>
    </row>
    <row r="28" spans="1:8" s="559" customFormat="1" ht="34.5" customHeight="1" x14ac:dyDescent="0.2">
      <c r="A28" s="209">
        <v>21</v>
      </c>
      <c r="B28" s="226" t="s">
        <v>341</v>
      </c>
      <c r="C28" s="227">
        <f>SUM(C29:C34)</f>
        <v>766792</v>
      </c>
      <c r="D28" s="227">
        <f>SUM(D29:D34)</f>
        <v>461283</v>
      </c>
      <c r="E28" s="227">
        <f>SUM(E29:E34)</f>
        <v>417327</v>
      </c>
      <c r="F28" s="227">
        <f>SUM(F29:F34)</f>
        <v>878610</v>
      </c>
      <c r="G28" s="217">
        <f t="shared" si="3"/>
        <v>1.1458257258813342</v>
      </c>
      <c r="H28" s="558"/>
    </row>
    <row r="29" spans="1:8" s="560" customFormat="1" ht="25.5" customHeight="1" x14ac:dyDescent="0.2">
      <c r="A29" s="209">
        <v>22</v>
      </c>
      <c r="B29" s="228" t="s">
        <v>342</v>
      </c>
      <c r="C29" s="229">
        <v>117500</v>
      </c>
      <c r="D29" s="229">
        <v>120660</v>
      </c>
      <c r="E29" s="229"/>
      <c r="F29" s="229">
        <f>SUM(D29:E29)</f>
        <v>120660</v>
      </c>
      <c r="G29" s="224">
        <f t="shared" si="3"/>
        <v>1.0268936170212766</v>
      </c>
      <c r="H29" s="557"/>
    </row>
    <row r="30" spans="1:8" s="560" customFormat="1" ht="25.5" customHeight="1" x14ac:dyDescent="0.2">
      <c r="A30" s="209">
        <v>23</v>
      </c>
      <c r="B30" s="228" t="s">
        <v>343</v>
      </c>
      <c r="C30" s="229">
        <v>140200</v>
      </c>
      <c r="D30" s="229">
        <v>140200</v>
      </c>
      <c r="E30" s="229"/>
      <c r="F30" s="229">
        <f t="shared" ref="F30:F34" si="4">SUM(D30:E30)</f>
        <v>140200</v>
      </c>
      <c r="G30" s="224">
        <f t="shared" si="3"/>
        <v>1</v>
      </c>
      <c r="H30" s="557"/>
    </row>
    <row r="31" spans="1:8" s="560" customFormat="1" ht="25.5" customHeight="1" x14ac:dyDescent="0.2">
      <c r="A31" s="209">
        <v>24</v>
      </c>
      <c r="B31" s="228" t="s">
        <v>344</v>
      </c>
      <c r="C31" s="229">
        <v>25588</v>
      </c>
      <c r="D31" s="229">
        <v>25675</v>
      </c>
      <c r="E31" s="229"/>
      <c r="F31" s="229">
        <f t="shared" si="4"/>
        <v>25675</v>
      </c>
      <c r="G31" s="224">
        <f t="shared" si="3"/>
        <v>1.0034000312646554</v>
      </c>
      <c r="H31" s="557"/>
    </row>
    <row r="32" spans="1:8" s="560" customFormat="1" ht="25.5" customHeight="1" x14ac:dyDescent="0.2">
      <c r="A32" s="209">
        <v>25</v>
      </c>
      <c r="B32" s="228" t="s">
        <v>345</v>
      </c>
      <c r="C32" s="229">
        <v>149704</v>
      </c>
      <c r="D32" s="229">
        <v>150648</v>
      </c>
      <c r="E32" s="229"/>
      <c r="F32" s="229">
        <f t="shared" si="4"/>
        <v>150648</v>
      </c>
      <c r="G32" s="224">
        <f>(F32/C32)</f>
        <v>1.0063057767327526</v>
      </c>
      <c r="H32" s="557"/>
    </row>
    <row r="33" spans="1:8" s="560" customFormat="1" ht="25.5" customHeight="1" x14ac:dyDescent="0.2">
      <c r="A33" s="209">
        <v>26</v>
      </c>
      <c r="B33" s="228" t="s">
        <v>1065</v>
      </c>
      <c r="C33" s="229">
        <v>308800</v>
      </c>
      <c r="D33" s="793"/>
      <c r="E33" s="1942">
        <v>417327</v>
      </c>
      <c r="F33" s="229">
        <f t="shared" si="4"/>
        <v>417327</v>
      </c>
      <c r="G33" s="224">
        <f>(F33/C33)</f>
        <v>1.3514475388601037</v>
      </c>
      <c r="H33" s="557"/>
    </row>
    <row r="34" spans="1:8" s="560" customFormat="1" ht="25.5" customHeight="1" thickBot="1" x14ac:dyDescent="0.25">
      <c r="A34" s="209">
        <v>27</v>
      </c>
      <c r="B34" s="228" t="s">
        <v>346</v>
      </c>
      <c r="C34" s="229">
        <v>25000</v>
      </c>
      <c r="D34" s="229">
        <v>24100</v>
      </c>
      <c r="E34" s="229"/>
      <c r="F34" s="229">
        <f t="shared" si="4"/>
        <v>24100</v>
      </c>
      <c r="G34" s="224">
        <f t="shared" si="3"/>
        <v>0.96399999999999997</v>
      </c>
      <c r="H34" s="557"/>
    </row>
    <row r="35" spans="1:8" s="233" customFormat="1" ht="36" customHeight="1" thickBot="1" x14ac:dyDescent="0.25">
      <c r="A35" s="209">
        <v>28</v>
      </c>
      <c r="B35" s="230" t="s">
        <v>13</v>
      </c>
      <c r="C35" s="231">
        <f>SUM(C8:C9,C14,C28)</f>
        <v>3194545</v>
      </c>
      <c r="D35" s="231">
        <f>SUM(D8:D9,D14,D28)</f>
        <v>3066627</v>
      </c>
      <c r="E35" s="231">
        <f t="shared" ref="E35:F35" si="5">SUM(E8:E9,E14,E28)</f>
        <v>431087</v>
      </c>
      <c r="F35" s="231">
        <f t="shared" si="5"/>
        <v>3497714</v>
      </c>
      <c r="G35" s="232">
        <f>(F35/C35)</f>
        <v>1.0949020909080949</v>
      </c>
      <c r="H35" s="218"/>
    </row>
    <row r="36" spans="1:8" ht="50.1" customHeight="1" x14ac:dyDescent="0.3">
      <c r="B36" s="2081" t="s">
        <v>1066</v>
      </c>
      <c r="C36" s="2081"/>
      <c r="D36" s="2081"/>
      <c r="E36" s="2081"/>
      <c r="F36" s="2081"/>
      <c r="G36" s="2081"/>
    </row>
  </sheetData>
  <mergeCells count="12">
    <mergeCell ref="B1:C1"/>
    <mergeCell ref="D1:G1"/>
    <mergeCell ref="B2:G2"/>
    <mergeCell ref="B36:G36"/>
    <mergeCell ref="I2:N2"/>
    <mergeCell ref="B3:G3"/>
    <mergeCell ref="I3:N3"/>
    <mergeCell ref="B6:B7"/>
    <mergeCell ref="C6:C7"/>
    <mergeCell ref="D6:D7"/>
    <mergeCell ref="E6:E7"/>
    <mergeCell ref="F6:F7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67" fitToHeight="2" orientation="portrait" r:id="rId1"/>
  <headerFooter alignWithMargins="0"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view="pageBreakPreview" zoomScale="85" zoomScaleNormal="100" zoomScaleSheetLayoutView="85" workbookViewId="0">
      <selection activeCell="B1" sqref="B1:M1"/>
    </sheetView>
  </sheetViews>
  <sheetFormatPr defaultColWidth="9.140625" defaultRowHeight="16.5" x14ac:dyDescent="0.3"/>
  <cols>
    <col min="1" max="1" width="3.7109375" style="893" customWidth="1"/>
    <col min="2" max="2" width="5.7109375" style="112" customWidth="1"/>
    <col min="3" max="5" width="5.7109375" style="114" customWidth="1"/>
    <col min="6" max="6" width="59.7109375" style="73" customWidth="1"/>
    <col min="7" max="10" width="13.7109375" style="73" customWidth="1"/>
    <col min="11" max="13" width="15.7109375" style="73" customWidth="1"/>
    <col min="14" max="16384" width="9.140625" style="73"/>
  </cols>
  <sheetData>
    <row r="1" spans="1:13" ht="17.25" x14ac:dyDescent="0.35">
      <c r="A1" s="77"/>
      <c r="B1" s="2092" t="s">
        <v>1305</v>
      </c>
      <c r="C1" s="2092"/>
      <c r="D1" s="2092"/>
      <c r="E1" s="2092"/>
      <c r="F1" s="2092"/>
      <c r="G1" s="2092"/>
      <c r="H1" s="2092"/>
      <c r="I1" s="2092"/>
      <c r="J1" s="2092"/>
      <c r="K1" s="2092"/>
      <c r="L1" s="2092"/>
      <c r="M1" s="2092"/>
    </row>
    <row r="2" spans="1:13" x14ac:dyDescent="0.3">
      <c r="A2" s="77"/>
      <c r="B2" s="2093" t="s">
        <v>1290</v>
      </c>
      <c r="C2" s="2093"/>
      <c r="D2" s="2093"/>
      <c r="E2" s="2093"/>
      <c r="F2" s="2093"/>
      <c r="G2" s="2093"/>
      <c r="H2" s="2093"/>
      <c r="I2" s="2093"/>
      <c r="J2" s="2093"/>
      <c r="K2" s="2093"/>
      <c r="L2" s="2093"/>
      <c r="M2" s="2093"/>
    </row>
    <row r="3" spans="1:13" x14ac:dyDescent="0.3">
      <c r="A3" s="77"/>
      <c r="B3" s="2047"/>
      <c r="C3" s="2047"/>
      <c r="D3" s="2047"/>
      <c r="E3" s="2047"/>
      <c r="F3" s="2047"/>
      <c r="G3" s="2047"/>
      <c r="H3" s="2047"/>
      <c r="I3" s="2047"/>
      <c r="J3" s="2047"/>
      <c r="K3" s="2047"/>
      <c r="L3" s="2047"/>
      <c r="M3" s="2047"/>
    </row>
    <row r="4" spans="1:13" s="76" customFormat="1" ht="24.95" customHeight="1" x14ac:dyDescent="0.2">
      <c r="A4" s="893"/>
      <c r="B4" s="2091" t="s">
        <v>172</v>
      </c>
      <c r="C4" s="2091"/>
      <c r="D4" s="2091"/>
      <c r="E4" s="2091"/>
      <c r="F4" s="2091"/>
      <c r="G4" s="2091"/>
      <c r="H4" s="2091"/>
      <c r="I4" s="2091"/>
      <c r="J4" s="2091"/>
      <c r="K4" s="2091"/>
      <c r="L4" s="2091"/>
      <c r="M4" s="2091"/>
    </row>
    <row r="5" spans="1:13" s="76" customFormat="1" ht="24.95" customHeight="1" x14ac:dyDescent="0.2">
      <c r="A5" s="893"/>
      <c r="B5" s="2091" t="s">
        <v>1279</v>
      </c>
      <c r="C5" s="2091"/>
      <c r="D5" s="2091"/>
      <c r="E5" s="2091"/>
      <c r="F5" s="2091"/>
      <c r="G5" s="2091"/>
      <c r="H5" s="2091"/>
      <c r="I5" s="2091"/>
      <c r="J5" s="2091"/>
      <c r="K5" s="2091"/>
      <c r="L5" s="2091"/>
      <c r="M5" s="2091"/>
    </row>
    <row r="6" spans="1:13" ht="17.25" x14ac:dyDescent="0.35">
      <c r="C6" s="113"/>
      <c r="E6" s="113"/>
      <c r="F6" s="113"/>
      <c r="G6" s="113"/>
      <c r="H6" s="74"/>
      <c r="K6" s="405"/>
      <c r="M6" s="405" t="s">
        <v>0</v>
      </c>
    </row>
    <row r="7" spans="1:13" s="114" customFormat="1" ht="18" customHeight="1" thickBot="1" x14ac:dyDescent="0.35">
      <c r="A7" s="893"/>
      <c r="B7" s="112" t="s">
        <v>1</v>
      </c>
      <c r="C7" s="114" t="s">
        <v>3</v>
      </c>
      <c r="D7" s="114" t="s">
        <v>2</v>
      </c>
      <c r="E7" s="114" t="s">
        <v>4</v>
      </c>
      <c r="F7" s="114" t="s">
        <v>5</v>
      </c>
      <c r="G7" s="114" t="s">
        <v>15</v>
      </c>
      <c r="H7" s="114" t="s">
        <v>16</v>
      </c>
      <c r="I7" s="406" t="s">
        <v>17</v>
      </c>
      <c r="J7" s="406" t="s">
        <v>36</v>
      </c>
      <c r="K7" s="406" t="s">
        <v>30</v>
      </c>
      <c r="L7" s="114" t="s">
        <v>23</v>
      </c>
      <c r="M7" s="114" t="s">
        <v>37</v>
      </c>
    </row>
    <row r="8" spans="1:13" s="77" customFormat="1" ht="80.099999999999994" customHeight="1" thickBot="1" x14ac:dyDescent="0.25">
      <c r="A8" s="893"/>
      <c r="B8" s="407" t="s">
        <v>204</v>
      </c>
      <c r="C8" s="408" t="s">
        <v>19</v>
      </c>
      <c r="D8" s="394" t="s">
        <v>664</v>
      </c>
      <c r="E8" s="394" t="s">
        <v>666</v>
      </c>
      <c r="F8" s="409" t="s">
        <v>6</v>
      </c>
      <c r="G8" s="308" t="s">
        <v>655</v>
      </c>
      <c r="H8" s="308" t="s">
        <v>631</v>
      </c>
      <c r="I8" s="398" t="s">
        <v>1061</v>
      </c>
      <c r="J8" s="1301" t="s">
        <v>962</v>
      </c>
      <c r="K8" s="1915" t="s">
        <v>1149</v>
      </c>
      <c r="L8" s="1310" t="s">
        <v>123</v>
      </c>
      <c r="M8" s="1295" t="s">
        <v>1150</v>
      </c>
    </row>
    <row r="9" spans="1:13" s="82" customFormat="1" ht="30" customHeight="1" x14ac:dyDescent="0.35">
      <c r="A9" s="893">
        <v>1</v>
      </c>
      <c r="B9" s="390" t="s">
        <v>547</v>
      </c>
      <c r="C9" s="78"/>
      <c r="D9" s="79"/>
      <c r="E9" s="78"/>
      <c r="F9" s="80" t="s">
        <v>205</v>
      </c>
      <c r="G9" s="81">
        <f>SUM(G10:G11)</f>
        <v>7353582</v>
      </c>
      <c r="H9" s="81">
        <f>SUM(H10:H11)</f>
        <v>7596089</v>
      </c>
      <c r="I9" s="81">
        <f>SUM(I10:I11)</f>
        <v>8054296</v>
      </c>
      <c r="J9" s="1322">
        <f>SUM(J10:J11)</f>
        <v>8038573</v>
      </c>
      <c r="K9" s="81">
        <f>SUM(K10:K11)</f>
        <v>8985521</v>
      </c>
      <c r="L9" s="81">
        <f t="shared" ref="L9" si="0">SUM(L10:L11)</f>
        <v>-75620</v>
      </c>
      <c r="M9" s="1332">
        <f>SUM(M10:M11)</f>
        <v>8909901</v>
      </c>
    </row>
    <row r="10" spans="1:13" ht="26.1" customHeight="1" x14ac:dyDescent="0.3">
      <c r="A10" s="893">
        <v>2</v>
      </c>
      <c r="B10" s="83"/>
      <c r="C10" s="84"/>
      <c r="D10" s="84">
        <v>1</v>
      </c>
      <c r="E10" s="84"/>
      <c r="F10" s="85" t="s">
        <v>39</v>
      </c>
      <c r="G10" s="85">
        <v>7197678</v>
      </c>
      <c r="H10" s="85">
        <v>7431316</v>
      </c>
      <c r="I10" s="85">
        <v>7776616</v>
      </c>
      <c r="J10" s="1323">
        <v>7971537</v>
      </c>
      <c r="K10" s="85">
        <v>8813666</v>
      </c>
      <c r="L10" s="85">
        <v>-95562</v>
      </c>
      <c r="M10" s="1333">
        <f>SUM(K10:L10)</f>
        <v>8718104</v>
      </c>
    </row>
    <row r="11" spans="1:13" ht="25.5" customHeight="1" x14ac:dyDescent="0.3">
      <c r="A11" s="893">
        <v>3</v>
      </c>
      <c r="B11" s="83"/>
      <c r="C11" s="84"/>
      <c r="D11" s="84">
        <v>2</v>
      </c>
      <c r="E11" s="84"/>
      <c r="F11" s="85" t="s">
        <v>163</v>
      </c>
      <c r="G11" s="85">
        <f>SUM(G12:G13)</f>
        <v>155904</v>
      </c>
      <c r="H11" s="85">
        <f>SUM(H12:H13)</f>
        <v>164773</v>
      </c>
      <c r="I11" s="85">
        <f>SUM(I12:I13)</f>
        <v>277680</v>
      </c>
      <c r="J11" s="1323">
        <f>SUM(J12:J13)</f>
        <v>67036</v>
      </c>
      <c r="K11" s="85">
        <f>SUM(K12:K13)</f>
        <v>171855</v>
      </c>
      <c r="L11" s="85">
        <f t="shared" ref="L11:M11" si="1">SUM(L12:L13)</f>
        <v>19942</v>
      </c>
      <c r="M11" s="1333">
        <f t="shared" si="1"/>
        <v>191797</v>
      </c>
    </row>
    <row r="12" spans="1:13" x14ac:dyDescent="0.3">
      <c r="A12" s="893">
        <v>4</v>
      </c>
      <c r="B12" s="83"/>
      <c r="C12" s="84"/>
      <c r="D12" s="84"/>
      <c r="E12" s="84">
        <v>1</v>
      </c>
      <c r="F12" s="86" t="s">
        <v>231</v>
      </c>
      <c r="G12" s="85">
        <v>155449</v>
      </c>
      <c r="H12" s="85">
        <v>164773</v>
      </c>
      <c r="I12" s="85">
        <v>277321</v>
      </c>
      <c r="J12" s="1323">
        <v>67036</v>
      </c>
      <c r="K12" s="85">
        <v>168700</v>
      </c>
      <c r="L12" s="85">
        <v>19980</v>
      </c>
      <c r="M12" s="1333">
        <f>SUM(K12:L12)</f>
        <v>188680</v>
      </c>
    </row>
    <row r="13" spans="1:13" x14ac:dyDescent="0.3">
      <c r="A13" s="893">
        <v>5</v>
      </c>
      <c r="B13" s="83"/>
      <c r="C13" s="84"/>
      <c r="D13" s="84"/>
      <c r="E13" s="84">
        <v>2</v>
      </c>
      <c r="F13" s="86" t="s">
        <v>232</v>
      </c>
      <c r="G13" s="85">
        <v>455</v>
      </c>
      <c r="H13" s="85"/>
      <c r="I13" s="85">
        <v>359</v>
      </c>
      <c r="J13" s="1323"/>
      <c r="K13" s="85">
        <v>3155</v>
      </c>
      <c r="L13" s="85">
        <v>-38</v>
      </c>
      <c r="M13" s="1333">
        <f>SUM(K13:L13)</f>
        <v>3117</v>
      </c>
    </row>
    <row r="14" spans="1:13" s="82" customFormat="1" ht="30" customHeight="1" x14ac:dyDescent="0.35">
      <c r="A14" s="893">
        <v>6</v>
      </c>
      <c r="B14" s="391" t="s">
        <v>548</v>
      </c>
      <c r="C14" s="87"/>
      <c r="D14" s="88"/>
      <c r="E14" s="88"/>
      <c r="F14" s="89" t="s">
        <v>127</v>
      </c>
      <c r="G14" s="89">
        <f t="shared" ref="G14:M14" si="2">SUM(G15:G16,G27,G28)</f>
        <v>13225053</v>
      </c>
      <c r="H14" s="89">
        <f t="shared" si="2"/>
        <v>19900460</v>
      </c>
      <c r="I14" s="89">
        <f t="shared" si="2"/>
        <v>11881117</v>
      </c>
      <c r="J14" s="1324">
        <f t="shared" si="2"/>
        <v>29513701</v>
      </c>
      <c r="K14" s="89">
        <f t="shared" si="2"/>
        <v>30611721</v>
      </c>
      <c r="L14" s="89">
        <f t="shared" si="2"/>
        <v>230960</v>
      </c>
      <c r="M14" s="1334">
        <f t="shared" si="2"/>
        <v>30842681</v>
      </c>
    </row>
    <row r="15" spans="1:13" s="82" customFormat="1" ht="25.5" customHeight="1" x14ac:dyDescent="0.35">
      <c r="A15" s="893">
        <v>7</v>
      </c>
      <c r="B15" s="83"/>
      <c r="C15" s="90"/>
      <c r="D15" s="84">
        <v>1</v>
      </c>
      <c r="E15" s="90"/>
      <c r="F15" s="91" t="s">
        <v>39</v>
      </c>
      <c r="G15" s="91">
        <v>4718378</v>
      </c>
      <c r="H15" s="91">
        <v>5579739</v>
      </c>
      <c r="I15" s="91">
        <v>6400942</v>
      </c>
      <c r="J15" s="1325">
        <v>6655947</v>
      </c>
      <c r="K15" s="91">
        <v>6163654</v>
      </c>
      <c r="L15" s="91">
        <f>'6.Önk.műk.'!I982+'7.Beruh.'!I331+'8.Felúj.'!I137+'8.Projekt'!I209+'8.Projekt'!J209+'8.Projekt'!K209+'8.Projekt'!L209+'10.MVP és hazai'!I78+'10.MVP és hazai'!J78+'10.MVP és hazai'!K78+'10.MVP és hazai'!L78+'9.EKF'!I187+'9.EKF'!J187+'9.EKF'!K187+'9.EKF'!L187</f>
        <v>225156</v>
      </c>
      <c r="M15" s="1335">
        <f>SUM(K15:L15)</f>
        <v>6388810</v>
      </c>
    </row>
    <row r="16" spans="1:13" ht="25.5" customHeight="1" x14ac:dyDescent="0.35">
      <c r="A16" s="893">
        <v>8</v>
      </c>
      <c r="B16" s="83"/>
      <c r="C16" s="90"/>
      <c r="D16" s="90"/>
      <c r="E16" s="90"/>
      <c r="F16" s="91" t="s">
        <v>206</v>
      </c>
      <c r="G16" s="91">
        <f>SUM(G17,G23)</f>
        <v>0</v>
      </c>
      <c r="H16" s="91">
        <f>SUM(H17,H23)</f>
        <v>394518</v>
      </c>
      <c r="I16" s="91">
        <f>SUM(I17,I23)</f>
        <v>0</v>
      </c>
      <c r="J16" s="1325">
        <f>SUM(J17,J23)</f>
        <v>520204</v>
      </c>
      <c r="K16" s="91">
        <f>SUM(K17,K23)</f>
        <v>571250</v>
      </c>
      <c r="L16" s="91">
        <f t="shared" ref="L16:M16" si="3">SUM(L17,L23)</f>
        <v>-67080</v>
      </c>
      <c r="M16" s="1335">
        <f t="shared" si="3"/>
        <v>504170</v>
      </c>
    </row>
    <row r="17" spans="1:15" s="95" customFormat="1" ht="25.5" customHeight="1" x14ac:dyDescent="0.35">
      <c r="A17" s="893">
        <v>9</v>
      </c>
      <c r="B17" s="392"/>
      <c r="C17" s="92"/>
      <c r="D17" s="84">
        <v>1</v>
      </c>
      <c r="E17" s="92"/>
      <c r="F17" s="93" t="s">
        <v>600</v>
      </c>
      <c r="G17" s="94">
        <f>SUM(G18:G21)</f>
        <v>0</v>
      </c>
      <c r="H17" s="94">
        <f>SUM(H18:H21)</f>
        <v>105109</v>
      </c>
      <c r="I17" s="94">
        <f>SUM(I18:I22)</f>
        <v>0</v>
      </c>
      <c r="J17" s="1326">
        <f>SUM(J18:J21)</f>
        <v>135616</v>
      </c>
      <c r="K17" s="94">
        <f>SUM(K18:K21)</f>
        <v>77662</v>
      </c>
      <c r="L17" s="94">
        <f>SUM(L18:L21)</f>
        <v>-67080</v>
      </c>
      <c r="M17" s="1336">
        <f>SUM(K17:L17)</f>
        <v>10582</v>
      </c>
    </row>
    <row r="18" spans="1:15" ht="17.25" x14ac:dyDescent="0.35">
      <c r="A18" s="893">
        <v>10</v>
      </c>
      <c r="B18" s="83"/>
      <c r="C18" s="84"/>
      <c r="D18" s="84"/>
      <c r="E18" s="84"/>
      <c r="F18" s="96" t="s">
        <v>207</v>
      </c>
      <c r="G18" s="85"/>
      <c r="H18" s="85">
        <v>76368</v>
      </c>
      <c r="I18" s="85"/>
      <c r="J18" s="1323">
        <v>111616</v>
      </c>
      <c r="K18" s="85">
        <v>77662</v>
      </c>
      <c r="L18" s="85">
        <v>-67080</v>
      </c>
      <c r="M18" s="1336">
        <f t="shared" ref="M18:M22" si="4">SUM(K18:L18)</f>
        <v>10582</v>
      </c>
    </row>
    <row r="19" spans="1:15" ht="17.25" x14ac:dyDescent="0.35">
      <c r="A19" s="893">
        <v>11</v>
      </c>
      <c r="B19" s="83"/>
      <c r="C19" s="84"/>
      <c r="D19" s="84"/>
      <c r="E19" s="84"/>
      <c r="F19" s="96" t="s">
        <v>802</v>
      </c>
      <c r="G19" s="85"/>
      <c r="H19" s="85">
        <v>24000</v>
      </c>
      <c r="I19" s="85"/>
      <c r="J19" s="1323">
        <v>24000</v>
      </c>
      <c r="K19" s="85">
        <v>0</v>
      </c>
      <c r="L19" s="85"/>
      <c r="M19" s="1336">
        <f t="shared" si="4"/>
        <v>0</v>
      </c>
    </row>
    <row r="20" spans="1:15" ht="17.25" x14ac:dyDescent="0.35">
      <c r="A20" s="893">
        <v>12</v>
      </c>
      <c r="B20" s="83"/>
      <c r="C20" s="84"/>
      <c r="D20" s="84"/>
      <c r="E20" s="84"/>
      <c r="F20" s="96" t="s">
        <v>619</v>
      </c>
      <c r="G20" s="85"/>
      <c r="H20" s="85">
        <v>4741</v>
      </c>
      <c r="I20" s="85"/>
      <c r="J20" s="1323"/>
      <c r="K20" s="85"/>
      <c r="L20" s="85"/>
      <c r="M20" s="1336">
        <f t="shared" si="4"/>
        <v>0</v>
      </c>
    </row>
    <row r="21" spans="1:15" ht="17.25" x14ac:dyDescent="0.35">
      <c r="A21" s="893">
        <v>13</v>
      </c>
      <c r="B21" s="83"/>
      <c r="C21" s="84"/>
      <c r="D21" s="84"/>
      <c r="E21" s="84"/>
      <c r="F21" s="96" t="s">
        <v>658</v>
      </c>
      <c r="G21" s="85"/>
      <c r="H21" s="85"/>
      <c r="I21" s="85"/>
      <c r="J21" s="1323"/>
      <c r="K21" s="85"/>
      <c r="L21" s="85"/>
      <c r="M21" s="1336">
        <f t="shared" si="4"/>
        <v>0</v>
      </c>
    </row>
    <row r="22" spans="1:15" ht="17.25" x14ac:dyDescent="0.35">
      <c r="A22" s="893">
        <v>14</v>
      </c>
      <c r="B22" s="83"/>
      <c r="C22" s="84"/>
      <c r="D22" s="84"/>
      <c r="E22" s="84"/>
      <c r="F22" s="96" t="s">
        <v>659</v>
      </c>
      <c r="G22" s="85"/>
      <c r="H22" s="85"/>
      <c r="I22" s="85"/>
      <c r="J22" s="1323"/>
      <c r="K22" s="85"/>
      <c r="L22" s="85"/>
      <c r="M22" s="1336">
        <f t="shared" si="4"/>
        <v>0</v>
      </c>
    </row>
    <row r="23" spans="1:15" s="95" customFormat="1" ht="25.5" customHeight="1" x14ac:dyDescent="0.35">
      <c r="A23" s="893">
        <v>15</v>
      </c>
      <c r="B23" s="392"/>
      <c r="C23" s="92"/>
      <c r="D23" s="84">
        <v>2</v>
      </c>
      <c r="E23" s="92"/>
      <c r="F23" s="93" t="s">
        <v>601</v>
      </c>
      <c r="G23" s="94">
        <f>SUM(G24:G26)</f>
        <v>0</v>
      </c>
      <c r="H23" s="94">
        <f>SUM(H24:H26)</f>
        <v>289409</v>
      </c>
      <c r="I23" s="94"/>
      <c r="J23" s="1326">
        <f>SUM(J24:J26)</f>
        <v>384588</v>
      </c>
      <c r="K23" s="94">
        <f>SUM(K24:K26)</f>
        <v>493588</v>
      </c>
      <c r="L23" s="94">
        <f t="shared" ref="L23:M23" si="5">SUM(L24:L26)</f>
        <v>0</v>
      </c>
      <c r="M23" s="1336">
        <f t="shared" si="5"/>
        <v>493588</v>
      </c>
    </row>
    <row r="24" spans="1:15" ht="17.25" x14ac:dyDescent="0.35">
      <c r="A24" s="893">
        <v>16</v>
      </c>
      <c r="B24" s="83"/>
      <c r="C24" s="84"/>
      <c r="D24" s="92"/>
      <c r="E24" s="84"/>
      <c r="F24" s="96" t="s">
        <v>208</v>
      </c>
      <c r="G24" s="85"/>
      <c r="H24" s="85"/>
      <c r="I24" s="85"/>
      <c r="J24" s="1323"/>
      <c r="K24" s="85"/>
      <c r="L24" s="85"/>
      <c r="M24" s="1333"/>
    </row>
    <row r="25" spans="1:15" ht="17.25" x14ac:dyDescent="0.35">
      <c r="A25" s="893">
        <v>17</v>
      </c>
      <c r="B25" s="83"/>
      <c r="C25" s="84"/>
      <c r="D25" s="92"/>
      <c r="E25" s="84"/>
      <c r="F25" s="658" t="s">
        <v>618</v>
      </c>
      <c r="G25" s="85"/>
      <c r="H25" s="659">
        <v>248370</v>
      </c>
      <c r="I25" s="659"/>
      <c r="J25" s="1327"/>
      <c r="K25" s="659">
        <v>109000</v>
      </c>
      <c r="L25" s="85"/>
      <c r="M25" s="1333">
        <f>SUM(K25:L25)</f>
        <v>109000</v>
      </c>
    </row>
    <row r="26" spans="1:15" ht="17.25" x14ac:dyDescent="0.35">
      <c r="A26" s="893">
        <v>18</v>
      </c>
      <c r="B26" s="83"/>
      <c r="C26" s="84"/>
      <c r="D26" s="92"/>
      <c r="E26" s="84"/>
      <c r="F26" s="96" t="s">
        <v>527</v>
      </c>
      <c r="G26" s="85"/>
      <c r="H26" s="85">
        <v>41039</v>
      </c>
      <c r="I26" s="85"/>
      <c r="J26" s="1323">
        <v>384588</v>
      </c>
      <c r="K26" s="85">
        <v>384588</v>
      </c>
      <c r="L26" s="85"/>
      <c r="M26" s="1333">
        <f>SUM(K26:L26)</f>
        <v>384588</v>
      </c>
    </row>
    <row r="27" spans="1:15" s="76" customFormat="1" ht="25.5" customHeight="1" x14ac:dyDescent="0.2">
      <c r="A27" s="893">
        <v>19</v>
      </c>
      <c r="B27" s="393"/>
      <c r="C27" s="97"/>
      <c r="D27" s="97"/>
      <c r="E27" s="97"/>
      <c r="F27" s="98" t="s">
        <v>209</v>
      </c>
      <c r="G27" s="98"/>
      <c r="H27" s="98">
        <v>150000</v>
      </c>
      <c r="I27" s="98"/>
      <c r="J27" s="1328">
        <v>177471</v>
      </c>
      <c r="K27" s="98">
        <v>63922</v>
      </c>
      <c r="L27" s="659">
        <v>-53513</v>
      </c>
      <c r="M27" s="1838">
        <f>SUM(K27:L27)</f>
        <v>10409</v>
      </c>
    </row>
    <row r="28" spans="1:15" s="82" customFormat="1" ht="25.5" customHeight="1" x14ac:dyDescent="0.35">
      <c r="A28" s="893">
        <v>20</v>
      </c>
      <c r="B28" s="83"/>
      <c r="C28" s="90"/>
      <c r="D28" s="84">
        <v>2</v>
      </c>
      <c r="E28" s="90"/>
      <c r="F28" s="91" t="s">
        <v>163</v>
      </c>
      <c r="G28" s="91">
        <f t="shared" ref="G28:L28" si="6">SUM(G29:G31)</f>
        <v>8506675</v>
      </c>
      <c r="H28" s="91">
        <f t="shared" si="6"/>
        <v>13776203</v>
      </c>
      <c r="I28" s="91">
        <f t="shared" si="6"/>
        <v>5480175</v>
      </c>
      <c r="J28" s="1325">
        <f t="shared" si="6"/>
        <v>22160079</v>
      </c>
      <c r="K28" s="91">
        <f t="shared" si="6"/>
        <v>23812895</v>
      </c>
      <c r="L28" s="91">
        <f t="shared" si="6"/>
        <v>126397</v>
      </c>
      <c r="M28" s="1335">
        <f t="shared" ref="M28" si="7">SUM(M29:M31)</f>
        <v>23939292</v>
      </c>
    </row>
    <row r="29" spans="1:15" ht="17.25" x14ac:dyDescent="0.35">
      <c r="A29" s="893">
        <v>21</v>
      </c>
      <c r="B29" s="83"/>
      <c r="C29" s="90"/>
      <c r="D29" s="84"/>
      <c r="E29" s="84">
        <v>1</v>
      </c>
      <c r="F29" s="86" t="s">
        <v>231</v>
      </c>
      <c r="G29" s="85">
        <v>7792799</v>
      </c>
      <c r="H29" s="85">
        <v>13014190</v>
      </c>
      <c r="I29" s="85">
        <v>5000126</v>
      </c>
      <c r="J29" s="1323">
        <v>21222147</v>
      </c>
      <c r="K29" s="85">
        <v>21370591</v>
      </c>
      <c r="L29" s="85">
        <f>'7.Beruh.'!J331+'8.Projekt'!M209+'10.MVP és hazai'!M78+'9.EKF'!M187</f>
        <v>-768907</v>
      </c>
      <c r="M29" s="1333">
        <f>SUM(K29:L29)</f>
        <v>20601684</v>
      </c>
    </row>
    <row r="30" spans="1:15" ht="17.25" x14ac:dyDescent="0.35">
      <c r="A30" s="893">
        <v>22</v>
      </c>
      <c r="B30" s="83"/>
      <c r="C30" s="90"/>
      <c r="D30" s="84"/>
      <c r="E30" s="84">
        <v>2</v>
      </c>
      <c r="F30" s="86" t="s">
        <v>164</v>
      </c>
      <c r="G30" s="85">
        <v>502120</v>
      </c>
      <c r="H30" s="85">
        <v>197022</v>
      </c>
      <c r="I30" s="85">
        <v>55982</v>
      </c>
      <c r="J30" s="1323">
        <v>549493</v>
      </c>
      <c r="K30" s="85">
        <v>2072229</v>
      </c>
      <c r="L30" s="85">
        <f>'7.Beruh.'!K331+'8.Projekt'!N209+'10.MVP és hazai'!N78+'9.EKF'!O187</f>
        <v>895304</v>
      </c>
      <c r="M30" s="1333">
        <f t="shared" ref="M30:M31" si="8">SUM(K30:L30)</f>
        <v>2967533</v>
      </c>
    </row>
    <row r="31" spans="1:15" ht="17.25" x14ac:dyDescent="0.35">
      <c r="A31" s="893">
        <v>23</v>
      </c>
      <c r="B31" s="83"/>
      <c r="C31" s="90"/>
      <c r="D31" s="84"/>
      <c r="E31" s="84">
        <v>3</v>
      </c>
      <c r="F31" s="86" t="s">
        <v>232</v>
      </c>
      <c r="G31" s="85">
        <v>211756</v>
      </c>
      <c r="H31" s="85">
        <v>564991</v>
      </c>
      <c r="I31" s="85">
        <v>424067</v>
      </c>
      <c r="J31" s="1323">
        <v>388439</v>
      </c>
      <c r="K31" s="85">
        <v>370075</v>
      </c>
      <c r="L31" s="85">
        <f>'8.Felúj.'!J137+'9.EKF'!N187</f>
        <v>0</v>
      </c>
      <c r="M31" s="1333">
        <f t="shared" si="8"/>
        <v>370075</v>
      </c>
      <c r="O31" s="85"/>
    </row>
    <row r="32" spans="1:15" s="82" customFormat="1" ht="30" customHeight="1" x14ac:dyDescent="0.35">
      <c r="A32" s="893">
        <v>24</v>
      </c>
      <c r="B32" s="391" t="s">
        <v>548</v>
      </c>
      <c r="C32" s="87"/>
      <c r="D32" s="88"/>
      <c r="E32" s="87"/>
      <c r="F32" s="89" t="s">
        <v>210</v>
      </c>
      <c r="G32" s="89">
        <f>SUM(G33:G34)</f>
        <v>0</v>
      </c>
      <c r="H32" s="89">
        <f>SUM(H33:H34)</f>
        <v>0</v>
      </c>
      <c r="I32" s="89">
        <f>SUM(I33:I34)</f>
        <v>0</v>
      </c>
      <c r="J32" s="1324">
        <f>SUM(J33:J34)</f>
        <v>0</v>
      </c>
      <c r="K32" s="89">
        <f>SUM(K33:K34)</f>
        <v>0</v>
      </c>
      <c r="L32" s="89">
        <f t="shared" ref="L32:M32" si="9">SUM(L33:L34)</f>
        <v>0</v>
      </c>
      <c r="M32" s="1334">
        <f t="shared" si="9"/>
        <v>0</v>
      </c>
    </row>
    <row r="33" spans="1:13" s="75" customFormat="1" ht="24" customHeight="1" x14ac:dyDescent="0.3">
      <c r="A33" s="894">
        <v>25</v>
      </c>
      <c r="B33" s="83"/>
      <c r="C33" s="84"/>
      <c r="D33" s="84">
        <v>1</v>
      </c>
      <c r="E33" s="84"/>
      <c r="F33" s="99" t="s">
        <v>39</v>
      </c>
      <c r="G33" s="108"/>
      <c r="H33" s="108"/>
      <c r="I33" s="108"/>
      <c r="J33" s="1329"/>
      <c r="K33" s="108"/>
      <c r="L33" s="108"/>
      <c r="M33" s="1835"/>
    </row>
    <row r="34" spans="1:13" s="75" customFormat="1" ht="24" customHeight="1" thickBot="1" x14ac:dyDescent="0.35">
      <c r="A34" s="894">
        <v>26</v>
      </c>
      <c r="B34" s="83"/>
      <c r="C34" s="84"/>
      <c r="D34" s="84">
        <v>2</v>
      </c>
      <c r="E34" s="84"/>
      <c r="F34" s="794" t="s">
        <v>163</v>
      </c>
      <c r="G34" s="108"/>
      <c r="H34" s="108"/>
      <c r="I34" s="108"/>
      <c r="J34" s="1329"/>
      <c r="K34" s="108"/>
      <c r="L34" s="108"/>
      <c r="M34" s="1835"/>
    </row>
    <row r="35" spans="1:13" s="98" customFormat="1" ht="39.950000000000003" customHeight="1" thickBot="1" x14ac:dyDescent="0.25">
      <c r="A35" s="893">
        <v>27</v>
      </c>
      <c r="B35" s="104"/>
      <c r="C35" s="105"/>
      <c r="D35" s="106"/>
      <c r="E35" s="105"/>
      <c r="F35" s="107" t="s">
        <v>211</v>
      </c>
      <c r="G35" s="107">
        <f>SUM(G9,G14,G32)</f>
        <v>20578635</v>
      </c>
      <c r="H35" s="107">
        <f>SUM(H9,H14,H32)</f>
        <v>27496549</v>
      </c>
      <c r="I35" s="107">
        <f>SUM(I9,I14,I32)</f>
        <v>19935413</v>
      </c>
      <c r="J35" s="1330">
        <f>SUM(J9,J14,J32)</f>
        <v>37552274</v>
      </c>
      <c r="K35" s="107">
        <f>SUM(K9,K14,K32)</f>
        <v>39597242</v>
      </c>
      <c r="L35" s="107">
        <f t="shared" ref="L35:M35" si="10">SUM(L9,L14,L32)</f>
        <v>155340</v>
      </c>
      <c r="M35" s="1337">
        <f t="shared" si="10"/>
        <v>39752582</v>
      </c>
    </row>
    <row r="36" spans="1:13" s="75" customFormat="1" ht="30" customHeight="1" x14ac:dyDescent="0.35">
      <c r="A36" s="893">
        <v>28</v>
      </c>
      <c r="B36" s="83" t="s">
        <v>548</v>
      </c>
      <c r="C36" s="84"/>
      <c r="D36" s="84"/>
      <c r="E36" s="84"/>
      <c r="F36" s="91" t="s">
        <v>212</v>
      </c>
      <c r="G36" s="91">
        <f>SUM(G40:G41,G37:G38)</f>
        <v>215713</v>
      </c>
      <c r="H36" s="91">
        <f>SUM(H40:H41,H37:H38)</f>
        <v>209635</v>
      </c>
      <c r="I36" s="91">
        <f>SUM(I40:I41,I37:I38)</f>
        <v>241248</v>
      </c>
      <c r="J36" s="1325">
        <f>SUM(J40:J41,J37:J38)</f>
        <v>219771</v>
      </c>
      <c r="K36" s="91">
        <f>SUM(K40:K41,K37:K38)</f>
        <v>219771</v>
      </c>
      <c r="L36" s="91">
        <f t="shared" ref="L36:M36" si="11">SUM(L40:L41,L37:L38)</f>
        <v>0</v>
      </c>
      <c r="M36" s="1335">
        <f t="shared" si="11"/>
        <v>219771</v>
      </c>
    </row>
    <row r="37" spans="1:13" s="75" customFormat="1" x14ac:dyDescent="0.3">
      <c r="A37" s="893">
        <v>29</v>
      </c>
      <c r="B37" s="83"/>
      <c r="C37" s="84"/>
      <c r="D37" s="84">
        <v>1</v>
      </c>
      <c r="E37" s="84"/>
      <c r="F37" s="108" t="s">
        <v>213</v>
      </c>
      <c r="G37" s="108"/>
      <c r="H37" s="108"/>
      <c r="I37" s="108"/>
      <c r="J37" s="1329"/>
      <c r="K37" s="108"/>
      <c r="L37" s="108"/>
      <c r="M37" s="1835"/>
    </row>
    <row r="38" spans="1:13" s="75" customFormat="1" x14ac:dyDescent="0.3">
      <c r="A38" s="893">
        <v>30</v>
      </c>
      <c r="B38" s="83"/>
      <c r="C38" s="84"/>
      <c r="D38" s="84">
        <v>1</v>
      </c>
      <c r="E38" s="84"/>
      <c r="F38" s="108" t="s">
        <v>266</v>
      </c>
      <c r="G38" s="108">
        <v>108118</v>
      </c>
      <c r="H38" s="108">
        <v>96040</v>
      </c>
      <c r="I38" s="108">
        <v>127653</v>
      </c>
      <c r="J38" s="1329">
        <v>111267</v>
      </c>
      <c r="K38" s="108">
        <v>111267</v>
      </c>
      <c r="L38" s="108"/>
      <c r="M38" s="1835">
        <f>SUM(K38:L38)</f>
        <v>111267</v>
      </c>
    </row>
    <row r="39" spans="1:13" x14ac:dyDescent="0.3">
      <c r="A39" s="893">
        <v>31</v>
      </c>
      <c r="B39" s="83"/>
      <c r="C39" s="84"/>
      <c r="D39" s="84">
        <v>2</v>
      </c>
      <c r="E39" s="84"/>
      <c r="F39" s="108" t="s">
        <v>214</v>
      </c>
      <c r="G39" s="85"/>
      <c r="H39" s="85"/>
      <c r="I39" s="85"/>
      <c r="J39" s="1323"/>
      <c r="K39" s="108"/>
      <c r="L39" s="85"/>
      <c r="M39" s="1333"/>
    </row>
    <row r="40" spans="1:13" x14ac:dyDescent="0.3">
      <c r="A40" s="893">
        <v>32</v>
      </c>
      <c r="B40" s="83"/>
      <c r="C40" s="84"/>
      <c r="D40" s="84"/>
      <c r="E40" s="84"/>
      <c r="F40" s="109" t="s">
        <v>215</v>
      </c>
      <c r="G40" s="85">
        <v>107595</v>
      </c>
      <c r="H40" s="85">
        <v>113595</v>
      </c>
      <c r="I40" s="85">
        <v>113595</v>
      </c>
      <c r="J40" s="1323">
        <v>108504</v>
      </c>
      <c r="K40" s="108">
        <v>108504</v>
      </c>
      <c r="L40" s="85"/>
      <c r="M40" s="1333">
        <f>SUM(K40:L40)</f>
        <v>108504</v>
      </c>
    </row>
    <row r="41" spans="1:13" s="103" customFormat="1" ht="18" customHeight="1" thickBot="1" x14ac:dyDescent="0.25">
      <c r="A41" s="893">
        <v>33</v>
      </c>
      <c r="B41" s="100"/>
      <c r="C41" s="101"/>
      <c r="D41" s="101"/>
      <c r="E41" s="101"/>
      <c r="F41" s="110" t="s">
        <v>216</v>
      </c>
      <c r="G41" s="102"/>
      <c r="H41" s="102"/>
      <c r="I41" s="102"/>
      <c r="J41" s="1331"/>
      <c r="K41" s="102"/>
      <c r="L41" s="102"/>
      <c r="M41" s="1836"/>
    </row>
    <row r="42" spans="1:13" s="98" customFormat="1" ht="39.950000000000003" customHeight="1" thickBot="1" x14ac:dyDescent="0.25">
      <c r="A42" s="893">
        <v>34</v>
      </c>
      <c r="B42" s="104"/>
      <c r="C42" s="105"/>
      <c r="D42" s="106"/>
      <c r="E42" s="105"/>
      <c r="F42" s="107" t="s">
        <v>217</v>
      </c>
      <c r="G42" s="107">
        <f>SUM(G35:G36)</f>
        <v>20794348</v>
      </c>
      <c r="H42" s="107">
        <f>SUM(H35:H36)</f>
        <v>27706184</v>
      </c>
      <c r="I42" s="107">
        <f>SUM(I35:I36)</f>
        <v>20176661</v>
      </c>
      <c r="J42" s="1330">
        <f>SUM(J35:J36)</f>
        <v>37772045</v>
      </c>
      <c r="K42" s="107">
        <f>SUM(K35:K36)</f>
        <v>39817013</v>
      </c>
      <c r="L42" s="107">
        <f t="shared" ref="L42:M42" si="12">SUM(L35:L36)</f>
        <v>155340</v>
      </c>
      <c r="M42" s="1337">
        <f t="shared" si="12"/>
        <v>39972353</v>
      </c>
    </row>
    <row r="43" spans="1:13" x14ac:dyDescent="0.3">
      <c r="B43" s="111"/>
      <c r="C43" s="84"/>
      <c r="D43" s="84"/>
      <c r="E43" s="84"/>
      <c r="F43" s="85"/>
      <c r="G43" s="85">
        <f>+'1.Onbe'!G65-'2.Onki'!G42</f>
        <v>13074152</v>
      </c>
      <c r="H43" s="85">
        <f>+'1.Onbe'!H65-'2.Onki'!H42</f>
        <v>0</v>
      </c>
      <c r="I43" s="85">
        <f>+'1.Onbe'!I65-'2.Onki'!I42</f>
        <v>14215038</v>
      </c>
      <c r="J43" s="85"/>
      <c r="K43" s="85">
        <f>+'1.Onbe'!K65-'2.Onki'!K42</f>
        <v>0</v>
      </c>
    </row>
    <row r="44" spans="1:13" x14ac:dyDescent="0.3">
      <c r="B44" s="111"/>
      <c r="C44" s="84"/>
      <c r="D44" s="84"/>
      <c r="E44" s="84"/>
      <c r="F44" s="85"/>
      <c r="G44" s="85"/>
      <c r="H44" s="85"/>
      <c r="I44" s="85"/>
      <c r="J44" s="85"/>
    </row>
    <row r="45" spans="1:13" x14ac:dyDescent="0.3">
      <c r="B45" s="111"/>
      <c r="C45" s="84"/>
      <c r="D45" s="84"/>
      <c r="E45" s="84"/>
      <c r="F45" s="85"/>
      <c r="G45" s="85"/>
      <c r="H45" s="85"/>
      <c r="I45" s="85"/>
      <c r="J45" s="85"/>
    </row>
    <row r="46" spans="1:13" x14ac:dyDescent="0.3">
      <c r="B46" s="111"/>
      <c r="C46" s="84"/>
      <c r="D46" s="84"/>
      <c r="E46" s="84"/>
      <c r="F46" s="85"/>
      <c r="G46" s="85"/>
      <c r="H46" s="85"/>
      <c r="I46" s="85"/>
      <c r="J46" s="85"/>
    </row>
    <row r="47" spans="1:13" ht="17.25" x14ac:dyDescent="0.35">
      <c r="B47" s="111"/>
      <c r="C47" s="90"/>
      <c r="D47" s="84"/>
      <c r="E47" s="90"/>
      <c r="F47" s="91"/>
      <c r="G47" s="91"/>
      <c r="H47" s="91"/>
      <c r="I47" s="91"/>
      <c r="J47" s="91"/>
    </row>
    <row r="48" spans="1:13" x14ac:dyDescent="0.3">
      <c r="B48" s="111"/>
      <c r="C48" s="84"/>
      <c r="D48" s="84"/>
      <c r="E48" s="84"/>
      <c r="F48" s="85"/>
      <c r="G48" s="85"/>
      <c r="H48" s="85"/>
      <c r="I48" s="85"/>
      <c r="J48" s="85"/>
    </row>
    <row r="49" spans="1:10" x14ac:dyDescent="0.3">
      <c r="B49" s="111"/>
      <c r="C49" s="84"/>
      <c r="D49" s="84"/>
      <c r="E49" s="84"/>
      <c r="F49" s="85"/>
      <c r="G49" s="85"/>
      <c r="H49" s="85"/>
      <c r="I49" s="85"/>
      <c r="J49" s="85"/>
    </row>
    <row r="58" spans="1:10" s="82" customFormat="1" ht="17.25" x14ac:dyDescent="0.35">
      <c r="A58" s="895"/>
      <c r="B58" s="112"/>
      <c r="C58" s="113"/>
      <c r="D58" s="114"/>
      <c r="E58" s="113"/>
    </row>
    <row r="63" spans="1:10" s="82" customFormat="1" ht="17.25" x14ac:dyDescent="0.35">
      <c r="A63" s="895"/>
      <c r="B63" s="112"/>
      <c r="C63" s="113"/>
      <c r="D63" s="114"/>
      <c r="E63" s="113"/>
    </row>
    <row r="65" spans="1:6" s="82" customFormat="1" ht="17.25" x14ac:dyDescent="0.35">
      <c r="A65" s="895"/>
      <c r="B65" s="112"/>
      <c r="C65" s="113"/>
      <c r="D65" s="114"/>
      <c r="E65" s="113"/>
    </row>
    <row r="72" spans="1:6" x14ac:dyDescent="0.3">
      <c r="F72" s="85"/>
    </row>
    <row r="73" spans="1:6" x14ac:dyDescent="0.3">
      <c r="F73" s="85"/>
    </row>
    <row r="74" spans="1:6" x14ac:dyDescent="0.3">
      <c r="F74" s="85"/>
    </row>
    <row r="75" spans="1:6" x14ac:dyDescent="0.3">
      <c r="F75" s="85"/>
    </row>
    <row r="76" spans="1:6" x14ac:dyDescent="0.3">
      <c r="F76" s="85"/>
    </row>
    <row r="77" spans="1:6" x14ac:dyDescent="0.3">
      <c r="F77" s="85"/>
    </row>
    <row r="78" spans="1:6" x14ac:dyDescent="0.3">
      <c r="F78" s="85"/>
    </row>
  </sheetData>
  <mergeCells count="4">
    <mergeCell ref="B4:M4"/>
    <mergeCell ref="B5:M5"/>
    <mergeCell ref="B1:M1"/>
    <mergeCell ref="B2:M2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53" fitToHeight="2" orientation="portrait" r:id="rId1"/>
  <headerFooter alignWithMargins="0">
    <oddFooter>&amp;C- &amp;P--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0"/>
  <sheetViews>
    <sheetView view="pageBreakPreview" zoomScaleNormal="100" zoomScaleSheetLayoutView="100" workbookViewId="0">
      <selection activeCell="B1" sqref="B1:O1"/>
    </sheetView>
  </sheetViews>
  <sheetFormatPr defaultColWidth="9.140625" defaultRowHeight="12.75" x14ac:dyDescent="0.2"/>
  <cols>
    <col min="1" max="1" width="3.7109375" style="715" customWidth="1"/>
    <col min="2" max="2" width="5.7109375" style="285" customWidth="1"/>
    <col min="3" max="3" width="5.7109375" style="288" customWidth="1"/>
    <col min="4" max="4" width="4.7109375" style="288" customWidth="1"/>
    <col min="5" max="5" width="51.7109375" style="288" customWidth="1"/>
    <col min="6" max="6" width="10" style="285" customWidth="1"/>
    <col min="7" max="7" width="14" style="285" bestFit="1" customWidth="1"/>
    <col min="8" max="8" width="11.7109375" style="285" customWidth="1"/>
    <col min="9" max="9" width="12.42578125" style="285" bestFit="1" customWidth="1"/>
    <col min="10" max="10" width="14" style="285" customWidth="1"/>
    <col min="11" max="12" width="12.7109375" style="285" customWidth="1"/>
    <col min="13" max="13" width="10.7109375" style="285" customWidth="1"/>
    <col min="14" max="14" width="12.7109375" style="286" customWidth="1"/>
    <col min="15" max="15" width="13.7109375" style="287" customWidth="1"/>
    <col min="16" max="16384" width="9.140625" style="285"/>
  </cols>
  <sheetData>
    <row r="1" spans="1:16" ht="17.25" x14ac:dyDescent="0.35">
      <c r="A1" s="2045"/>
      <c r="B1" s="2121" t="s">
        <v>1306</v>
      </c>
      <c r="C1" s="2121"/>
      <c r="D1" s="2121"/>
      <c r="E1" s="2121"/>
      <c r="F1" s="2121"/>
      <c r="G1" s="2121"/>
      <c r="H1" s="2121"/>
      <c r="I1" s="2121"/>
      <c r="J1" s="2121"/>
      <c r="K1" s="2121"/>
      <c r="L1" s="2121"/>
      <c r="M1" s="2121"/>
      <c r="N1" s="2121"/>
      <c r="O1" s="2121"/>
    </row>
    <row r="2" spans="1:16" s="297" customFormat="1" ht="18" customHeight="1" x14ac:dyDescent="0.3">
      <c r="A2" s="2056"/>
      <c r="B2" s="2122" t="s">
        <v>1291</v>
      </c>
      <c r="C2" s="2122"/>
      <c r="D2" s="2122"/>
      <c r="E2" s="2122"/>
      <c r="F2" s="2122"/>
      <c r="G2" s="2122"/>
      <c r="H2" s="2122"/>
      <c r="I2" s="2122"/>
      <c r="J2" s="2122"/>
      <c r="K2" s="2122"/>
      <c r="L2" s="2122"/>
      <c r="M2" s="2122"/>
      <c r="N2" s="2122"/>
      <c r="O2" s="2122"/>
      <c r="P2" s="713"/>
    </row>
    <row r="3" spans="1:16" s="297" customFormat="1" ht="18" customHeight="1" x14ac:dyDescent="0.3">
      <c r="A3" s="2056"/>
      <c r="B3" s="2061"/>
      <c r="C3" s="2061"/>
      <c r="D3" s="2061"/>
      <c r="E3" s="2061"/>
      <c r="F3" s="2061"/>
      <c r="G3" s="2061"/>
      <c r="H3" s="2061"/>
      <c r="I3" s="2061"/>
      <c r="J3" s="2061"/>
      <c r="K3" s="2061"/>
      <c r="L3" s="2061"/>
      <c r="M3" s="2061"/>
      <c r="N3" s="2061"/>
      <c r="O3" s="2061"/>
      <c r="P3" s="713"/>
    </row>
    <row r="4" spans="1:16" s="297" customFormat="1" ht="24.75" customHeight="1" x14ac:dyDescent="0.2">
      <c r="A4" s="61"/>
      <c r="B4" s="2123" t="s">
        <v>142</v>
      </c>
      <c r="C4" s="2123"/>
      <c r="D4" s="2123"/>
      <c r="E4" s="2123"/>
      <c r="F4" s="2123"/>
      <c r="G4" s="2123"/>
      <c r="H4" s="2123"/>
      <c r="I4" s="2123"/>
      <c r="J4" s="2123"/>
      <c r="K4" s="2123"/>
      <c r="L4" s="2123"/>
      <c r="M4" s="2123"/>
      <c r="N4" s="2123"/>
      <c r="O4" s="2123"/>
      <c r="P4" s="713"/>
    </row>
    <row r="5" spans="1:16" s="297" customFormat="1" ht="24.75" customHeight="1" x14ac:dyDescent="0.2">
      <c r="A5" s="61"/>
      <c r="B5" s="2123" t="s">
        <v>1277</v>
      </c>
      <c r="C5" s="2123"/>
      <c r="D5" s="2123"/>
      <c r="E5" s="2123"/>
      <c r="F5" s="2123"/>
      <c r="G5" s="2123"/>
      <c r="H5" s="2123"/>
      <c r="I5" s="2123"/>
      <c r="J5" s="2123"/>
      <c r="K5" s="2123"/>
      <c r="L5" s="2123"/>
      <c r="M5" s="2123"/>
      <c r="N5" s="2123"/>
      <c r="O5" s="2123"/>
      <c r="P5" s="713"/>
    </row>
    <row r="6" spans="1:16" ht="18" customHeight="1" x14ac:dyDescent="0.3">
      <c r="A6" s="61"/>
      <c r="B6" s="50"/>
      <c r="C6" s="53"/>
      <c r="D6" s="53"/>
      <c r="E6" s="53"/>
      <c r="F6" s="51"/>
      <c r="G6" s="51"/>
      <c r="H6" s="51"/>
      <c r="I6" s="51"/>
      <c r="J6" s="51"/>
      <c r="K6" s="51"/>
      <c r="L6" s="48"/>
      <c r="M6" s="48"/>
      <c r="N6" s="2124" t="s">
        <v>0</v>
      </c>
      <c r="O6" s="2124"/>
      <c r="P6" s="48"/>
    </row>
    <row r="7" spans="1:16" s="61" customFormat="1" ht="18" customHeight="1" thickBot="1" x14ac:dyDescent="0.25">
      <c r="B7" s="61" t="s">
        <v>1</v>
      </c>
      <c r="C7" s="61" t="s">
        <v>3</v>
      </c>
      <c r="D7" s="2116" t="s">
        <v>2</v>
      </c>
      <c r="E7" s="2116"/>
      <c r="F7" s="130" t="s">
        <v>4</v>
      </c>
      <c r="G7" s="130" t="s">
        <v>5</v>
      </c>
      <c r="H7" s="130" t="s">
        <v>15</v>
      </c>
      <c r="I7" s="130" t="s">
        <v>16</v>
      </c>
      <c r="J7" s="130" t="s">
        <v>17</v>
      </c>
      <c r="K7" s="130" t="s">
        <v>36</v>
      </c>
      <c r="L7" s="61" t="s">
        <v>30</v>
      </c>
      <c r="M7" s="61" t="s">
        <v>23</v>
      </c>
      <c r="N7" s="61" t="s">
        <v>37</v>
      </c>
      <c r="O7" s="61" t="s">
        <v>38</v>
      </c>
    </row>
    <row r="8" spans="1:16" s="50" customFormat="1" ht="30" customHeight="1" x14ac:dyDescent="0.2">
      <c r="A8" s="61"/>
      <c r="B8" s="2107" t="s">
        <v>18</v>
      </c>
      <c r="C8" s="2109" t="s">
        <v>19</v>
      </c>
      <c r="D8" s="2111" t="s">
        <v>6</v>
      </c>
      <c r="E8" s="2112"/>
      <c r="F8" s="2115" t="s">
        <v>143</v>
      </c>
      <c r="G8" s="2115"/>
      <c r="H8" s="2115"/>
      <c r="I8" s="2105" t="s">
        <v>144</v>
      </c>
      <c r="J8" s="2105"/>
      <c r="K8" s="2105"/>
      <c r="L8" s="2105" t="s">
        <v>264</v>
      </c>
      <c r="M8" s="2105" t="s">
        <v>145</v>
      </c>
      <c r="N8" s="2105"/>
      <c r="O8" s="2117" t="s">
        <v>636</v>
      </c>
    </row>
    <row r="9" spans="1:16" ht="60.75" thickBot="1" x14ac:dyDescent="0.25">
      <c r="A9" s="61"/>
      <c r="B9" s="2108"/>
      <c r="C9" s="2110"/>
      <c r="D9" s="2113"/>
      <c r="E9" s="2114"/>
      <c r="F9" s="2038" t="s">
        <v>146</v>
      </c>
      <c r="G9" s="2038" t="s">
        <v>147</v>
      </c>
      <c r="H9" s="2038" t="s">
        <v>148</v>
      </c>
      <c r="I9" s="2038" t="s">
        <v>149</v>
      </c>
      <c r="J9" s="2038" t="s">
        <v>150</v>
      </c>
      <c r="K9" s="2038" t="s">
        <v>151</v>
      </c>
      <c r="L9" s="2106"/>
      <c r="M9" s="2038" t="s">
        <v>129</v>
      </c>
      <c r="N9" s="52" t="s">
        <v>416</v>
      </c>
      <c r="O9" s="2118"/>
      <c r="P9" s="48"/>
    </row>
    <row r="10" spans="1:16" s="53" customFormat="1" ht="22.5" customHeight="1" x14ac:dyDescent="0.3">
      <c r="A10" s="61">
        <v>1</v>
      </c>
      <c r="B10" s="324">
        <v>1</v>
      </c>
      <c r="C10" s="325"/>
      <c r="D10" s="696" t="s">
        <v>314</v>
      </c>
      <c r="E10" s="689"/>
      <c r="F10" s="335"/>
      <c r="G10" s="335"/>
      <c r="H10" s="335"/>
      <c r="I10" s="335"/>
      <c r="J10" s="335"/>
      <c r="K10" s="335"/>
      <c r="L10" s="335"/>
      <c r="M10" s="335"/>
      <c r="N10" s="336"/>
      <c r="O10" s="337"/>
    </row>
    <row r="11" spans="1:16" s="53" customFormat="1" ht="18" customHeight="1" x14ac:dyDescent="0.3">
      <c r="A11" s="61">
        <v>2</v>
      </c>
      <c r="B11" s="310"/>
      <c r="C11" s="311"/>
      <c r="D11" s="697" t="s">
        <v>347</v>
      </c>
      <c r="E11" s="2040"/>
      <c r="F11" s="121"/>
      <c r="G11" s="121"/>
      <c r="H11" s="121"/>
      <c r="I11" s="121"/>
      <c r="J11" s="121"/>
      <c r="K11" s="121"/>
      <c r="L11" s="121"/>
      <c r="M11" s="121"/>
      <c r="N11" s="158"/>
      <c r="O11" s="330"/>
    </row>
    <row r="12" spans="1:16" s="815" customFormat="1" ht="18" customHeight="1" x14ac:dyDescent="0.3">
      <c r="A12" s="61">
        <v>3</v>
      </c>
      <c r="B12" s="807"/>
      <c r="C12" s="808"/>
      <c r="D12" s="809"/>
      <c r="E12" s="810" t="s">
        <v>311</v>
      </c>
      <c r="F12" s="811">
        <v>4940</v>
      </c>
      <c r="G12" s="811"/>
      <c r="H12" s="811"/>
      <c r="I12" s="811"/>
      <c r="J12" s="811"/>
      <c r="K12" s="811"/>
      <c r="L12" s="811">
        <v>710</v>
      </c>
      <c r="M12" s="811">
        <v>207975</v>
      </c>
      <c r="N12" s="812">
        <v>142608</v>
      </c>
      <c r="O12" s="813">
        <f>SUM(F12:M12)</f>
        <v>213625</v>
      </c>
      <c r="P12" s="814"/>
    </row>
    <row r="13" spans="1:16" s="815" customFormat="1" ht="18" customHeight="1" x14ac:dyDescent="0.3">
      <c r="A13" s="61">
        <v>4</v>
      </c>
      <c r="B13" s="807"/>
      <c r="C13" s="808"/>
      <c r="D13" s="1377"/>
      <c r="E13" s="692" t="s">
        <v>1072</v>
      </c>
      <c r="F13" s="1378">
        <v>4940</v>
      </c>
      <c r="G13" s="1378"/>
      <c r="H13" s="1378"/>
      <c r="I13" s="1378"/>
      <c r="J13" s="1378"/>
      <c r="K13" s="1378"/>
      <c r="L13" s="1378">
        <v>6146</v>
      </c>
      <c r="M13" s="1378">
        <v>209171</v>
      </c>
      <c r="N13" s="1379">
        <v>154385</v>
      </c>
      <c r="O13" s="330">
        <f>SUM(F13:M13)</f>
        <v>220257</v>
      </c>
      <c r="P13" s="814"/>
    </row>
    <row r="14" spans="1:16" s="286" customFormat="1" ht="18" customHeight="1" x14ac:dyDescent="0.3">
      <c r="A14" s="61">
        <v>5</v>
      </c>
      <c r="B14" s="1373"/>
      <c r="C14" s="1189"/>
      <c r="D14" s="1374"/>
      <c r="E14" s="1375" t="s">
        <v>1173</v>
      </c>
      <c r="F14" s="158"/>
      <c r="G14" s="158"/>
      <c r="H14" s="158"/>
      <c r="I14" s="158"/>
      <c r="J14" s="158"/>
      <c r="K14" s="158"/>
      <c r="L14" s="158"/>
      <c r="M14" s="158">
        <v>4291</v>
      </c>
      <c r="N14" s="158"/>
      <c r="O14" s="1191">
        <f>SUM(F14:M14)</f>
        <v>4291</v>
      </c>
      <c r="P14" s="49"/>
    </row>
    <row r="15" spans="1:16" s="286" customFormat="1" ht="18" customHeight="1" x14ac:dyDescent="0.3">
      <c r="A15" s="61">
        <v>6</v>
      </c>
      <c r="B15" s="1373"/>
      <c r="C15" s="1189"/>
      <c r="D15" s="1374"/>
      <c r="E15" s="1375" t="s">
        <v>1243</v>
      </c>
      <c r="F15" s="158"/>
      <c r="G15" s="158"/>
      <c r="H15" s="158"/>
      <c r="I15" s="158"/>
      <c r="J15" s="158"/>
      <c r="K15" s="158"/>
      <c r="L15" s="158"/>
      <c r="M15" s="158">
        <v>4140</v>
      </c>
      <c r="N15" s="158"/>
      <c r="O15" s="1191">
        <f>SUM(F15:M15)</f>
        <v>4140</v>
      </c>
      <c r="P15" s="49"/>
    </row>
    <row r="16" spans="1:16" s="286" customFormat="1" ht="18" customHeight="1" x14ac:dyDescent="0.3">
      <c r="A16" s="61">
        <v>7</v>
      </c>
      <c r="B16" s="1373"/>
      <c r="C16" s="1189"/>
      <c r="D16" s="1374"/>
      <c r="E16" s="1375" t="s">
        <v>1244</v>
      </c>
      <c r="F16" s="158"/>
      <c r="G16" s="158"/>
      <c r="H16" s="158"/>
      <c r="I16" s="158"/>
      <c r="J16" s="158"/>
      <c r="K16" s="158"/>
      <c r="L16" s="158"/>
      <c r="M16" s="158">
        <v>-7700</v>
      </c>
      <c r="N16" s="158"/>
      <c r="O16" s="1191">
        <f t="shared" ref="O16" si="0">SUM(F16:M16)</f>
        <v>-7700</v>
      </c>
      <c r="P16" s="49"/>
    </row>
    <row r="17" spans="1:16" s="287" customFormat="1" ht="18" customHeight="1" x14ac:dyDescent="0.3">
      <c r="A17" s="61">
        <v>8</v>
      </c>
      <c r="B17" s="462"/>
      <c r="C17" s="1376"/>
      <c r="D17" s="1377"/>
      <c r="E17" s="692" t="s">
        <v>1151</v>
      </c>
      <c r="F17" s="1378">
        <f>SUM(F13:F16)</f>
        <v>4940</v>
      </c>
      <c r="G17" s="1378"/>
      <c r="H17" s="1378"/>
      <c r="I17" s="1378"/>
      <c r="J17" s="1378"/>
      <c r="K17" s="1378"/>
      <c r="L17" s="1378">
        <f>SUM(L13:L16)</f>
        <v>6146</v>
      </c>
      <c r="M17" s="1378">
        <f>SUM(M13:M16)</f>
        <v>209902</v>
      </c>
      <c r="N17" s="1378">
        <f>SUM(N13:N16)</f>
        <v>154385</v>
      </c>
      <c r="O17" s="330">
        <f>SUM(F17:M17)</f>
        <v>220988</v>
      </c>
      <c r="P17" s="57"/>
    </row>
    <row r="18" spans="1:16" s="153" customFormat="1" ht="22.5" customHeight="1" x14ac:dyDescent="0.3">
      <c r="A18" s="61">
        <v>9</v>
      </c>
      <c r="B18" s="310">
        <v>2</v>
      </c>
      <c r="C18" s="311"/>
      <c r="D18" s="691" t="s">
        <v>415</v>
      </c>
      <c r="E18" s="691"/>
      <c r="F18" s="319"/>
      <c r="G18" s="319"/>
      <c r="H18" s="319"/>
      <c r="I18" s="319"/>
      <c r="J18" s="319"/>
      <c r="K18" s="319"/>
      <c r="L18" s="319"/>
      <c r="M18" s="319"/>
      <c r="N18" s="320"/>
      <c r="O18" s="321"/>
    </row>
    <row r="19" spans="1:16" s="153" customFormat="1" ht="18" customHeight="1" x14ac:dyDescent="0.3">
      <c r="A19" s="61">
        <v>10</v>
      </c>
      <c r="B19" s="310"/>
      <c r="C19" s="311"/>
      <c r="D19" s="2040" t="s">
        <v>312</v>
      </c>
      <c r="E19" s="2040"/>
      <c r="F19" s="319"/>
      <c r="G19" s="319"/>
      <c r="H19" s="319"/>
      <c r="I19" s="319"/>
      <c r="J19" s="319"/>
      <c r="K19" s="319"/>
      <c r="L19" s="319"/>
      <c r="M19" s="319"/>
      <c r="N19" s="320"/>
      <c r="O19" s="321"/>
    </row>
    <row r="20" spans="1:16" s="816" customFormat="1" ht="18" customHeight="1" x14ac:dyDescent="0.3">
      <c r="A20" s="61">
        <v>11</v>
      </c>
      <c r="B20" s="807"/>
      <c r="C20" s="808"/>
      <c r="D20" s="809"/>
      <c r="E20" s="810" t="s">
        <v>311</v>
      </c>
      <c r="F20" s="811">
        <v>9516</v>
      </c>
      <c r="G20" s="811"/>
      <c r="H20" s="811"/>
      <c r="I20" s="811"/>
      <c r="J20" s="811"/>
      <c r="K20" s="811"/>
      <c r="L20" s="811">
        <v>700</v>
      </c>
      <c r="M20" s="811">
        <v>356874</v>
      </c>
      <c r="N20" s="812">
        <v>277977</v>
      </c>
      <c r="O20" s="813">
        <f>SUM(F20:M20)</f>
        <v>367090</v>
      </c>
    </row>
    <row r="21" spans="1:16" s="816" customFormat="1" ht="18" customHeight="1" x14ac:dyDescent="0.3">
      <c r="A21" s="61">
        <v>12</v>
      </c>
      <c r="B21" s="807"/>
      <c r="C21" s="808"/>
      <c r="D21" s="809"/>
      <c r="E21" s="692" t="s">
        <v>1072</v>
      </c>
      <c r="F21" s="1378">
        <v>7516</v>
      </c>
      <c r="G21" s="1378"/>
      <c r="H21" s="1378"/>
      <c r="I21" s="1378"/>
      <c r="J21" s="1378"/>
      <c r="K21" s="1378"/>
      <c r="L21" s="1378">
        <v>28037</v>
      </c>
      <c r="M21" s="1378">
        <v>358740</v>
      </c>
      <c r="N21" s="1379">
        <v>296260</v>
      </c>
      <c r="O21" s="330">
        <f>SUM(F21:M21)</f>
        <v>394293</v>
      </c>
    </row>
    <row r="22" spans="1:16" s="286" customFormat="1" ht="18" customHeight="1" x14ac:dyDescent="0.3">
      <c r="A22" s="61">
        <v>13</v>
      </c>
      <c r="B22" s="1373"/>
      <c r="C22" s="1189"/>
      <c r="D22" s="1374"/>
      <c r="E22" s="1375" t="s">
        <v>1173</v>
      </c>
      <c r="F22" s="158"/>
      <c r="G22" s="158"/>
      <c r="H22" s="158"/>
      <c r="I22" s="158"/>
      <c r="J22" s="158"/>
      <c r="K22" s="158"/>
      <c r="L22" s="158"/>
      <c r="M22" s="158">
        <v>10193</v>
      </c>
      <c r="N22" s="158"/>
      <c r="O22" s="1191">
        <f>SUM(F22:M22)</f>
        <v>10193</v>
      </c>
      <c r="P22" s="49"/>
    </row>
    <row r="23" spans="1:16" s="286" customFormat="1" ht="18" customHeight="1" x14ac:dyDescent="0.3">
      <c r="A23" s="61">
        <v>14</v>
      </c>
      <c r="B23" s="1373"/>
      <c r="C23" s="1189"/>
      <c r="D23" s="1374"/>
      <c r="E23" s="1375" t="s">
        <v>1243</v>
      </c>
      <c r="F23" s="158"/>
      <c r="G23" s="158"/>
      <c r="H23" s="158"/>
      <c r="I23" s="158"/>
      <c r="J23" s="158"/>
      <c r="K23" s="158"/>
      <c r="L23" s="158"/>
      <c r="M23" s="158">
        <v>7787</v>
      </c>
      <c r="N23" s="158"/>
      <c r="O23" s="1191">
        <f>SUM(F23:M23)</f>
        <v>7787</v>
      </c>
      <c r="P23" s="49"/>
    </row>
    <row r="24" spans="1:16" s="286" customFormat="1" ht="18" customHeight="1" x14ac:dyDescent="0.3">
      <c r="A24" s="61">
        <v>15</v>
      </c>
      <c r="B24" s="1373"/>
      <c r="C24" s="1189"/>
      <c r="D24" s="1374"/>
      <c r="E24" s="1375" t="s">
        <v>1244</v>
      </c>
      <c r="F24" s="158"/>
      <c r="G24" s="158"/>
      <c r="H24" s="158"/>
      <c r="I24" s="158"/>
      <c r="J24" s="158"/>
      <c r="K24" s="158"/>
      <c r="L24" s="158"/>
      <c r="M24" s="158">
        <v>-12819</v>
      </c>
      <c r="N24" s="158"/>
      <c r="O24" s="1191">
        <f>SUM(F24:M24)</f>
        <v>-12819</v>
      </c>
      <c r="P24" s="49"/>
    </row>
    <row r="25" spans="1:16" s="286" customFormat="1" ht="18" customHeight="1" x14ac:dyDescent="0.3">
      <c r="A25" s="61">
        <v>16</v>
      </c>
      <c r="B25" s="1373"/>
      <c r="C25" s="1189"/>
      <c r="D25" s="1374"/>
      <c r="E25" s="1375" t="s">
        <v>1213</v>
      </c>
      <c r="F25" s="158"/>
      <c r="G25" s="158"/>
      <c r="H25" s="158"/>
      <c r="I25" s="158"/>
      <c r="J25" s="158"/>
      <c r="K25" s="158"/>
      <c r="L25" s="158"/>
      <c r="M25" s="158">
        <v>2</v>
      </c>
      <c r="N25" s="158">
        <v>2</v>
      </c>
      <c r="O25" s="1191">
        <f t="shared" ref="O25" si="1">SUM(F25:M25)</f>
        <v>2</v>
      </c>
      <c r="P25" s="49"/>
    </row>
    <row r="26" spans="1:16" s="287" customFormat="1" ht="18" customHeight="1" x14ac:dyDescent="0.3">
      <c r="A26" s="61">
        <v>17</v>
      </c>
      <c r="B26" s="462"/>
      <c r="C26" s="1376"/>
      <c r="D26" s="1377"/>
      <c r="E26" s="692" t="s">
        <v>1151</v>
      </c>
      <c r="F26" s="1378">
        <f>SUM(F21:F25)</f>
        <v>7516</v>
      </c>
      <c r="G26" s="1378"/>
      <c r="H26" s="1378"/>
      <c r="I26" s="1378"/>
      <c r="J26" s="1378"/>
      <c r="K26" s="1378"/>
      <c r="L26" s="1378">
        <f>SUM(L21:L25)</f>
        <v>28037</v>
      </c>
      <c r="M26" s="1378">
        <f>SUM(M21:M25)</f>
        <v>363903</v>
      </c>
      <c r="N26" s="1378">
        <f>SUM(N21:N25)</f>
        <v>296262</v>
      </c>
      <c r="O26" s="330">
        <f>SUM(F26:M26)</f>
        <v>399456</v>
      </c>
      <c r="P26" s="57"/>
    </row>
    <row r="27" spans="1:16" s="152" customFormat="1" ht="22.5" customHeight="1" x14ac:dyDescent="0.3">
      <c r="A27" s="61">
        <v>18</v>
      </c>
      <c r="B27" s="310">
        <v>3</v>
      </c>
      <c r="C27" s="311"/>
      <c r="D27" s="691" t="s">
        <v>267</v>
      </c>
      <c r="E27" s="691"/>
      <c r="F27" s="319"/>
      <c r="G27" s="319"/>
      <c r="H27" s="319"/>
      <c r="I27" s="319"/>
      <c r="J27" s="319"/>
      <c r="K27" s="319"/>
      <c r="L27" s="319"/>
      <c r="M27" s="319"/>
      <c r="N27" s="320"/>
      <c r="O27" s="321"/>
    </row>
    <row r="28" spans="1:16" s="53" customFormat="1" ht="18" customHeight="1" x14ac:dyDescent="0.3">
      <c r="A28" s="61">
        <v>19</v>
      </c>
      <c r="B28" s="312"/>
      <c r="C28" s="311"/>
      <c r="D28" s="690" t="s">
        <v>153</v>
      </c>
      <c r="E28" s="690"/>
      <c r="F28" s="322"/>
      <c r="G28" s="322"/>
      <c r="H28" s="322"/>
      <c r="I28" s="322"/>
      <c r="J28" s="322"/>
      <c r="K28" s="322"/>
      <c r="L28" s="322"/>
      <c r="M28" s="322"/>
      <c r="N28" s="323"/>
      <c r="O28" s="333"/>
    </row>
    <row r="29" spans="1:16" s="815" customFormat="1" ht="18" customHeight="1" x14ac:dyDescent="0.3">
      <c r="A29" s="61">
        <v>20</v>
      </c>
      <c r="B29" s="807"/>
      <c r="C29" s="808"/>
      <c r="D29" s="809"/>
      <c r="E29" s="810" t="s">
        <v>311</v>
      </c>
      <c r="F29" s="811">
        <v>17581</v>
      </c>
      <c r="G29" s="811"/>
      <c r="H29" s="811"/>
      <c r="I29" s="811"/>
      <c r="J29" s="811"/>
      <c r="K29" s="811"/>
      <c r="L29" s="811"/>
      <c r="M29" s="811">
        <v>411379</v>
      </c>
      <c r="N29" s="812">
        <v>365584</v>
      </c>
      <c r="O29" s="813">
        <f>SUM(F29:M29)</f>
        <v>428960</v>
      </c>
      <c r="P29" s="814"/>
    </row>
    <row r="30" spans="1:16" s="815" customFormat="1" ht="18" customHeight="1" x14ac:dyDescent="0.3">
      <c r="A30" s="61">
        <v>21</v>
      </c>
      <c r="B30" s="807"/>
      <c r="C30" s="808"/>
      <c r="D30" s="809"/>
      <c r="E30" s="692" t="s">
        <v>1072</v>
      </c>
      <c r="F30" s="1378">
        <v>12581</v>
      </c>
      <c r="G30" s="1378"/>
      <c r="H30" s="1378"/>
      <c r="I30" s="1378"/>
      <c r="J30" s="1378"/>
      <c r="K30" s="1378"/>
      <c r="L30" s="1378">
        <v>14688</v>
      </c>
      <c r="M30" s="1378">
        <v>417705</v>
      </c>
      <c r="N30" s="1379">
        <v>389335</v>
      </c>
      <c r="O30" s="330">
        <f>SUM(F30:M30)</f>
        <v>444974</v>
      </c>
      <c r="P30" s="814"/>
    </row>
    <row r="31" spans="1:16" s="286" customFormat="1" ht="18" customHeight="1" x14ac:dyDescent="0.3">
      <c r="A31" s="61">
        <v>22</v>
      </c>
      <c r="B31" s="1373"/>
      <c r="C31" s="1189"/>
      <c r="D31" s="1374"/>
      <c r="E31" s="1375" t="s">
        <v>1169</v>
      </c>
      <c r="F31" s="158"/>
      <c r="G31" s="158"/>
      <c r="H31" s="158"/>
      <c r="I31" s="158"/>
      <c r="J31" s="158"/>
      <c r="K31" s="158"/>
      <c r="L31" s="158"/>
      <c r="M31" s="158">
        <v>-1848</v>
      </c>
      <c r="N31" s="158"/>
      <c r="O31" s="1191">
        <f>SUM(F31:M31)</f>
        <v>-1848</v>
      </c>
      <c r="P31" s="49"/>
    </row>
    <row r="32" spans="1:16" s="286" customFormat="1" ht="18" customHeight="1" x14ac:dyDescent="0.3">
      <c r="A32" s="61">
        <v>23</v>
      </c>
      <c r="B32" s="1373"/>
      <c r="C32" s="1189"/>
      <c r="D32" s="1374"/>
      <c r="E32" s="1375" t="s">
        <v>1157</v>
      </c>
      <c r="F32" s="158"/>
      <c r="G32" s="158"/>
      <c r="H32" s="158"/>
      <c r="I32" s="158"/>
      <c r="J32" s="158"/>
      <c r="K32" s="158"/>
      <c r="L32" s="158"/>
      <c r="M32" s="158">
        <v>10909</v>
      </c>
      <c r="N32" s="158"/>
      <c r="O32" s="1191">
        <f>SUM(F32:M32)</f>
        <v>10909</v>
      </c>
      <c r="P32" s="49"/>
    </row>
    <row r="33" spans="1:16" s="286" customFormat="1" ht="18" customHeight="1" x14ac:dyDescent="0.3">
      <c r="A33" s="61">
        <v>24</v>
      </c>
      <c r="B33" s="1373"/>
      <c r="C33" s="1189"/>
      <c r="D33" s="1374"/>
      <c r="E33" s="1375" t="s">
        <v>1243</v>
      </c>
      <c r="F33" s="158"/>
      <c r="G33" s="158"/>
      <c r="H33" s="158"/>
      <c r="I33" s="158"/>
      <c r="J33" s="158"/>
      <c r="K33" s="158"/>
      <c r="L33" s="158"/>
      <c r="M33" s="158">
        <v>8510</v>
      </c>
      <c r="N33" s="158"/>
      <c r="O33" s="1191">
        <f>SUM(F33:M33)</f>
        <v>8510</v>
      </c>
      <c r="P33" s="49"/>
    </row>
    <row r="34" spans="1:16" s="286" customFormat="1" ht="18" customHeight="1" x14ac:dyDescent="0.3">
      <c r="A34" s="61">
        <v>25</v>
      </c>
      <c r="B34" s="1373"/>
      <c r="C34" s="1189"/>
      <c r="D34" s="1374"/>
      <c r="E34" s="1375" t="s">
        <v>1244</v>
      </c>
      <c r="F34" s="158"/>
      <c r="G34" s="158"/>
      <c r="H34" s="158"/>
      <c r="I34" s="158"/>
      <c r="J34" s="158"/>
      <c r="K34" s="158"/>
      <c r="L34" s="158"/>
      <c r="M34" s="158">
        <v>-12025</v>
      </c>
      <c r="N34" s="158"/>
      <c r="O34" s="1191">
        <f t="shared" ref="O34" si="2">SUM(F34:M34)</f>
        <v>-12025</v>
      </c>
      <c r="P34" s="49"/>
    </row>
    <row r="35" spans="1:16" s="287" customFormat="1" ht="18" customHeight="1" x14ac:dyDescent="0.3">
      <c r="A35" s="61">
        <v>26</v>
      </c>
      <c r="B35" s="462"/>
      <c r="C35" s="1376"/>
      <c r="D35" s="1377"/>
      <c r="E35" s="692" t="s">
        <v>1151</v>
      </c>
      <c r="F35" s="1378">
        <f>SUM(F30:F34)</f>
        <v>12581</v>
      </c>
      <c r="G35" s="1378"/>
      <c r="H35" s="1378"/>
      <c r="I35" s="1378"/>
      <c r="J35" s="1378"/>
      <c r="K35" s="1378"/>
      <c r="L35" s="1378">
        <f>SUM(L30:L34)</f>
        <v>14688</v>
      </c>
      <c r="M35" s="1378">
        <f>SUM(M30:M34)</f>
        <v>423251</v>
      </c>
      <c r="N35" s="1378">
        <f>SUM(N30:N34)</f>
        <v>389335</v>
      </c>
      <c r="O35" s="330">
        <f>SUM(F35:M35)</f>
        <v>450520</v>
      </c>
      <c r="P35" s="57"/>
    </row>
    <row r="36" spans="1:16" s="153" customFormat="1" ht="22.5" customHeight="1" x14ac:dyDescent="0.3">
      <c r="A36" s="61">
        <v>27</v>
      </c>
      <c r="B36" s="310">
        <v>4</v>
      </c>
      <c r="C36" s="311"/>
      <c r="D36" s="692" t="s">
        <v>268</v>
      </c>
      <c r="E36" s="692"/>
      <c r="F36" s="319"/>
      <c r="G36" s="319"/>
      <c r="H36" s="319"/>
      <c r="I36" s="319"/>
      <c r="J36" s="319"/>
      <c r="K36" s="319"/>
      <c r="L36" s="319"/>
      <c r="M36" s="319"/>
      <c r="N36" s="320"/>
      <c r="O36" s="321"/>
    </row>
    <row r="37" spans="1:16" s="152" customFormat="1" ht="18" customHeight="1" x14ac:dyDescent="0.3">
      <c r="A37" s="61">
        <v>28</v>
      </c>
      <c r="B37" s="312"/>
      <c r="C37" s="311"/>
      <c r="D37" s="690" t="s">
        <v>154</v>
      </c>
      <c r="E37" s="690"/>
      <c r="F37" s="322"/>
      <c r="G37" s="322"/>
      <c r="H37" s="322"/>
      <c r="I37" s="322"/>
      <c r="J37" s="322"/>
      <c r="K37" s="322"/>
      <c r="L37" s="322"/>
      <c r="M37" s="322"/>
      <c r="N37" s="323"/>
      <c r="O37" s="333"/>
    </row>
    <row r="38" spans="1:16" s="817" customFormat="1" ht="18" customHeight="1" x14ac:dyDescent="0.3">
      <c r="A38" s="61">
        <v>29</v>
      </c>
      <c r="B38" s="807"/>
      <c r="C38" s="808"/>
      <c r="D38" s="809"/>
      <c r="E38" s="810" t="s">
        <v>311</v>
      </c>
      <c r="F38" s="811">
        <v>10020</v>
      </c>
      <c r="G38" s="811"/>
      <c r="H38" s="811"/>
      <c r="I38" s="811"/>
      <c r="J38" s="811"/>
      <c r="K38" s="811"/>
      <c r="L38" s="811"/>
      <c r="M38" s="811">
        <v>309492</v>
      </c>
      <c r="N38" s="812">
        <v>193144</v>
      </c>
      <c r="O38" s="813">
        <f t="shared" ref="O38:O45" si="3">SUM(F38:M38)</f>
        <v>319512</v>
      </c>
    </row>
    <row r="39" spans="1:16" s="817" customFormat="1" ht="18" customHeight="1" x14ac:dyDescent="0.3">
      <c r="A39" s="61">
        <v>30</v>
      </c>
      <c r="B39" s="807"/>
      <c r="C39" s="808"/>
      <c r="D39" s="809"/>
      <c r="E39" s="692" t="s">
        <v>1072</v>
      </c>
      <c r="F39" s="1378">
        <v>7133</v>
      </c>
      <c r="G39" s="1378"/>
      <c r="H39" s="1378"/>
      <c r="I39" s="1378"/>
      <c r="J39" s="1378"/>
      <c r="K39" s="1378"/>
      <c r="L39" s="1378">
        <v>18600</v>
      </c>
      <c r="M39" s="1378">
        <v>309512</v>
      </c>
      <c r="N39" s="1379">
        <v>208832</v>
      </c>
      <c r="O39" s="330">
        <f t="shared" si="3"/>
        <v>335245</v>
      </c>
    </row>
    <row r="40" spans="1:16" s="286" customFormat="1" ht="18" customHeight="1" x14ac:dyDescent="0.3">
      <c r="A40" s="61">
        <v>31</v>
      </c>
      <c r="B40" s="1373"/>
      <c r="C40" s="1189"/>
      <c r="D40" s="1374"/>
      <c r="E40" s="1375" t="s">
        <v>1156</v>
      </c>
      <c r="F40" s="158">
        <v>897</v>
      </c>
      <c r="G40" s="158"/>
      <c r="H40" s="158"/>
      <c r="I40" s="158"/>
      <c r="J40" s="158"/>
      <c r="K40" s="158"/>
      <c r="L40" s="158"/>
      <c r="M40" s="158"/>
      <c r="N40" s="158"/>
      <c r="O40" s="1191">
        <f t="shared" si="3"/>
        <v>897</v>
      </c>
      <c r="P40" s="49"/>
    </row>
    <row r="41" spans="1:16" s="286" customFormat="1" ht="18" customHeight="1" x14ac:dyDescent="0.3">
      <c r="A41" s="61">
        <v>32</v>
      </c>
      <c r="B41" s="1373"/>
      <c r="C41" s="1189"/>
      <c r="D41" s="1374"/>
      <c r="E41" s="1375" t="s">
        <v>1157</v>
      </c>
      <c r="F41" s="158"/>
      <c r="G41" s="158"/>
      <c r="H41" s="158"/>
      <c r="I41" s="158"/>
      <c r="J41" s="158"/>
      <c r="K41" s="158"/>
      <c r="L41" s="158"/>
      <c r="M41" s="158">
        <v>5591</v>
      </c>
      <c r="N41" s="158"/>
      <c r="O41" s="1191">
        <f t="shared" si="3"/>
        <v>5591</v>
      </c>
      <c r="P41" s="49"/>
    </row>
    <row r="42" spans="1:16" s="286" customFormat="1" ht="18" customHeight="1" x14ac:dyDescent="0.3">
      <c r="A42" s="61">
        <v>33</v>
      </c>
      <c r="B42" s="1373"/>
      <c r="C42" s="1189"/>
      <c r="D42" s="1374"/>
      <c r="E42" s="1375" t="s">
        <v>1158</v>
      </c>
      <c r="F42" s="158"/>
      <c r="G42" s="158"/>
      <c r="H42" s="158"/>
      <c r="I42" s="158"/>
      <c r="J42" s="158"/>
      <c r="K42" s="158"/>
      <c r="L42" s="158"/>
      <c r="M42" s="158">
        <v>1848</v>
      </c>
      <c r="N42" s="158"/>
      <c r="O42" s="1191">
        <f t="shared" si="3"/>
        <v>1848</v>
      </c>
      <c r="P42" s="49"/>
    </row>
    <row r="43" spans="1:16" s="286" customFormat="1" ht="18" customHeight="1" x14ac:dyDescent="0.3">
      <c r="A43" s="61">
        <v>34</v>
      </c>
      <c r="B43" s="1373"/>
      <c r="C43" s="1189"/>
      <c r="D43" s="1374"/>
      <c r="E43" s="1375" t="s">
        <v>1213</v>
      </c>
      <c r="F43" s="158"/>
      <c r="G43" s="158"/>
      <c r="H43" s="158"/>
      <c r="I43" s="158"/>
      <c r="J43" s="158"/>
      <c r="K43" s="158"/>
      <c r="L43" s="158"/>
      <c r="M43" s="158">
        <v>2</v>
      </c>
      <c r="N43" s="158">
        <v>2</v>
      </c>
      <c r="O43" s="1191">
        <f t="shared" si="3"/>
        <v>2</v>
      </c>
      <c r="P43" s="49"/>
    </row>
    <row r="44" spans="1:16" s="286" customFormat="1" ht="18" customHeight="1" x14ac:dyDescent="0.3">
      <c r="A44" s="61">
        <v>35</v>
      </c>
      <c r="B44" s="1373"/>
      <c r="C44" s="1189"/>
      <c r="D44" s="1374"/>
      <c r="E44" s="1375" t="s">
        <v>1243</v>
      </c>
      <c r="F44" s="158"/>
      <c r="G44" s="158"/>
      <c r="H44" s="158"/>
      <c r="I44" s="158"/>
      <c r="J44" s="158"/>
      <c r="K44" s="158"/>
      <c r="L44" s="158"/>
      <c r="M44" s="158">
        <v>5611</v>
      </c>
      <c r="N44" s="158"/>
      <c r="O44" s="1191">
        <f t="shared" si="3"/>
        <v>5611</v>
      </c>
      <c r="P44" s="49"/>
    </row>
    <row r="45" spans="1:16" s="286" customFormat="1" ht="18" customHeight="1" x14ac:dyDescent="0.3">
      <c r="A45" s="61">
        <v>36</v>
      </c>
      <c r="B45" s="1373"/>
      <c r="C45" s="1189"/>
      <c r="D45" s="1374"/>
      <c r="E45" s="1375" t="s">
        <v>1244</v>
      </c>
      <c r="F45" s="158"/>
      <c r="G45" s="158"/>
      <c r="H45" s="158"/>
      <c r="I45" s="158"/>
      <c r="J45" s="158"/>
      <c r="K45" s="158"/>
      <c r="L45" s="158"/>
      <c r="M45" s="158">
        <v>-15627</v>
      </c>
      <c r="N45" s="158"/>
      <c r="O45" s="1191">
        <f t="shared" si="3"/>
        <v>-15627</v>
      </c>
      <c r="P45" s="49"/>
    </row>
    <row r="46" spans="1:16" s="287" customFormat="1" ht="18" customHeight="1" x14ac:dyDescent="0.3">
      <c r="A46" s="61">
        <v>37</v>
      </c>
      <c r="B46" s="462"/>
      <c r="C46" s="1376"/>
      <c r="D46" s="1377"/>
      <c r="E46" s="692" t="s">
        <v>1151</v>
      </c>
      <c r="F46" s="1378">
        <f>SUM(F39:F45)</f>
        <v>8030</v>
      </c>
      <c r="G46" s="1378"/>
      <c r="H46" s="1378"/>
      <c r="I46" s="1378"/>
      <c r="J46" s="1378"/>
      <c r="K46" s="1378"/>
      <c r="L46" s="1378">
        <f>SUM(L39:L45)</f>
        <v>18600</v>
      </c>
      <c r="M46" s="1378">
        <f t="shared" ref="M46:N46" si="4">SUM(M39:M45)</f>
        <v>306937</v>
      </c>
      <c r="N46" s="1378">
        <f t="shared" si="4"/>
        <v>208834</v>
      </c>
      <c r="O46" s="330">
        <f>SUM(F46:M46)</f>
        <v>333567</v>
      </c>
      <c r="P46" s="57"/>
    </row>
    <row r="47" spans="1:16" s="56" customFormat="1" ht="22.5" customHeight="1" x14ac:dyDescent="0.3">
      <c r="A47" s="61">
        <v>38</v>
      </c>
      <c r="B47" s="310">
        <v>5</v>
      </c>
      <c r="C47" s="311"/>
      <c r="D47" s="692" t="s">
        <v>269</v>
      </c>
      <c r="E47" s="692"/>
      <c r="F47" s="319"/>
      <c r="G47" s="319"/>
      <c r="H47" s="319"/>
      <c r="I47" s="319"/>
      <c r="J47" s="319"/>
      <c r="K47" s="319"/>
      <c r="L47" s="319"/>
      <c r="M47" s="319"/>
      <c r="N47" s="320"/>
      <c r="O47" s="321"/>
    </row>
    <row r="48" spans="1:16" s="153" customFormat="1" ht="18" customHeight="1" x14ac:dyDescent="0.3">
      <c r="A48" s="61">
        <v>39</v>
      </c>
      <c r="B48" s="312"/>
      <c r="C48" s="311"/>
      <c r="D48" s="690" t="s">
        <v>155</v>
      </c>
      <c r="E48" s="690"/>
      <c r="F48" s="322"/>
      <c r="G48" s="322"/>
      <c r="H48" s="322"/>
      <c r="I48" s="322"/>
      <c r="J48" s="322"/>
      <c r="K48" s="322"/>
      <c r="L48" s="322"/>
      <c r="M48" s="322"/>
      <c r="N48" s="323"/>
      <c r="O48" s="333"/>
    </row>
    <row r="49" spans="1:16" s="816" customFormat="1" ht="18" customHeight="1" x14ac:dyDescent="0.3">
      <c r="A49" s="61">
        <v>40</v>
      </c>
      <c r="B49" s="807"/>
      <c r="C49" s="808"/>
      <c r="D49" s="809"/>
      <c r="E49" s="810" t="s">
        <v>311</v>
      </c>
      <c r="F49" s="811">
        <v>18635</v>
      </c>
      <c r="G49" s="811"/>
      <c r="H49" s="811"/>
      <c r="I49" s="811"/>
      <c r="J49" s="811"/>
      <c r="K49" s="811"/>
      <c r="L49" s="811"/>
      <c r="M49" s="811">
        <v>322903</v>
      </c>
      <c r="N49" s="812">
        <v>237570</v>
      </c>
      <c r="O49" s="813">
        <f>SUM(F49:M49)</f>
        <v>341538</v>
      </c>
    </row>
    <row r="50" spans="1:16" s="816" customFormat="1" ht="18" customHeight="1" x14ac:dyDescent="0.3">
      <c r="A50" s="61">
        <v>41</v>
      </c>
      <c r="B50" s="807"/>
      <c r="C50" s="808"/>
      <c r="D50" s="809"/>
      <c r="E50" s="692" t="s">
        <v>1072</v>
      </c>
      <c r="F50" s="1378">
        <v>18635</v>
      </c>
      <c r="G50" s="1378"/>
      <c r="H50" s="1378"/>
      <c r="I50" s="1378"/>
      <c r="J50" s="1378"/>
      <c r="K50" s="1378"/>
      <c r="L50" s="1378">
        <v>11955</v>
      </c>
      <c r="M50" s="1378">
        <v>333916</v>
      </c>
      <c r="N50" s="1379">
        <v>256969</v>
      </c>
      <c r="O50" s="330">
        <f>SUM(F50:M50)</f>
        <v>364506</v>
      </c>
    </row>
    <row r="51" spans="1:16" s="286" customFormat="1" ht="18" customHeight="1" x14ac:dyDescent="0.3">
      <c r="A51" s="61">
        <v>42</v>
      </c>
      <c r="B51" s="1373"/>
      <c r="C51" s="1189"/>
      <c r="D51" s="1374"/>
      <c r="E51" s="1375" t="s">
        <v>1185</v>
      </c>
      <c r="F51" s="158"/>
      <c r="G51" s="158"/>
      <c r="H51" s="158"/>
      <c r="I51" s="158"/>
      <c r="J51" s="158"/>
      <c r="K51" s="158"/>
      <c r="L51" s="158"/>
      <c r="M51" s="158">
        <v>9620</v>
      </c>
      <c r="N51" s="158"/>
      <c r="O51" s="1191">
        <f>SUM(F51:M51)</f>
        <v>9620</v>
      </c>
      <c r="P51" s="49"/>
    </row>
    <row r="52" spans="1:16" s="286" customFormat="1" ht="18" customHeight="1" x14ac:dyDescent="0.3">
      <c r="A52" s="61">
        <v>43</v>
      </c>
      <c r="B52" s="1373"/>
      <c r="C52" s="1189"/>
      <c r="D52" s="1374"/>
      <c r="E52" s="1375" t="s">
        <v>1243</v>
      </c>
      <c r="F52" s="158"/>
      <c r="G52" s="158"/>
      <c r="H52" s="158"/>
      <c r="I52" s="158"/>
      <c r="J52" s="158"/>
      <c r="K52" s="158"/>
      <c r="L52" s="158"/>
      <c r="M52" s="158">
        <v>6991</v>
      </c>
      <c r="N52" s="158"/>
      <c r="O52" s="1191">
        <f>SUM(F52:M52)</f>
        <v>6991</v>
      </c>
      <c r="P52" s="49"/>
    </row>
    <row r="53" spans="1:16" s="286" customFormat="1" ht="18" customHeight="1" x14ac:dyDescent="0.3">
      <c r="A53" s="61">
        <v>44</v>
      </c>
      <c r="B53" s="1373"/>
      <c r="C53" s="1189"/>
      <c r="D53" s="1374"/>
      <c r="E53" s="1375" t="s">
        <v>1244</v>
      </c>
      <c r="F53" s="158"/>
      <c r="G53" s="158"/>
      <c r="H53" s="158"/>
      <c r="I53" s="158"/>
      <c r="J53" s="158"/>
      <c r="K53" s="158"/>
      <c r="L53" s="158"/>
      <c r="M53" s="158">
        <v>-10905</v>
      </c>
      <c r="N53" s="158"/>
      <c r="O53" s="1191">
        <f t="shared" ref="O53" si="5">SUM(F53:M53)</f>
        <v>-10905</v>
      </c>
      <c r="P53" s="49"/>
    </row>
    <row r="54" spans="1:16" s="287" customFormat="1" ht="18" customHeight="1" x14ac:dyDescent="0.3">
      <c r="A54" s="61">
        <v>45</v>
      </c>
      <c r="B54" s="462"/>
      <c r="C54" s="1376"/>
      <c r="D54" s="1377"/>
      <c r="E54" s="692" t="s">
        <v>1151</v>
      </c>
      <c r="F54" s="1378">
        <f>SUM(F50:F53)</f>
        <v>18635</v>
      </c>
      <c r="G54" s="1378"/>
      <c r="H54" s="1378"/>
      <c r="I54" s="1378"/>
      <c r="J54" s="1378"/>
      <c r="K54" s="1378"/>
      <c r="L54" s="1378">
        <f>SUM(L50:L53)</f>
        <v>11955</v>
      </c>
      <c r="M54" s="1378">
        <f>SUM(M50:M53)</f>
        <v>339622</v>
      </c>
      <c r="N54" s="1378">
        <f>SUM(N50:N53)</f>
        <v>256969</v>
      </c>
      <c r="O54" s="330">
        <f>SUM(F54:M54)</f>
        <v>370212</v>
      </c>
      <c r="P54" s="57"/>
    </row>
    <row r="55" spans="1:16" s="56" customFormat="1" ht="22.5" customHeight="1" x14ac:dyDescent="0.3">
      <c r="A55" s="61">
        <v>46</v>
      </c>
      <c r="B55" s="310">
        <v>6</v>
      </c>
      <c r="C55" s="311"/>
      <c r="D55" s="692" t="s">
        <v>270</v>
      </c>
      <c r="E55" s="692"/>
      <c r="F55" s="319"/>
      <c r="G55" s="319"/>
      <c r="H55" s="319"/>
      <c r="I55" s="319"/>
      <c r="J55" s="319"/>
      <c r="K55" s="319"/>
      <c r="L55" s="319"/>
      <c r="M55" s="319"/>
      <c r="N55" s="320"/>
      <c r="O55" s="321"/>
    </row>
    <row r="56" spans="1:16" s="56" customFormat="1" ht="18" customHeight="1" x14ac:dyDescent="0.3">
      <c r="A56" s="61">
        <v>47</v>
      </c>
      <c r="B56" s="312"/>
      <c r="C56" s="311"/>
      <c r="D56" s="690" t="s">
        <v>156</v>
      </c>
      <c r="E56" s="690"/>
      <c r="F56" s="322"/>
      <c r="G56" s="322"/>
      <c r="H56" s="322"/>
      <c r="I56" s="322"/>
      <c r="J56" s="322"/>
      <c r="K56" s="322"/>
      <c r="L56" s="322"/>
      <c r="M56" s="322"/>
      <c r="N56" s="323"/>
      <c r="O56" s="333"/>
    </row>
    <row r="57" spans="1:16" s="818" customFormat="1" ht="18" customHeight="1" x14ac:dyDescent="0.3">
      <c r="A57" s="61">
        <v>48</v>
      </c>
      <c r="B57" s="807"/>
      <c r="C57" s="808"/>
      <c r="D57" s="809"/>
      <c r="E57" s="810" t="s">
        <v>311</v>
      </c>
      <c r="F57" s="811">
        <v>5441</v>
      </c>
      <c r="G57" s="811"/>
      <c r="H57" s="811"/>
      <c r="I57" s="811"/>
      <c r="J57" s="811"/>
      <c r="K57" s="811"/>
      <c r="L57" s="811"/>
      <c r="M57" s="811">
        <v>166965</v>
      </c>
      <c r="N57" s="812">
        <v>119083</v>
      </c>
      <c r="O57" s="813">
        <f>SUM(F57:M57)</f>
        <v>172406</v>
      </c>
    </row>
    <row r="58" spans="1:16" s="818" customFormat="1" ht="18" customHeight="1" x14ac:dyDescent="0.3">
      <c r="A58" s="61">
        <v>49</v>
      </c>
      <c r="B58" s="807"/>
      <c r="C58" s="808"/>
      <c r="D58" s="809"/>
      <c r="E58" s="692" t="s">
        <v>1072</v>
      </c>
      <c r="F58" s="1378">
        <v>2968</v>
      </c>
      <c r="G58" s="1378"/>
      <c r="H58" s="1378"/>
      <c r="I58" s="1378"/>
      <c r="J58" s="1378"/>
      <c r="K58" s="1378"/>
      <c r="L58" s="1378">
        <v>15535</v>
      </c>
      <c r="M58" s="1378">
        <v>166965</v>
      </c>
      <c r="N58" s="1379">
        <v>126050</v>
      </c>
      <c r="O58" s="330">
        <f>SUM(F58:M58)</f>
        <v>185468</v>
      </c>
    </row>
    <row r="59" spans="1:16" s="286" customFormat="1" ht="18" customHeight="1" x14ac:dyDescent="0.3">
      <c r="A59" s="61">
        <v>50</v>
      </c>
      <c r="B59" s="1373"/>
      <c r="C59" s="1189"/>
      <c r="D59" s="1374"/>
      <c r="E59" s="1375" t="s">
        <v>1173</v>
      </c>
      <c r="F59" s="158"/>
      <c r="G59" s="158"/>
      <c r="H59" s="158"/>
      <c r="I59" s="158"/>
      <c r="J59" s="158"/>
      <c r="K59" s="158"/>
      <c r="L59" s="158"/>
      <c r="M59" s="158">
        <v>5214</v>
      </c>
      <c r="N59" s="158"/>
      <c r="O59" s="1191">
        <f>SUM(F59:M59)</f>
        <v>5214</v>
      </c>
      <c r="P59" s="49"/>
    </row>
    <row r="60" spans="1:16" s="286" customFormat="1" ht="18" customHeight="1" x14ac:dyDescent="0.3">
      <c r="A60" s="61">
        <v>51</v>
      </c>
      <c r="B60" s="1373"/>
      <c r="C60" s="1189"/>
      <c r="D60" s="1374"/>
      <c r="E60" s="1375" t="s">
        <v>1243</v>
      </c>
      <c r="F60" s="158"/>
      <c r="G60" s="158"/>
      <c r="H60" s="158"/>
      <c r="I60" s="158"/>
      <c r="J60" s="158"/>
      <c r="K60" s="158"/>
      <c r="L60" s="158"/>
      <c r="M60" s="158">
        <v>3989</v>
      </c>
      <c r="N60" s="158"/>
      <c r="O60" s="1191">
        <f>SUM(F60:M60)</f>
        <v>3989</v>
      </c>
      <c r="P60" s="49"/>
    </row>
    <row r="61" spans="1:16" s="286" customFormat="1" ht="18" customHeight="1" x14ac:dyDescent="0.3">
      <c r="A61" s="61">
        <v>52</v>
      </c>
      <c r="B61" s="1373"/>
      <c r="C61" s="1189"/>
      <c r="D61" s="1374"/>
      <c r="E61" s="1375" t="s">
        <v>1244</v>
      </c>
      <c r="F61" s="158"/>
      <c r="G61" s="158"/>
      <c r="H61" s="158"/>
      <c r="I61" s="158"/>
      <c r="J61" s="158"/>
      <c r="K61" s="158"/>
      <c r="L61" s="158"/>
      <c r="M61" s="158">
        <v>-7008</v>
      </c>
      <c r="N61" s="158"/>
      <c r="O61" s="1191">
        <f t="shared" ref="O61" si="6">SUM(F61:M61)</f>
        <v>-7008</v>
      </c>
      <c r="P61" s="49"/>
    </row>
    <row r="62" spans="1:16" s="287" customFormat="1" ht="18" customHeight="1" x14ac:dyDescent="0.3">
      <c r="A62" s="61">
        <v>53</v>
      </c>
      <c r="B62" s="462"/>
      <c r="C62" s="1376"/>
      <c r="D62" s="1377"/>
      <c r="E62" s="692" t="s">
        <v>1151</v>
      </c>
      <c r="F62" s="1378">
        <f>SUM(F58:F61)</f>
        <v>2968</v>
      </c>
      <c r="G62" s="1378"/>
      <c r="H62" s="1378"/>
      <c r="I62" s="1378"/>
      <c r="J62" s="1378"/>
      <c r="K62" s="1378"/>
      <c r="L62" s="1378">
        <f>SUM(L58:L61)</f>
        <v>15535</v>
      </c>
      <c r="M62" s="1378">
        <f>SUM(M58:M61)</f>
        <v>169160</v>
      </c>
      <c r="N62" s="1378">
        <f>SUM(N58:N61)</f>
        <v>126050</v>
      </c>
      <c r="O62" s="330">
        <f>SUM(F62:M62)</f>
        <v>187663</v>
      </c>
      <c r="P62" s="57"/>
    </row>
    <row r="63" spans="1:16" ht="18" customHeight="1" x14ac:dyDescent="0.3">
      <c r="A63" s="61">
        <v>54</v>
      </c>
      <c r="B63" s="314"/>
      <c r="C63" s="311">
        <v>1</v>
      </c>
      <c r="D63" s="2119" t="s">
        <v>152</v>
      </c>
      <c r="E63" s="2120"/>
      <c r="F63" s="316"/>
      <c r="G63" s="316"/>
      <c r="H63" s="316"/>
      <c r="I63" s="316"/>
      <c r="J63" s="316"/>
      <c r="K63" s="316"/>
      <c r="L63" s="316"/>
      <c r="M63" s="316"/>
      <c r="N63" s="317"/>
      <c r="O63" s="318"/>
      <c r="P63" s="48"/>
    </row>
    <row r="64" spans="1:16" s="815" customFormat="1" ht="18" customHeight="1" x14ac:dyDescent="0.3">
      <c r="A64" s="61">
        <v>55</v>
      </c>
      <c r="B64" s="819"/>
      <c r="C64" s="820"/>
      <c r="D64" s="821"/>
      <c r="E64" s="822" t="s">
        <v>311</v>
      </c>
      <c r="F64" s="823"/>
      <c r="G64" s="823">
        <v>2225</v>
      </c>
      <c r="H64" s="823"/>
      <c r="I64" s="823"/>
      <c r="J64" s="823"/>
      <c r="K64" s="823"/>
      <c r="L64" s="823"/>
      <c r="M64" s="823"/>
      <c r="N64" s="824"/>
      <c r="O64" s="825">
        <f>SUM(F64:M64)</f>
        <v>2225</v>
      </c>
      <c r="P64" s="814"/>
    </row>
    <row r="65" spans="1:16" s="815" customFormat="1" ht="18" customHeight="1" x14ac:dyDescent="0.3">
      <c r="A65" s="61">
        <v>56</v>
      </c>
      <c r="B65" s="819"/>
      <c r="C65" s="820"/>
      <c r="D65" s="821"/>
      <c r="E65" s="692" t="s">
        <v>1072</v>
      </c>
      <c r="F65" s="823"/>
      <c r="G65" s="1839">
        <v>2225</v>
      </c>
      <c r="H65" s="823"/>
      <c r="I65" s="823"/>
      <c r="J65" s="823"/>
      <c r="K65" s="823"/>
      <c r="L65" s="823"/>
      <c r="M65" s="823"/>
      <c r="N65" s="824"/>
      <c r="O65" s="330">
        <f>SUM(F65:M65)</f>
        <v>2225</v>
      </c>
      <c r="P65" s="814"/>
    </row>
    <row r="66" spans="1:16" s="286" customFormat="1" ht="18" customHeight="1" x14ac:dyDescent="0.3">
      <c r="A66" s="61">
        <v>57</v>
      </c>
      <c r="B66" s="1373"/>
      <c r="C66" s="1189"/>
      <c r="D66" s="1374"/>
      <c r="E66" s="1375" t="s">
        <v>963</v>
      </c>
      <c r="F66" s="158"/>
      <c r="G66" s="158"/>
      <c r="H66" s="158"/>
      <c r="I66" s="158"/>
      <c r="J66" s="158"/>
      <c r="K66" s="158"/>
      <c r="L66" s="158"/>
      <c r="M66" s="158"/>
      <c r="N66" s="158"/>
      <c r="O66" s="1191">
        <f>SUM(F66:M66)</f>
        <v>0</v>
      </c>
      <c r="P66" s="49"/>
    </row>
    <row r="67" spans="1:16" s="287" customFormat="1" ht="18" customHeight="1" thickBot="1" x14ac:dyDescent="0.35">
      <c r="A67" s="61">
        <v>58</v>
      </c>
      <c r="B67" s="462"/>
      <c r="C67" s="1376"/>
      <c r="D67" s="1377"/>
      <c r="E67" s="692" t="s">
        <v>1151</v>
      </c>
      <c r="F67" s="1378"/>
      <c r="G67" s="1378">
        <f>SUM(G65:G66)</f>
        <v>2225</v>
      </c>
      <c r="H67" s="1378"/>
      <c r="I67" s="1378"/>
      <c r="J67" s="1378"/>
      <c r="K67" s="1378"/>
      <c r="L67" s="1378"/>
      <c r="M67" s="1378"/>
      <c r="N67" s="1379"/>
      <c r="O67" s="330">
        <f>SUM(F67:M67)</f>
        <v>2225</v>
      </c>
      <c r="P67" s="57"/>
    </row>
    <row r="68" spans="1:16" s="48" customFormat="1" ht="22.5" customHeight="1" thickTop="1" x14ac:dyDescent="0.2">
      <c r="A68" s="61">
        <v>59</v>
      </c>
      <c r="B68" s="312"/>
      <c r="C68" s="2096" t="s">
        <v>660</v>
      </c>
      <c r="D68" s="2097"/>
      <c r="E68" s="2098"/>
      <c r="F68" s="805"/>
      <c r="G68" s="805"/>
      <c r="H68" s="805"/>
      <c r="I68" s="805"/>
      <c r="J68" s="805"/>
      <c r="K68" s="805"/>
      <c r="L68" s="805"/>
      <c r="M68" s="805"/>
      <c r="N68" s="732"/>
      <c r="O68" s="806"/>
    </row>
    <row r="69" spans="1:16" s="815" customFormat="1" ht="18" customHeight="1" x14ac:dyDescent="0.3">
      <c r="A69" s="61">
        <v>60</v>
      </c>
      <c r="B69" s="819"/>
      <c r="C69" s="820"/>
      <c r="D69" s="821"/>
      <c r="E69" s="822" t="s">
        <v>311</v>
      </c>
      <c r="F69" s="823">
        <f t="shared" ref="F69:N69" si="7">SUM(F12,F20,F29,F38,F49,F57,F64)</f>
        <v>66133</v>
      </c>
      <c r="G69" s="823">
        <f t="shared" si="7"/>
        <v>2225</v>
      </c>
      <c r="H69" s="823">
        <f t="shared" si="7"/>
        <v>0</v>
      </c>
      <c r="I69" s="823">
        <f t="shared" si="7"/>
        <v>0</v>
      </c>
      <c r="J69" s="823">
        <f t="shared" si="7"/>
        <v>0</v>
      </c>
      <c r="K69" s="823">
        <f t="shared" si="7"/>
        <v>0</v>
      </c>
      <c r="L69" s="823">
        <f t="shared" si="7"/>
        <v>1410</v>
      </c>
      <c r="M69" s="823">
        <f t="shared" si="7"/>
        <v>1775588</v>
      </c>
      <c r="N69" s="824">
        <f t="shared" si="7"/>
        <v>1335966</v>
      </c>
      <c r="O69" s="825">
        <f>SUM(F69:M69)</f>
        <v>1845356</v>
      </c>
      <c r="P69" s="814"/>
    </row>
    <row r="70" spans="1:16" s="815" customFormat="1" ht="18" customHeight="1" x14ac:dyDescent="0.3">
      <c r="A70" s="61">
        <v>61</v>
      </c>
      <c r="B70" s="819"/>
      <c r="C70" s="820"/>
      <c r="D70" s="821"/>
      <c r="E70" s="692" t="s">
        <v>1072</v>
      </c>
      <c r="F70" s="1839">
        <f t="shared" ref="F70:N70" si="8">SUM(F13,F21,F30,F39,F50,F58,F65)</f>
        <v>53773</v>
      </c>
      <c r="G70" s="1839">
        <f t="shared" si="8"/>
        <v>2225</v>
      </c>
      <c r="H70" s="1839">
        <f t="shared" si="8"/>
        <v>0</v>
      </c>
      <c r="I70" s="1839">
        <f t="shared" si="8"/>
        <v>0</v>
      </c>
      <c r="J70" s="1839">
        <f t="shared" si="8"/>
        <v>0</v>
      </c>
      <c r="K70" s="1839">
        <f t="shared" si="8"/>
        <v>0</v>
      </c>
      <c r="L70" s="1839">
        <f t="shared" si="8"/>
        <v>94961</v>
      </c>
      <c r="M70" s="1839">
        <f t="shared" si="8"/>
        <v>1796009</v>
      </c>
      <c r="N70" s="1840">
        <f t="shared" si="8"/>
        <v>1431831</v>
      </c>
      <c r="O70" s="1841">
        <f>SUM(F70:M70)</f>
        <v>1946968</v>
      </c>
      <c r="P70" s="814"/>
    </row>
    <row r="71" spans="1:16" s="286" customFormat="1" ht="18" customHeight="1" x14ac:dyDescent="0.3">
      <c r="A71" s="61">
        <v>62</v>
      </c>
      <c r="B71" s="1373"/>
      <c r="C71" s="1189"/>
      <c r="D71" s="1374"/>
      <c r="E71" s="1375" t="s">
        <v>963</v>
      </c>
      <c r="F71" s="158">
        <f t="shared" ref="F71:N71" si="9">SUM(F14:F16,F22:F25,F31:F34,F40:F45,F51:F53,F59:F61,F66)</f>
        <v>897</v>
      </c>
      <c r="G71" s="158">
        <f t="shared" si="9"/>
        <v>0</v>
      </c>
      <c r="H71" s="158">
        <f t="shared" si="9"/>
        <v>0</v>
      </c>
      <c r="I71" s="158">
        <f t="shared" si="9"/>
        <v>0</v>
      </c>
      <c r="J71" s="158">
        <f t="shared" si="9"/>
        <v>0</v>
      </c>
      <c r="K71" s="158">
        <f t="shared" si="9"/>
        <v>0</v>
      </c>
      <c r="L71" s="158">
        <f t="shared" si="9"/>
        <v>0</v>
      </c>
      <c r="M71" s="158">
        <f t="shared" si="9"/>
        <v>16766</v>
      </c>
      <c r="N71" s="158">
        <f t="shared" si="9"/>
        <v>4</v>
      </c>
      <c r="O71" s="1191">
        <f>SUM(F71:M71)</f>
        <v>17663</v>
      </c>
      <c r="P71" s="49"/>
    </row>
    <row r="72" spans="1:16" s="287" customFormat="1" ht="18" customHeight="1" thickBot="1" x14ac:dyDescent="0.35">
      <c r="A72" s="61">
        <v>63</v>
      </c>
      <c r="B72" s="462"/>
      <c r="C72" s="1380"/>
      <c r="D72" s="1381"/>
      <c r="E72" s="1382" t="s">
        <v>1151</v>
      </c>
      <c r="F72" s="1383">
        <f>SUM(F70:F71)</f>
        <v>54670</v>
      </c>
      <c r="G72" s="1383">
        <f t="shared" ref="G72:N72" si="10">SUM(G70:G71)</f>
        <v>2225</v>
      </c>
      <c r="H72" s="1383">
        <f t="shared" si="10"/>
        <v>0</v>
      </c>
      <c r="I72" s="1383">
        <f t="shared" si="10"/>
        <v>0</v>
      </c>
      <c r="J72" s="1383">
        <f t="shared" si="10"/>
        <v>0</v>
      </c>
      <c r="K72" s="1383">
        <f t="shared" si="10"/>
        <v>0</v>
      </c>
      <c r="L72" s="1383">
        <f>SUM(L70:L71)</f>
        <v>94961</v>
      </c>
      <c r="M72" s="1383">
        <f t="shared" si="10"/>
        <v>1812775</v>
      </c>
      <c r="N72" s="1383">
        <f t="shared" si="10"/>
        <v>1431835</v>
      </c>
      <c r="O72" s="1384">
        <f>SUM(F72:M72)</f>
        <v>1964631</v>
      </c>
      <c r="P72" s="57"/>
    </row>
    <row r="73" spans="1:16" s="53" customFormat="1" ht="22.5" customHeight="1" thickTop="1" x14ac:dyDescent="0.3">
      <c r="A73" s="61">
        <v>64</v>
      </c>
      <c r="B73" s="324">
        <v>7</v>
      </c>
      <c r="C73" s="325"/>
      <c r="D73" s="693" t="s">
        <v>389</v>
      </c>
      <c r="E73" s="693"/>
      <c r="F73" s="326"/>
      <c r="G73" s="326"/>
      <c r="H73" s="326"/>
      <c r="I73" s="326"/>
      <c r="J73" s="326"/>
      <c r="K73" s="326"/>
      <c r="L73" s="326"/>
      <c r="M73" s="326"/>
      <c r="N73" s="327"/>
      <c r="O73" s="328"/>
    </row>
    <row r="74" spans="1:16" s="814" customFormat="1" ht="18" customHeight="1" x14ac:dyDescent="0.3">
      <c r="A74" s="61">
        <v>65</v>
      </c>
      <c r="B74" s="807"/>
      <c r="C74" s="808"/>
      <c r="D74" s="809"/>
      <c r="E74" s="810" t="s">
        <v>311</v>
      </c>
      <c r="F74" s="829">
        <v>21777</v>
      </c>
      <c r="G74" s="829">
        <v>1473</v>
      </c>
      <c r="H74" s="829"/>
      <c r="I74" s="829"/>
      <c r="J74" s="829"/>
      <c r="K74" s="829"/>
      <c r="L74" s="829">
        <v>1630</v>
      </c>
      <c r="M74" s="829">
        <v>972097</v>
      </c>
      <c r="N74" s="830">
        <v>747388</v>
      </c>
      <c r="O74" s="826">
        <f t="shared" ref="O74:O80" si="11">SUM(F74:M74)</f>
        <v>996977</v>
      </c>
    </row>
    <row r="75" spans="1:16" s="814" customFormat="1" ht="18" customHeight="1" x14ac:dyDescent="0.3">
      <c r="A75" s="61">
        <v>66</v>
      </c>
      <c r="B75" s="807"/>
      <c r="C75" s="808"/>
      <c r="D75" s="809"/>
      <c r="E75" s="692" t="s">
        <v>1072</v>
      </c>
      <c r="F75" s="1405">
        <v>15700</v>
      </c>
      <c r="G75" s="1405">
        <v>8330</v>
      </c>
      <c r="H75" s="1405"/>
      <c r="I75" s="1405">
        <v>1200</v>
      </c>
      <c r="J75" s="1405"/>
      <c r="K75" s="1405"/>
      <c r="L75" s="1405">
        <v>49233</v>
      </c>
      <c r="M75" s="1405">
        <v>1011032</v>
      </c>
      <c r="N75" s="1422">
        <v>790581</v>
      </c>
      <c r="O75" s="330">
        <f t="shared" si="11"/>
        <v>1085495</v>
      </c>
    </row>
    <row r="76" spans="1:16" s="286" customFormat="1" ht="18" customHeight="1" x14ac:dyDescent="0.3">
      <c r="A76" s="61">
        <v>67</v>
      </c>
      <c r="B76" s="1373"/>
      <c r="C76" s="1189"/>
      <c r="D76" s="1374"/>
      <c r="E76" s="1375" t="s">
        <v>1190</v>
      </c>
      <c r="F76" s="158"/>
      <c r="G76" s="158"/>
      <c r="H76" s="158"/>
      <c r="I76" s="158">
        <v>350</v>
      </c>
      <c r="J76" s="158"/>
      <c r="K76" s="158"/>
      <c r="L76" s="158"/>
      <c r="M76" s="158"/>
      <c r="N76" s="158"/>
      <c r="O76" s="1191">
        <f t="shared" si="11"/>
        <v>350</v>
      </c>
      <c r="P76" s="49"/>
    </row>
    <row r="77" spans="1:16" s="286" customFormat="1" ht="18" customHeight="1" x14ac:dyDescent="0.3">
      <c r="A77" s="61">
        <v>68</v>
      </c>
      <c r="B77" s="1373"/>
      <c r="C77" s="1189"/>
      <c r="D77" s="1374"/>
      <c r="E77" s="1375" t="s">
        <v>1157</v>
      </c>
      <c r="F77" s="158"/>
      <c r="G77" s="158"/>
      <c r="H77" s="158"/>
      <c r="I77" s="158"/>
      <c r="J77" s="158"/>
      <c r="K77" s="158"/>
      <c r="L77" s="158"/>
      <c r="M77" s="158">
        <v>11778</v>
      </c>
      <c r="N77" s="158"/>
      <c r="O77" s="1191">
        <f t="shared" si="11"/>
        <v>11778</v>
      </c>
      <c r="P77" s="49"/>
    </row>
    <row r="78" spans="1:16" s="286" customFormat="1" ht="18" customHeight="1" x14ac:dyDescent="0.3">
      <c r="A78" s="61">
        <v>69</v>
      </c>
      <c r="B78" s="1373"/>
      <c r="C78" s="1189"/>
      <c r="D78" s="1374"/>
      <c r="E78" s="1375" t="s">
        <v>1213</v>
      </c>
      <c r="F78" s="158"/>
      <c r="G78" s="158"/>
      <c r="H78" s="158"/>
      <c r="I78" s="158"/>
      <c r="J78" s="158"/>
      <c r="K78" s="158"/>
      <c r="L78" s="158"/>
      <c r="M78" s="158">
        <v>218</v>
      </c>
      <c r="N78" s="158">
        <v>218</v>
      </c>
      <c r="O78" s="1191">
        <f t="shared" si="11"/>
        <v>218</v>
      </c>
      <c r="P78" s="49"/>
    </row>
    <row r="79" spans="1:16" s="286" customFormat="1" ht="18" customHeight="1" x14ac:dyDescent="0.3">
      <c r="A79" s="61">
        <v>70</v>
      </c>
      <c r="B79" s="1373"/>
      <c r="C79" s="1189"/>
      <c r="D79" s="1374"/>
      <c r="E79" s="1375" t="s">
        <v>1211</v>
      </c>
      <c r="F79" s="158"/>
      <c r="G79" s="158"/>
      <c r="H79" s="158"/>
      <c r="I79" s="158"/>
      <c r="J79" s="158"/>
      <c r="K79" s="158"/>
      <c r="L79" s="158"/>
      <c r="M79" s="158">
        <v>1197</v>
      </c>
      <c r="N79" s="158">
        <v>1197</v>
      </c>
      <c r="O79" s="1191">
        <f t="shared" si="11"/>
        <v>1197</v>
      </c>
      <c r="P79" s="49"/>
    </row>
    <row r="80" spans="1:16" s="286" customFormat="1" ht="18" customHeight="1" x14ac:dyDescent="0.3">
      <c r="A80" s="61">
        <v>71</v>
      </c>
      <c r="B80" s="1373"/>
      <c r="C80" s="1189"/>
      <c r="D80" s="1374"/>
      <c r="E80" s="1375" t="s">
        <v>1244</v>
      </c>
      <c r="F80" s="158"/>
      <c r="G80" s="158"/>
      <c r="H80" s="158"/>
      <c r="I80" s="158"/>
      <c r="J80" s="158"/>
      <c r="K80" s="158"/>
      <c r="L80" s="158"/>
      <c r="M80" s="158">
        <v>-11874</v>
      </c>
      <c r="N80" s="158"/>
      <c r="O80" s="1191">
        <f t="shared" si="11"/>
        <v>-11874</v>
      </c>
      <c r="P80" s="49"/>
    </row>
    <row r="81" spans="1:16" s="287" customFormat="1" ht="18" customHeight="1" x14ac:dyDescent="0.3">
      <c r="A81" s="61">
        <v>72</v>
      </c>
      <c r="B81" s="462"/>
      <c r="C81" s="1376"/>
      <c r="D81" s="1377"/>
      <c r="E81" s="692" t="s">
        <v>1151</v>
      </c>
      <c r="F81" s="1378">
        <f>SUM(F75:F80)</f>
        <v>15700</v>
      </c>
      <c r="G81" s="1378">
        <f>SUM(G75:G80)</f>
        <v>8330</v>
      </c>
      <c r="H81" s="1378"/>
      <c r="I81" s="1378">
        <f>SUM(I75:I80)</f>
        <v>1550</v>
      </c>
      <c r="J81" s="1378"/>
      <c r="K81" s="1378"/>
      <c r="L81" s="1378">
        <f>SUM(L75:L80)</f>
        <v>49233</v>
      </c>
      <c r="M81" s="1378">
        <f>SUM(M75:M80)</f>
        <v>1012351</v>
      </c>
      <c r="N81" s="1378">
        <f>SUM(N75:N80)</f>
        <v>791996</v>
      </c>
      <c r="O81" s="330">
        <f>SUM(F81:M81)</f>
        <v>1087164</v>
      </c>
      <c r="P81" s="57"/>
    </row>
    <row r="82" spans="1:16" s="288" customFormat="1" ht="22.5" customHeight="1" x14ac:dyDescent="0.3">
      <c r="A82" s="61">
        <v>73</v>
      </c>
      <c r="B82" s="310">
        <v>8</v>
      </c>
      <c r="C82" s="311"/>
      <c r="D82" s="692" t="s">
        <v>125</v>
      </c>
      <c r="E82" s="692"/>
      <c r="F82" s="316"/>
      <c r="G82" s="316"/>
      <c r="H82" s="316"/>
      <c r="I82" s="316"/>
      <c r="J82" s="316"/>
      <c r="K82" s="316"/>
      <c r="L82" s="316"/>
      <c r="M82" s="316"/>
      <c r="N82" s="317"/>
      <c r="O82" s="318"/>
      <c r="P82" s="53"/>
    </row>
    <row r="83" spans="1:16" s="816" customFormat="1" ht="18" customHeight="1" x14ac:dyDescent="0.3">
      <c r="A83" s="61">
        <v>74</v>
      </c>
      <c r="B83" s="807"/>
      <c r="C83" s="808"/>
      <c r="D83" s="809"/>
      <c r="E83" s="810" t="s">
        <v>311</v>
      </c>
      <c r="F83" s="829">
        <v>13800</v>
      </c>
      <c r="G83" s="829"/>
      <c r="H83" s="829"/>
      <c r="I83" s="829"/>
      <c r="J83" s="829"/>
      <c r="K83" s="829"/>
      <c r="L83" s="829"/>
      <c r="M83" s="829">
        <v>55450</v>
      </c>
      <c r="N83" s="830">
        <v>32245</v>
      </c>
      <c r="O83" s="826">
        <f t="shared" ref="O83:O87" si="12">SUM(F83:M83)</f>
        <v>69250</v>
      </c>
    </row>
    <row r="84" spans="1:16" s="816" customFormat="1" ht="18" customHeight="1" x14ac:dyDescent="0.3">
      <c r="A84" s="61">
        <v>75</v>
      </c>
      <c r="B84" s="807"/>
      <c r="C84" s="808"/>
      <c r="D84" s="809"/>
      <c r="E84" s="692" t="s">
        <v>1072</v>
      </c>
      <c r="F84" s="1405">
        <v>10425</v>
      </c>
      <c r="G84" s="1405"/>
      <c r="H84" s="1405"/>
      <c r="I84" s="1405"/>
      <c r="J84" s="1405"/>
      <c r="K84" s="1405"/>
      <c r="L84" s="1405">
        <v>16508</v>
      </c>
      <c r="M84" s="1405">
        <v>70229</v>
      </c>
      <c r="N84" s="1422">
        <v>49036</v>
      </c>
      <c r="O84" s="330">
        <f t="shared" si="12"/>
        <v>97162</v>
      </c>
    </row>
    <row r="85" spans="1:16" s="286" customFormat="1" ht="18" customHeight="1" x14ac:dyDescent="0.3">
      <c r="A85" s="61">
        <v>76</v>
      </c>
      <c r="B85" s="1373"/>
      <c r="C85" s="1189"/>
      <c r="D85" s="1374"/>
      <c r="E85" s="1375" t="s">
        <v>1185</v>
      </c>
      <c r="F85" s="158"/>
      <c r="G85" s="158"/>
      <c r="H85" s="158"/>
      <c r="I85" s="158"/>
      <c r="J85" s="158"/>
      <c r="K85" s="158"/>
      <c r="L85" s="158"/>
      <c r="M85" s="158">
        <v>3286</v>
      </c>
      <c r="N85" s="158"/>
      <c r="O85" s="1191">
        <f t="shared" si="12"/>
        <v>3286</v>
      </c>
      <c r="P85" s="49"/>
    </row>
    <row r="86" spans="1:16" s="286" customFormat="1" ht="18" customHeight="1" x14ac:dyDescent="0.3">
      <c r="A86" s="61">
        <v>77</v>
      </c>
      <c r="B86" s="1373"/>
      <c r="C86" s="1189"/>
      <c r="D86" s="1374"/>
      <c r="E86" s="1375" t="s">
        <v>1213</v>
      </c>
      <c r="F86" s="158"/>
      <c r="G86" s="158"/>
      <c r="H86" s="158"/>
      <c r="I86" s="158"/>
      <c r="J86" s="158"/>
      <c r="K86" s="158"/>
      <c r="L86" s="158"/>
      <c r="M86" s="158">
        <v>32</v>
      </c>
      <c r="N86" s="158">
        <v>32</v>
      </c>
      <c r="O86" s="1191">
        <f t="shared" si="12"/>
        <v>32</v>
      </c>
      <c r="P86" s="49"/>
    </row>
    <row r="87" spans="1:16" s="286" customFormat="1" ht="18" customHeight="1" x14ac:dyDescent="0.3">
      <c r="A87" s="61">
        <v>78</v>
      </c>
      <c r="B87" s="1373"/>
      <c r="C87" s="1189"/>
      <c r="D87" s="1374"/>
      <c r="E87" s="1375" t="s">
        <v>1211</v>
      </c>
      <c r="F87" s="158"/>
      <c r="G87" s="158"/>
      <c r="H87" s="158"/>
      <c r="I87" s="158"/>
      <c r="J87" s="158"/>
      <c r="K87" s="158"/>
      <c r="L87" s="158"/>
      <c r="M87" s="158">
        <v>1026</v>
      </c>
      <c r="N87" s="158">
        <v>1026</v>
      </c>
      <c r="O87" s="1191">
        <f t="shared" si="12"/>
        <v>1026</v>
      </c>
      <c r="P87" s="49"/>
    </row>
    <row r="88" spans="1:16" s="287" customFormat="1" ht="18" customHeight="1" x14ac:dyDescent="0.3">
      <c r="A88" s="61">
        <v>79</v>
      </c>
      <c r="B88" s="462"/>
      <c r="C88" s="1376"/>
      <c r="D88" s="1377"/>
      <c r="E88" s="692" t="s">
        <v>1151</v>
      </c>
      <c r="F88" s="1378">
        <f>SUM(F84:F87)</f>
        <v>10425</v>
      </c>
      <c r="G88" s="1378"/>
      <c r="H88" s="1378"/>
      <c r="I88" s="1378"/>
      <c r="J88" s="1378"/>
      <c r="K88" s="1378"/>
      <c r="L88" s="1378">
        <f t="shared" ref="L88:N88" si="13">SUM(L84:L87)</f>
        <v>16508</v>
      </c>
      <c r="M88" s="1378">
        <f t="shared" si="13"/>
        <v>74573</v>
      </c>
      <c r="N88" s="1378">
        <f t="shared" si="13"/>
        <v>50094</v>
      </c>
      <c r="O88" s="330">
        <f>SUM(F88:M88)</f>
        <v>101506</v>
      </c>
      <c r="P88" s="57"/>
    </row>
    <row r="89" spans="1:16" s="288" customFormat="1" ht="22.5" customHeight="1" x14ac:dyDescent="0.3">
      <c r="A89" s="61">
        <v>80</v>
      </c>
      <c r="B89" s="310">
        <v>9</v>
      </c>
      <c r="C89" s="311"/>
      <c r="D89" s="692" t="s">
        <v>544</v>
      </c>
      <c r="E89" s="692"/>
      <c r="F89" s="316"/>
      <c r="G89" s="316"/>
      <c r="H89" s="316"/>
      <c r="I89" s="316"/>
      <c r="J89" s="316"/>
      <c r="K89" s="316"/>
      <c r="L89" s="316"/>
      <c r="M89" s="316"/>
      <c r="N89" s="317"/>
      <c r="O89" s="318"/>
      <c r="P89" s="53"/>
    </row>
    <row r="90" spans="1:16" s="816" customFormat="1" ht="18" customHeight="1" x14ac:dyDescent="0.3">
      <c r="A90" s="61">
        <v>81</v>
      </c>
      <c r="B90" s="807"/>
      <c r="C90" s="820"/>
      <c r="D90" s="821"/>
      <c r="E90" s="836" t="s">
        <v>311</v>
      </c>
      <c r="F90" s="837">
        <v>1800</v>
      </c>
      <c r="G90" s="837"/>
      <c r="H90" s="837"/>
      <c r="I90" s="837"/>
      <c r="J90" s="837"/>
      <c r="K90" s="837"/>
      <c r="L90" s="837">
        <v>1150</v>
      </c>
      <c r="M90" s="837">
        <v>240692</v>
      </c>
      <c r="N90" s="838">
        <v>148192</v>
      </c>
      <c r="O90" s="828">
        <f t="shared" ref="O90:O94" si="14">SUM(F90:M90)</f>
        <v>243642</v>
      </c>
    </row>
    <row r="91" spans="1:16" s="816" customFormat="1" ht="18" customHeight="1" x14ac:dyDescent="0.3">
      <c r="A91" s="61">
        <v>82</v>
      </c>
      <c r="B91" s="807"/>
      <c r="C91" s="820"/>
      <c r="D91" s="821"/>
      <c r="E91" s="692" t="s">
        <v>1072</v>
      </c>
      <c r="F91" s="1443">
        <v>1800</v>
      </c>
      <c r="G91" s="1443"/>
      <c r="H91" s="1443"/>
      <c r="I91" s="1443"/>
      <c r="J91" s="1443"/>
      <c r="K91" s="1443"/>
      <c r="L91" s="1443">
        <v>29468</v>
      </c>
      <c r="M91" s="1443">
        <v>288786</v>
      </c>
      <c r="N91" s="1842">
        <v>208822</v>
      </c>
      <c r="O91" s="330">
        <f t="shared" si="14"/>
        <v>320054</v>
      </c>
    </row>
    <row r="92" spans="1:16" s="816" customFormat="1" ht="18" customHeight="1" x14ac:dyDescent="0.3">
      <c r="A92" s="61">
        <v>83</v>
      </c>
      <c r="B92" s="807"/>
      <c r="C92" s="820"/>
      <c r="D92" s="821"/>
      <c r="E92" s="1375" t="s">
        <v>1186</v>
      </c>
      <c r="F92" s="1443"/>
      <c r="G92" s="1443"/>
      <c r="H92" s="1443"/>
      <c r="I92" s="1443"/>
      <c r="J92" s="1443"/>
      <c r="K92" s="1443"/>
      <c r="L92" s="1443"/>
      <c r="M92" s="1883">
        <v>492</v>
      </c>
      <c r="N92" s="1883"/>
      <c r="O92" s="1191">
        <f t="shared" si="14"/>
        <v>492</v>
      </c>
    </row>
    <row r="93" spans="1:16" s="286" customFormat="1" ht="18" customHeight="1" x14ac:dyDescent="0.3">
      <c r="A93" s="61">
        <v>84</v>
      </c>
      <c r="B93" s="1373"/>
      <c r="C93" s="1189"/>
      <c r="D93" s="1374"/>
      <c r="E93" s="1375" t="s">
        <v>1213</v>
      </c>
      <c r="F93" s="158"/>
      <c r="G93" s="158"/>
      <c r="H93" s="158"/>
      <c r="I93" s="158"/>
      <c r="J93" s="158"/>
      <c r="K93" s="158"/>
      <c r="L93" s="158"/>
      <c r="M93" s="158">
        <v>84</v>
      </c>
      <c r="N93" s="158">
        <v>84</v>
      </c>
      <c r="O93" s="1191">
        <f t="shared" si="14"/>
        <v>84</v>
      </c>
      <c r="P93" s="49"/>
    </row>
    <row r="94" spans="1:16" s="286" customFormat="1" ht="18" customHeight="1" x14ac:dyDescent="0.3">
      <c r="A94" s="61">
        <v>85</v>
      </c>
      <c r="B94" s="1373"/>
      <c r="C94" s="1189"/>
      <c r="D94" s="1374"/>
      <c r="E94" s="1375" t="s">
        <v>1211</v>
      </c>
      <c r="F94" s="158"/>
      <c r="G94" s="158"/>
      <c r="H94" s="158"/>
      <c r="I94" s="158"/>
      <c r="J94" s="158"/>
      <c r="K94" s="158"/>
      <c r="L94" s="158"/>
      <c r="M94" s="158">
        <v>5846</v>
      </c>
      <c r="N94" s="158">
        <v>5846</v>
      </c>
      <c r="O94" s="1191">
        <f t="shared" si="14"/>
        <v>5846</v>
      </c>
      <c r="P94" s="49"/>
    </row>
    <row r="95" spans="1:16" s="287" customFormat="1" ht="18" customHeight="1" thickBot="1" x14ac:dyDescent="0.35">
      <c r="A95" s="61">
        <v>86</v>
      </c>
      <c r="B95" s="462"/>
      <c r="C95" s="1376"/>
      <c r="D95" s="1377"/>
      <c r="E95" s="692" t="s">
        <v>1151</v>
      </c>
      <c r="F95" s="1378">
        <f>SUM(F91:F94)</f>
        <v>1800</v>
      </c>
      <c r="G95" s="1378"/>
      <c r="H95" s="1378"/>
      <c r="I95" s="1378"/>
      <c r="J95" s="1378"/>
      <c r="K95" s="1378"/>
      <c r="L95" s="1378">
        <f>SUM(L91:L94)</f>
        <v>29468</v>
      </c>
      <c r="M95" s="1378">
        <f>SUM(M91:M94)</f>
        <v>295208</v>
      </c>
      <c r="N95" s="1378">
        <f>SUM(N91:N94)</f>
        <v>214752</v>
      </c>
      <c r="O95" s="330">
        <f>SUM(F95:M95)</f>
        <v>326476</v>
      </c>
      <c r="P95" s="57"/>
    </row>
    <row r="96" spans="1:16" s="56" customFormat="1" ht="22.5" customHeight="1" thickTop="1" x14ac:dyDescent="0.2">
      <c r="A96" s="61">
        <v>87</v>
      </c>
      <c r="B96" s="312"/>
      <c r="C96" s="2096" t="s">
        <v>661</v>
      </c>
      <c r="D96" s="2097"/>
      <c r="E96" s="2098"/>
      <c r="F96" s="805"/>
      <c r="G96" s="805"/>
      <c r="H96" s="805"/>
      <c r="I96" s="805"/>
      <c r="J96" s="805"/>
      <c r="K96" s="805"/>
      <c r="L96" s="805"/>
      <c r="M96" s="805"/>
      <c r="N96" s="805"/>
      <c r="O96" s="806"/>
    </row>
    <row r="97" spans="1:16" s="816" customFormat="1" ht="18" customHeight="1" x14ac:dyDescent="0.3">
      <c r="A97" s="61">
        <v>88</v>
      </c>
      <c r="B97" s="807"/>
      <c r="C97" s="820"/>
      <c r="D97" s="821"/>
      <c r="E97" s="836" t="s">
        <v>311</v>
      </c>
      <c r="F97" s="837">
        <f t="shared" ref="F97:N97" si="15">SUM(F74,F83,F90)</f>
        <v>37377</v>
      </c>
      <c r="G97" s="837">
        <f t="shared" si="15"/>
        <v>1473</v>
      </c>
      <c r="H97" s="837">
        <f t="shared" si="15"/>
        <v>0</v>
      </c>
      <c r="I97" s="837">
        <f t="shared" si="15"/>
        <v>0</v>
      </c>
      <c r="J97" s="837">
        <f t="shared" si="15"/>
        <v>0</v>
      </c>
      <c r="K97" s="837">
        <f t="shared" si="15"/>
        <v>0</v>
      </c>
      <c r="L97" s="837">
        <f t="shared" si="15"/>
        <v>2780</v>
      </c>
      <c r="M97" s="837">
        <f t="shared" si="15"/>
        <v>1268239</v>
      </c>
      <c r="N97" s="838">
        <f t="shared" si="15"/>
        <v>927825</v>
      </c>
      <c r="O97" s="828">
        <f>SUM(F97:M97)</f>
        <v>1309869</v>
      </c>
    </row>
    <row r="98" spans="1:16" s="816" customFormat="1" ht="18" customHeight="1" x14ac:dyDescent="0.3">
      <c r="A98" s="61">
        <v>89</v>
      </c>
      <c r="B98" s="807"/>
      <c r="C98" s="820"/>
      <c r="D98" s="821"/>
      <c r="E98" s="692" t="s">
        <v>1072</v>
      </c>
      <c r="F98" s="1443">
        <f t="shared" ref="F98:N98" si="16">SUM(F75,F84,F91)</f>
        <v>27925</v>
      </c>
      <c r="G98" s="1443">
        <f t="shared" si="16"/>
        <v>8330</v>
      </c>
      <c r="H98" s="1443">
        <f t="shared" si="16"/>
        <v>0</v>
      </c>
      <c r="I98" s="1443">
        <f t="shared" si="16"/>
        <v>1200</v>
      </c>
      <c r="J98" s="1443">
        <f t="shared" si="16"/>
        <v>0</v>
      </c>
      <c r="K98" s="1443">
        <f t="shared" si="16"/>
        <v>0</v>
      </c>
      <c r="L98" s="1443">
        <f t="shared" si="16"/>
        <v>95209</v>
      </c>
      <c r="M98" s="1443">
        <f t="shared" si="16"/>
        <v>1370047</v>
      </c>
      <c r="N98" s="1842">
        <f t="shared" si="16"/>
        <v>1048439</v>
      </c>
      <c r="O98" s="1843">
        <f>SUM(F98:M98)</f>
        <v>1502711</v>
      </c>
    </row>
    <row r="99" spans="1:16" s="286" customFormat="1" ht="18" customHeight="1" x14ac:dyDescent="0.3">
      <c r="A99" s="61">
        <v>90</v>
      </c>
      <c r="B99" s="1373"/>
      <c r="C99" s="1189"/>
      <c r="D99" s="1374"/>
      <c r="E99" s="1375" t="s">
        <v>963</v>
      </c>
      <c r="F99" s="158">
        <f t="shared" ref="F99:N99" si="17">SUM(F76:F80,F85:F87,F92:F94)</f>
        <v>0</v>
      </c>
      <c r="G99" s="158">
        <f t="shared" si="17"/>
        <v>0</v>
      </c>
      <c r="H99" s="158">
        <f t="shared" si="17"/>
        <v>0</v>
      </c>
      <c r="I99" s="158">
        <f t="shared" si="17"/>
        <v>350</v>
      </c>
      <c r="J99" s="158">
        <f t="shared" si="17"/>
        <v>0</v>
      </c>
      <c r="K99" s="158">
        <f t="shared" si="17"/>
        <v>0</v>
      </c>
      <c r="L99" s="158">
        <f t="shared" si="17"/>
        <v>0</v>
      </c>
      <c r="M99" s="158">
        <f t="shared" si="17"/>
        <v>12085</v>
      </c>
      <c r="N99" s="158">
        <f t="shared" si="17"/>
        <v>8403</v>
      </c>
      <c r="O99" s="1191">
        <f>SUM(F99:M99)</f>
        <v>12435</v>
      </c>
      <c r="P99" s="49"/>
    </row>
    <row r="100" spans="1:16" s="287" customFormat="1" ht="18" customHeight="1" thickBot="1" x14ac:dyDescent="0.35">
      <c r="A100" s="61">
        <v>91</v>
      </c>
      <c r="B100" s="462"/>
      <c r="C100" s="1380"/>
      <c r="D100" s="1381"/>
      <c r="E100" s="1382" t="s">
        <v>1151</v>
      </c>
      <c r="F100" s="1383">
        <f>SUM(F98:F99)</f>
        <v>27925</v>
      </c>
      <c r="G100" s="1383">
        <f t="shared" ref="G100:N100" si="18">SUM(G98:G99)</f>
        <v>8330</v>
      </c>
      <c r="H100" s="1383">
        <f t="shared" si="18"/>
        <v>0</v>
      </c>
      <c r="I100" s="1383">
        <f t="shared" si="18"/>
        <v>1550</v>
      </c>
      <c r="J100" s="1383">
        <f t="shared" si="18"/>
        <v>0</v>
      </c>
      <c r="K100" s="1383">
        <f t="shared" si="18"/>
        <v>0</v>
      </c>
      <c r="L100" s="1383">
        <f t="shared" si="18"/>
        <v>95209</v>
      </c>
      <c r="M100" s="1383">
        <f t="shared" si="18"/>
        <v>1382132</v>
      </c>
      <c r="N100" s="1383">
        <f t="shared" si="18"/>
        <v>1056842</v>
      </c>
      <c r="O100" s="1384">
        <f>SUM(F100:M100)</f>
        <v>1515146</v>
      </c>
      <c r="P100" s="57"/>
    </row>
    <row r="101" spans="1:16" s="49" customFormat="1" ht="22.5" customHeight="1" thickTop="1" x14ac:dyDescent="0.3">
      <c r="A101" s="61">
        <v>92</v>
      </c>
      <c r="B101" s="324">
        <v>10</v>
      </c>
      <c r="C101" s="325"/>
      <c r="D101" s="693" t="s">
        <v>546</v>
      </c>
      <c r="E101" s="694"/>
      <c r="F101" s="335"/>
      <c r="G101" s="335"/>
      <c r="H101" s="335"/>
      <c r="I101" s="335"/>
      <c r="J101" s="335"/>
      <c r="K101" s="335"/>
      <c r="L101" s="335"/>
      <c r="M101" s="335"/>
      <c r="N101" s="336"/>
      <c r="O101" s="337"/>
      <c r="P101" s="48"/>
    </row>
    <row r="102" spans="1:16" s="814" customFormat="1" ht="18" customHeight="1" x14ac:dyDescent="0.3">
      <c r="A102" s="61">
        <v>93</v>
      </c>
      <c r="B102" s="807"/>
      <c r="C102" s="808"/>
      <c r="D102" s="809"/>
      <c r="E102" s="810" t="s">
        <v>311</v>
      </c>
      <c r="F102" s="829">
        <v>39412</v>
      </c>
      <c r="G102" s="829"/>
      <c r="H102" s="829"/>
      <c r="I102" s="829"/>
      <c r="J102" s="829"/>
      <c r="K102" s="829"/>
      <c r="L102" s="829"/>
      <c r="M102" s="829">
        <v>173717</v>
      </c>
      <c r="N102" s="830"/>
      <c r="O102" s="826">
        <f t="shared" ref="O102:O105" si="19">SUM(F102:M102)</f>
        <v>213129</v>
      </c>
    </row>
    <row r="103" spans="1:16" s="814" customFormat="1" ht="18" customHeight="1" x14ac:dyDescent="0.3">
      <c r="A103" s="61">
        <v>94</v>
      </c>
      <c r="B103" s="807"/>
      <c r="C103" s="808"/>
      <c r="D103" s="809"/>
      <c r="E103" s="692" t="s">
        <v>1072</v>
      </c>
      <c r="F103" s="1405">
        <v>23539</v>
      </c>
      <c r="G103" s="1405"/>
      <c r="H103" s="1405"/>
      <c r="I103" s="1405"/>
      <c r="J103" s="1405"/>
      <c r="K103" s="1405"/>
      <c r="L103" s="1405">
        <v>39054</v>
      </c>
      <c r="M103" s="1405">
        <v>183045</v>
      </c>
      <c r="N103" s="1422">
        <v>4449</v>
      </c>
      <c r="O103" s="330">
        <f t="shared" si="19"/>
        <v>245638</v>
      </c>
    </row>
    <row r="104" spans="1:16" s="286" customFormat="1" ht="18" customHeight="1" x14ac:dyDescent="0.3">
      <c r="A104" s="61">
        <v>95</v>
      </c>
      <c r="B104" s="1373"/>
      <c r="C104" s="1189"/>
      <c r="D104" s="1374"/>
      <c r="E104" s="1375" t="s">
        <v>1215</v>
      </c>
      <c r="F104" s="158"/>
      <c r="G104" s="158"/>
      <c r="H104" s="158"/>
      <c r="I104" s="158"/>
      <c r="J104" s="158"/>
      <c r="K104" s="158"/>
      <c r="L104" s="158"/>
      <c r="M104" s="158">
        <v>560</v>
      </c>
      <c r="N104" s="158">
        <v>560</v>
      </c>
      <c r="O104" s="1191">
        <f t="shared" si="19"/>
        <v>560</v>
      </c>
      <c r="P104" s="49"/>
    </row>
    <row r="105" spans="1:16" s="286" customFormat="1" ht="18" customHeight="1" x14ac:dyDescent="0.3">
      <c r="A105" s="61">
        <v>96</v>
      </c>
      <c r="B105" s="1373"/>
      <c r="C105" s="1189"/>
      <c r="D105" s="1374"/>
      <c r="E105" s="1375" t="s">
        <v>1220</v>
      </c>
      <c r="F105" s="158"/>
      <c r="G105" s="158"/>
      <c r="H105" s="158"/>
      <c r="I105" s="158"/>
      <c r="J105" s="158"/>
      <c r="K105" s="158"/>
      <c r="L105" s="158"/>
      <c r="M105" s="158">
        <v>140</v>
      </c>
      <c r="N105" s="158"/>
      <c r="O105" s="1191">
        <f t="shared" si="19"/>
        <v>140</v>
      </c>
      <c r="P105" s="49"/>
    </row>
    <row r="106" spans="1:16" s="287" customFormat="1" ht="18" customHeight="1" x14ac:dyDescent="0.3">
      <c r="A106" s="61">
        <v>97</v>
      </c>
      <c r="B106" s="462"/>
      <c r="C106" s="1376"/>
      <c r="D106" s="1377"/>
      <c r="E106" s="692" t="s">
        <v>1151</v>
      </c>
      <c r="F106" s="1378">
        <f>SUM(F103:F105)</f>
        <v>23539</v>
      </c>
      <c r="G106" s="1378"/>
      <c r="H106" s="1378"/>
      <c r="I106" s="1378"/>
      <c r="J106" s="1378"/>
      <c r="K106" s="1378"/>
      <c r="L106" s="1378">
        <f>SUM(L103:L105)</f>
        <v>39054</v>
      </c>
      <c r="M106" s="1378">
        <f t="shared" ref="M106" si="20">SUM(M103:M105)</f>
        <v>183745</v>
      </c>
      <c r="N106" s="1378">
        <f>SUM(N103:N105)</f>
        <v>5009</v>
      </c>
      <c r="O106" s="330">
        <f>SUM(F106:M106)</f>
        <v>246338</v>
      </c>
      <c r="P106" s="57"/>
    </row>
    <row r="107" spans="1:16" s="57" customFormat="1" ht="18" customHeight="1" x14ac:dyDescent="0.3">
      <c r="A107" s="61">
        <v>98</v>
      </c>
      <c r="B107" s="310"/>
      <c r="C107" s="311">
        <v>1</v>
      </c>
      <c r="D107" s="2040" t="s">
        <v>651</v>
      </c>
      <c r="E107" s="2040"/>
      <c r="F107" s="121"/>
      <c r="G107" s="121"/>
      <c r="H107" s="121"/>
      <c r="I107" s="121"/>
      <c r="J107" s="121"/>
      <c r="K107" s="121"/>
      <c r="L107" s="121"/>
      <c r="M107" s="121"/>
      <c r="N107" s="158"/>
      <c r="O107" s="330"/>
      <c r="P107" s="48"/>
    </row>
    <row r="108" spans="1:16" s="814" customFormat="1" ht="18" customHeight="1" x14ac:dyDescent="0.3">
      <c r="A108" s="61">
        <v>99</v>
      </c>
      <c r="B108" s="819"/>
      <c r="C108" s="820"/>
      <c r="D108" s="821"/>
      <c r="E108" s="822" t="s">
        <v>311</v>
      </c>
      <c r="F108" s="823"/>
      <c r="G108" s="823">
        <v>66905</v>
      </c>
      <c r="H108" s="823"/>
      <c r="I108" s="823"/>
      <c r="J108" s="823">
        <v>4050</v>
      </c>
      <c r="K108" s="823"/>
      <c r="L108" s="823">
        <v>18424</v>
      </c>
      <c r="M108" s="823"/>
      <c r="N108" s="824"/>
      <c r="O108" s="825">
        <f>SUM(F108:M108)</f>
        <v>89379</v>
      </c>
    </row>
    <row r="109" spans="1:16" s="814" customFormat="1" ht="18" customHeight="1" x14ac:dyDescent="0.3">
      <c r="A109" s="61">
        <v>100</v>
      </c>
      <c r="B109" s="819"/>
      <c r="C109" s="820"/>
      <c r="D109" s="821"/>
      <c r="E109" s="692" t="s">
        <v>1072</v>
      </c>
      <c r="F109" s="823"/>
      <c r="G109" s="1839">
        <v>66905</v>
      </c>
      <c r="H109" s="1839"/>
      <c r="I109" s="1839"/>
      <c r="J109" s="1839">
        <v>4050</v>
      </c>
      <c r="K109" s="1839"/>
      <c r="L109" s="1839">
        <v>18424</v>
      </c>
      <c r="M109" s="1839"/>
      <c r="N109" s="1840"/>
      <c r="O109" s="330">
        <f>SUM(F109:M109)</f>
        <v>89379</v>
      </c>
    </row>
    <row r="110" spans="1:16" s="286" customFormat="1" ht="18" customHeight="1" x14ac:dyDescent="0.3">
      <c r="A110" s="61">
        <v>101</v>
      </c>
      <c r="B110" s="1373"/>
      <c r="C110" s="1189"/>
      <c r="D110" s="1374"/>
      <c r="E110" s="1375" t="s">
        <v>986</v>
      </c>
      <c r="F110" s="158"/>
      <c r="G110" s="158"/>
      <c r="H110" s="158"/>
      <c r="I110" s="158"/>
      <c r="J110" s="158"/>
      <c r="K110" s="158"/>
      <c r="L110" s="158"/>
      <c r="M110" s="158"/>
      <c r="N110" s="158"/>
      <c r="O110" s="1191">
        <f>SUM(F110:M110)</f>
        <v>0</v>
      </c>
      <c r="P110" s="49"/>
    </row>
    <row r="111" spans="1:16" s="287" customFormat="1" ht="18" customHeight="1" x14ac:dyDescent="0.3">
      <c r="A111" s="61">
        <v>102</v>
      </c>
      <c r="B111" s="462"/>
      <c r="C111" s="1376"/>
      <c r="D111" s="1377"/>
      <c r="E111" s="692" t="s">
        <v>1151</v>
      </c>
      <c r="F111" s="1378"/>
      <c r="G111" s="1378">
        <f>SUM(G109:G110)</f>
        <v>66905</v>
      </c>
      <c r="H111" s="1378"/>
      <c r="I111" s="1378"/>
      <c r="J111" s="1378">
        <f>SUM(J109:J110)</f>
        <v>4050</v>
      </c>
      <c r="K111" s="1378"/>
      <c r="L111" s="1378">
        <f>SUM(L109:L110)</f>
        <v>18424</v>
      </c>
      <c r="M111" s="1378"/>
      <c r="N111" s="1379"/>
      <c r="O111" s="330">
        <f>SUM(F111:M111)</f>
        <v>89379</v>
      </c>
      <c r="P111" s="57"/>
    </row>
    <row r="112" spans="1:16" s="57" customFormat="1" ht="22.5" customHeight="1" x14ac:dyDescent="0.3">
      <c r="A112" s="61">
        <v>103</v>
      </c>
      <c r="B112" s="310">
        <v>11</v>
      </c>
      <c r="C112" s="311"/>
      <c r="D112" s="692" t="s">
        <v>528</v>
      </c>
      <c r="E112" s="692"/>
      <c r="F112" s="316"/>
      <c r="G112" s="316"/>
      <c r="H112" s="316"/>
      <c r="I112" s="316"/>
      <c r="J112" s="316"/>
      <c r="K112" s="316"/>
      <c r="L112" s="316"/>
      <c r="M112" s="316"/>
      <c r="N112" s="317"/>
      <c r="O112" s="318"/>
      <c r="P112" s="48"/>
    </row>
    <row r="113" spans="1:16" s="814" customFormat="1" ht="18" customHeight="1" x14ac:dyDescent="0.3">
      <c r="A113" s="61">
        <v>104</v>
      </c>
      <c r="B113" s="807"/>
      <c r="C113" s="808"/>
      <c r="D113" s="809"/>
      <c r="E113" s="810" t="s">
        <v>311</v>
      </c>
      <c r="F113" s="829">
        <v>9529</v>
      </c>
      <c r="G113" s="829">
        <v>400</v>
      </c>
      <c r="H113" s="829"/>
      <c r="I113" s="829"/>
      <c r="J113" s="829"/>
      <c r="K113" s="829"/>
      <c r="L113" s="829"/>
      <c r="M113" s="829">
        <v>115399</v>
      </c>
      <c r="N113" s="830"/>
      <c r="O113" s="826">
        <f t="shared" ref="O113:O119" si="21">SUM(F113:M113)</f>
        <v>125328</v>
      </c>
    </row>
    <row r="114" spans="1:16" s="814" customFormat="1" ht="18" customHeight="1" x14ac:dyDescent="0.3">
      <c r="A114" s="61">
        <v>105</v>
      </c>
      <c r="B114" s="807"/>
      <c r="C114" s="808"/>
      <c r="D114" s="809"/>
      <c r="E114" s="692" t="s">
        <v>1072</v>
      </c>
      <c r="F114" s="1405">
        <v>6527</v>
      </c>
      <c r="G114" s="1405">
        <v>5232</v>
      </c>
      <c r="H114" s="1405">
        <v>200</v>
      </c>
      <c r="I114" s="1405"/>
      <c r="J114" s="1405"/>
      <c r="K114" s="1405"/>
      <c r="L114" s="1405">
        <v>12321</v>
      </c>
      <c r="M114" s="1405">
        <v>119523</v>
      </c>
      <c r="N114" s="1422">
        <v>4124</v>
      </c>
      <c r="O114" s="330">
        <f t="shared" si="21"/>
        <v>143803</v>
      </c>
    </row>
    <row r="115" spans="1:16" s="286" customFormat="1" ht="18" customHeight="1" x14ac:dyDescent="0.3">
      <c r="A115" s="61">
        <v>106</v>
      </c>
      <c r="B115" s="1373"/>
      <c r="C115" s="1189"/>
      <c r="D115" s="1374"/>
      <c r="E115" s="1375" t="s">
        <v>1215</v>
      </c>
      <c r="F115" s="158"/>
      <c r="G115" s="158"/>
      <c r="H115" s="158"/>
      <c r="I115" s="158"/>
      <c r="J115" s="158"/>
      <c r="K115" s="158"/>
      <c r="L115" s="158"/>
      <c r="M115" s="158">
        <v>460</v>
      </c>
      <c r="N115" s="158">
        <v>460</v>
      </c>
      <c r="O115" s="1191">
        <f t="shared" si="21"/>
        <v>460</v>
      </c>
      <c r="P115" s="49"/>
    </row>
    <row r="116" spans="1:16" s="286" customFormat="1" ht="18" customHeight="1" x14ac:dyDescent="0.3">
      <c r="A116" s="61">
        <v>107</v>
      </c>
      <c r="B116" s="1373"/>
      <c r="C116" s="1189"/>
      <c r="D116" s="1374"/>
      <c r="E116" s="1375" t="s">
        <v>1213</v>
      </c>
      <c r="F116" s="158"/>
      <c r="G116" s="158"/>
      <c r="H116" s="158"/>
      <c r="I116" s="158"/>
      <c r="J116" s="158"/>
      <c r="K116" s="158"/>
      <c r="L116" s="158"/>
      <c r="M116" s="158">
        <v>9</v>
      </c>
      <c r="N116" s="158">
        <v>9</v>
      </c>
      <c r="O116" s="1191">
        <f t="shared" si="21"/>
        <v>9</v>
      </c>
      <c r="P116" s="49"/>
    </row>
    <row r="117" spans="1:16" s="286" customFormat="1" ht="18" customHeight="1" x14ac:dyDescent="0.3">
      <c r="A117" s="61">
        <v>108</v>
      </c>
      <c r="B117" s="1373"/>
      <c r="C117" s="1189"/>
      <c r="D117" s="1374"/>
      <c r="E117" s="1375" t="s">
        <v>1157</v>
      </c>
      <c r="F117" s="158"/>
      <c r="G117" s="158"/>
      <c r="H117" s="158"/>
      <c r="I117" s="158"/>
      <c r="J117" s="158"/>
      <c r="K117" s="158"/>
      <c r="L117" s="158"/>
      <c r="M117" s="158">
        <v>799</v>
      </c>
      <c r="N117" s="158"/>
      <c r="O117" s="1191">
        <f t="shared" si="21"/>
        <v>799</v>
      </c>
      <c r="P117" s="49"/>
    </row>
    <row r="118" spans="1:16" s="286" customFormat="1" ht="18" customHeight="1" x14ac:dyDescent="0.3">
      <c r="A118" s="61">
        <v>109</v>
      </c>
      <c r="B118" s="1373"/>
      <c r="C118" s="1189"/>
      <c r="D118" s="1374"/>
      <c r="E118" s="1375" t="s">
        <v>1199</v>
      </c>
      <c r="F118" s="158"/>
      <c r="G118" s="158">
        <v>4642</v>
      </c>
      <c r="H118" s="158"/>
      <c r="I118" s="158"/>
      <c r="J118" s="158"/>
      <c r="K118" s="158"/>
      <c r="L118" s="158"/>
      <c r="M118" s="158"/>
      <c r="N118" s="158"/>
      <c r="O118" s="1191">
        <f t="shared" si="21"/>
        <v>4642</v>
      </c>
      <c r="P118" s="49"/>
    </row>
    <row r="119" spans="1:16" s="287" customFormat="1" ht="18" customHeight="1" x14ac:dyDescent="0.3">
      <c r="A119" s="61">
        <v>110</v>
      </c>
      <c r="B119" s="462"/>
      <c r="C119" s="1376"/>
      <c r="D119" s="1377"/>
      <c r="E119" s="692" t="s">
        <v>1151</v>
      </c>
      <c r="F119" s="1378">
        <f>SUM(F114:F118)</f>
        <v>6527</v>
      </c>
      <c r="G119" s="1378">
        <f t="shared" ref="G119:H119" si="22">SUM(G114:G118)</f>
        <v>9874</v>
      </c>
      <c r="H119" s="1378">
        <f t="shared" si="22"/>
        <v>200</v>
      </c>
      <c r="I119" s="1378"/>
      <c r="J119" s="1378"/>
      <c r="K119" s="1378"/>
      <c r="L119" s="1378">
        <f>SUM(L114:L118)</f>
        <v>12321</v>
      </c>
      <c r="M119" s="1378">
        <f t="shared" ref="M119:N119" si="23">SUM(M114:M118)</f>
        <v>120791</v>
      </c>
      <c r="N119" s="1378">
        <f t="shared" si="23"/>
        <v>4593</v>
      </c>
      <c r="O119" s="330">
        <f t="shared" si="21"/>
        <v>149713</v>
      </c>
      <c r="P119" s="57"/>
    </row>
    <row r="120" spans="1:16" s="152" customFormat="1" ht="22.5" customHeight="1" x14ac:dyDescent="0.3">
      <c r="A120" s="61">
        <v>111</v>
      </c>
      <c r="B120" s="310">
        <v>12</v>
      </c>
      <c r="C120" s="311"/>
      <c r="D120" s="692" t="s">
        <v>25</v>
      </c>
      <c r="E120" s="695"/>
      <c r="F120" s="319"/>
      <c r="G120" s="319"/>
      <c r="H120" s="319"/>
      <c r="I120" s="319"/>
      <c r="J120" s="319"/>
      <c r="K120" s="319"/>
      <c r="L120" s="319"/>
      <c r="M120" s="319"/>
      <c r="N120" s="320"/>
      <c r="O120" s="321"/>
    </row>
    <row r="121" spans="1:16" s="817" customFormat="1" ht="18" customHeight="1" x14ac:dyDescent="0.3">
      <c r="A121" s="61">
        <v>112</v>
      </c>
      <c r="B121" s="807"/>
      <c r="C121" s="808"/>
      <c r="D121" s="809"/>
      <c r="E121" s="810" t="s">
        <v>311</v>
      </c>
      <c r="F121" s="829">
        <v>21200</v>
      </c>
      <c r="G121" s="829"/>
      <c r="H121" s="829"/>
      <c r="I121" s="829"/>
      <c r="J121" s="829"/>
      <c r="K121" s="829"/>
      <c r="L121" s="829"/>
      <c r="M121" s="829">
        <v>390704</v>
      </c>
      <c r="N121" s="830">
        <v>290848</v>
      </c>
      <c r="O121" s="826">
        <f t="shared" ref="O121:O127" si="24">SUM(F121:M121)</f>
        <v>411904</v>
      </c>
    </row>
    <row r="122" spans="1:16" s="817" customFormat="1" ht="18" customHeight="1" x14ac:dyDescent="0.3">
      <c r="A122" s="61">
        <v>113</v>
      </c>
      <c r="B122" s="807"/>
      <c r="C122" s="808"/>
      <c r="D122" s="809"/>
      <c r="E122" s="692" t="s">
        <v>1072</v>
      </c>
      <c r="F122" s="1405">
        <v>17914</v>
      </c>
      <c r="G122" s="1405">
        <v>650</v>
      </c>
      <c r="H122" s="829"/>
      <c r="I122" s="829"/>
      <c r="J122" s="829"/>
      <c r="K122" s="829"/>
      <c r="L122" s="1405">
        <v>21523</v>
      </c>
      <c r="M122" s="1405">
        <v>402537</v>
      </c>
      <c r="N122" s="1422">
        <v>302681</v>
      </c>
      <c r="O122" s="330">
        <f t="shared" si="24"/>
        <v>442624</v>
      </c>
    </row>
    <row r="123" spans="1:16" s="286" customFormat="1" ht="18" customHeight="1" x14ac:dyDescent="0.3">
      <c r="A123" s="61">
        <v>114</v>
      </c>
      <c r="B123" s="1373"/>
      <c r="C123" s="1189"/>
      <c r="D123" s="1374"/>
      <c r="E123" s="1375" t="s">
        <v>1215</v>
      </c>
      <c r="F123" s="158"/>
      <c r="G123" s="158"/>
      <c r="H123" s="158"/>
      <c r="I123" s="158"/>
      <c r="J123" s="158"/>
      <c r="K123" s="158"/>
      <c r="L123" s="158"/>
      <c r="M123" s="158">
        <v>1255</v>
      </c>
      <c r="N123" s="158">
        <v>1255</v>
      </c>
      <c r="O123" s="1191">
        <f t="shared" si="24"/>
        <v>1255</v>
      </c>
      <c r="P123" s="49"/>
    </row>
    <row r="124" spans="1:16" s="286" customFormat="1" ht="18" customHeight="1" x14ac:dyDescent="0.3">
      <c r="A124" s="61">
        <v>115</v>
      </c>
      <c r="B124" s="1373"/>
      <c r="C124" s="1189"/>
      <c r="D124" s="1374"/>
      <c r="E124" s="1375" t="s">
        <v>1213</v>
      </c>
      <c r="F124" s="158"/>
      <c r="G124" s="158"/>
      <c r="H124" s="158"/>
      <c r="I124" s="158"/>
      <c r="J124" s="158"/>
      <c r="K124" s="158"/>
      <c r="L124" s="158"/>
      <c r="M124" s="158">
        <v>24</v>
      </c>
      <c r="N124" s="158">
        <v>24</v>
      </c>
      <c r="O124" s="1191">
        <f t="shared" si="24"/>
        <v>24</v>
      </c>
      <c r="P124" s="49"/>
    </row>
    <row r="125" spans="1:16" s="286" customFormat="1" ht="18" customHeight="1" x14ac:dyDescent="0.3">
      <c r="A125" s="61">
        <v>116</v>
      </c>
      <c r="B125" s="1373"/>
      <c r="C125" s="1189"/>
      <c r="D125" s="1374"/>
      <c r="E125" s="1375" t="s">
        <v>1177</v>
      </c>
      <c r="F125" s="158"/>
      <c r="G125" s="158"/>
      <c r="H125" s="158"/>
      <c r="I125" s="158"/>
      <c r="J125" s="158"/>
      <c r="K125" s="158"/>
      <c r="L125" s="158"/>
      <c r="M125" s="158">
        <v>486</v>
      </c>
      <c r="N125" s="158"/>
      <c r="O125" s="1191">
        <f t="shared" si="24"/>
        <v>486</v>
      </c>
      <c r="P125" s="49"/>
    </row>
    <row r="126" spans="1:16" s="286" customFormat="1" ht="18" customHeight="1" x14ac:dyDescent="0.3">
      <c r="A126" s="61">
        <v>117</v>
      </c>
      <c r="B126" s="1373"/>
      <c r="C126" s="1189"/>
      <c r="D126" s="1374"/>
      <c r="E126" s="1375" t="s">
        <v>1200</v>
      </c>
      <c r="F126" s="158">
        <v>6951</v>
      </c>
      <c r="G126" s="158">
        <v>250</v>
      </c>
      <c r="H126" s="158"/>
      <c r="I126" s="158"/>
      <c r="J126" s="158"/>
      <c r="K126" s="158"/>
      <c r="L126" s="158"/>
      <c r="M126" s="158"/>
      <c r="N126" s="158"/>
      <c r="O126" s="1191">
        <f t="shared" si="24"/>
        <v>7201</v>
      </c>
      <c r="P126" s="49"/>
    </row>
    <row r="127" spans="1:16" s="287" customFormat="1" ht="18" customHeight="1" x14ac:dyDescent="0.3">
      <c r="A127" s="61">
        <v>118</v>
      </c>
      <c r="B127" s="462"/>
      <c r="C127" s="1376"/>
      <c r="D127" s="1377"/>
      <c r="E127" s="692" t="s">
        <v>1151</v>
      </c>
      <c r="F127" s="1378">
        <f>SUM(F122:F126)</f>
        <v>24865</v>
      </c>
      <c r="G127" s="1378">
        <f>SUM(G122:G126)</f>
        <v>900</v>
      </c>
      <c r="H127" s="1378"/>
      <c r="I127" s="1378"/>
      <c r="J127" s="1378"/>
      <c r="K127" s="1378"/>
      <c r="L127" s="1378">
        <f>SUM(L122:L126)</f>
        <v>21523</v>
      </c>
      <c r="M127" s="1378">
        <f t="shared" ref="M127:N127" si="25">SUM(M122:M126)</f>
        <v>404302</v>
      </c>
      <c r="N127" s="1378">
        <f t="shared" si="25"/>
        <v>303960</v>
      </c>
      <c r="O127" s="330">
        <f t="shared" si="24"/>
        <v>451590</v>
      </c>
      <c r="P127" s="57"/>
    </row>
    <row r="128" spans="1:16" s="152" customFormat="1" ht="18" customHeight="1" x14ac:dyDescent="0.3">
      <c r="A128" s="61">
        <v>119</v>
      </c>
      <c r="B128" s="312"/>
      <c r="C128" s="311">
        <v>2</v>
      </c>
      <c r="D128" s="2040" t="s">
        <v>651</v>
      </c>
      <c r="E128" s="2040"/>
      <c r="F128" s="316"/>
      <c r="G128" s="316"/>
      <c r="H128" s="316"/>
      <c r="I128" s="316"/>
      <c r="J128" s="316"/>
      <c r="K128" s="316"/>
      <c r="L128" s="316"/>
      <c r="M128" s="316"/>
      <c r="N128" s="317"/>
      <c r="O128" s="318"/>
    </row>
    <row r="129" spans="1:16" s="815" customFormat="1" ht="18" customHeight="1" x14ac:dyDescent="0.3">
      <c r="A129" s="61">
        <v>120</v>
      </c>
      <c r="B129" s="819"/>
      <c r="C129" s="808"/>
      <c r="D129" s="809"/>
      <c r="E129" s="831" t="s">
        <v>311</v>
      </c>
      <c r="F129" s="832"/>
      <c r="G129" s="832">
        <v>43191</v>
      </c>
      <c r="H129" s="832"/>
      <c r="I129" s="832"/>
      <c r="J129" s="832"/>
      <c r="K129" s="832"/>
      <c r="L129" s="832">
        <f>9983+2400</f>
        <v>12383</v>
      </c>
      <c r="M129" s="832"/>
      <c r="N129" s="833"/>
      <c r="O129" s="827">
        <f>SUM(F129:M129)</f>
        <v>55574</v>
      </c>
      <c r="P129" s="814"/>
    </row>
    <row r="130" spans="1:16" s="815" customFormat="1" ht="18" customHeight="1" x14ac:dyDescent="0.3">
      <c r="A130" s="61">
        <v>121</v>
      </c>
      <c r="B130" s="819"/>
      <c r="C130" s="808"/>
      <c r="D130" s="809"/>
      <c r="E130" s="692" t="s">
        <v>1072</v>
      </c>
      <c r="F130" s="832"/>
      <c r="G130" s="1844">
        <v>43191</v>
      </c>
      <c r="H130" s="1844"/>
      <c r="I130" s="1844"/>
      <c r="J130" s="1844"/>
      <c r="K130" s="1844"/>
      <c r="L130" s="1844">
        <v>12300</v>
      </c>
      <c r="M130" s="1844"/>
      <c r="N130" s="1845"/>
      <c r="O130" s="330">
        <f>SUM(F130:M130)</f>
        <v>55491</v>
      </c>
      <c r="P130" s="814"/>
    </row>
    <row r="131" spans="1:16" s="286" customFormat="1" ht="18" customHeight="1" x14ac:dyDescent="0.3">
      <c r="A131" s="61">
        <v>122</v>
      </c>
      <c r="B131" s="1373"/>
      <c r="C131" s="1189"/>
      <c r="D131" s="1374"/>
      <c r="E131" s="1375" t="s">
        <v>986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191">
        <f>SUM(F131:M131)</f>
        <v>0</v>
      </c>
      <c r="P131" s="49"/>
    </row>
    <row r="132" spans="1:16" s="287" customFormat="1" ht="18" customHeight="1" x14ac:dyDescent="0.3">
      <c r="A132" s="61">
        <v>123</v>
      </c>
      <c r="B132" s="462"/>
      <c r="C132" s="1376"/>
      <c r="D132" s="1377"/>
      <c r="E132" s="692" t="s">
        <v>1151</v>
      </c>
      <c r="F132" s="1378"/>
      <c r="G132" s="1378">
        <f>SUM(G130:G131)</f>
        <v>43191</v>
      </c>
      <c r="H132" s="1378"/>
      <c r="I132" s="1378"/>
      <c r="J132" s="1378"/>
      <c r="K132" s="1378"/>
      <c r="L132" s="1378">
        <f>SUM(L130:L131)</f>
        <v>12300</v>
      </c>
      <c r="M132" s="1378"/>
      <c r="N132" s="1379"/>
      <c r="O132" s="330">
        <f>SUM(F132:M132)</f>
        <v>55491</v>
      </c>
      <c r="P132" s="57"/>
    </row>
    <row r="133" spans="1:16" s="152" customFormat="1" ht="22.5" customHeight="1" x14ac:dyDescent="0.3">
      <c r="A133" s="61">
        <v>124</v>
      </c>
      <c r="B133" s="310">
        <v>13</v>
      </c>
      <c r="C133" s="311"/>
      <c r="D133" s="692" t="s">
        <v>34</v>
      </c>
      <c r="E133" s="695"/>
      <c r="F133" s="319"/>
      <c r="G133" s="319"/>
      <c r="H133" s="319"/>
      <c r="I133" s="319"/>
      <c r="J133" s="319"/>
      <c r="K133" s="319"/>
      <c r="L133" s="319"/>
      <c r="M133" s="319"/>
      <c r="N133" s="320"/>
      <c r="O133" s="321"/>
    </row>
    <row r="134" spans="1:16" s="817" customFormat="1" ht="18" customHeight="1" x14ac:dyDescent="0.3">
      <c r="A134" s="61">
        <v>125</v>
      </c>
      <c r="B134" s="807"/>
      <c r="C134" s="808"/>
      <c r="D134" s="809"/>
      <c r="E134" s="810" t="s">
        <v>311</v>
      </c>
      <c r="F134" s="829">
        <v>209389</v>
      </c>
      <c r="G134" s="829">
        <v>400</v>
      </c>
      <c r="H134" s="829"/>
      <c r="I134" s="829">
        <v>3000</v>
      </c>
      <c r="J134" s="829"/>
      <c r="K134" s="829"/>
      <c r="L134" s="829">
        <v>1200</v>
      </c>
      <c r="M134" s="829">
        <v>192730</v>
      </c>
      <c r="N134" s="830">
        <v>120660</v>
      </c>
      <c r="O134" s="826">
        <f t="shared" ref="O134:O138" si="26">SUM(F134:M134)</f>
        <v>406719</v>
      </c>
    </row>
    <row r="135" spans="1:16" s="817" customFormat="1" ht="18" customHeight="1" x14ac:dyDescent="0.3">
      <c r="A135" s="61">
        <v>126</v>
      </c>
      <c r="B135" s="807"/>
      <c r="C135" s="808"/>
      <c r="D135" s="809"/>
      <c r="E135" s="692" t="s">
        <v>1072</v>
      </c>
      <c r="F135" s="1405">
        <v>209389</v>
      </c>
      <c r="G135" s="1405">
        <v>1600</v>
      </c>
      <c r="H135" s="1405"/>
      <c r="I135" s="1405">
        <v>3200</v>
      </c>
      <c r="J135" s="1405"/>
      <c r="K135" s="1405"/>
      <c r="L135" s="1405">
        <v>36876</v>
      </c>
      <c r="M135" s="1405">
        <v>202101</v>
      </c>
      <c r="N135" s="1422">
        <v>130031</v>
      </c>
      <c r="O135" s="330">
        <f t="shared" si="26"/>
        <v>453166</v>
      </c>
    </row>
    <row r="136" spans="1:16" s="286" customFormat="1" ht="18" customHeight="1" x14ac:dyDescent="0.3">
      <c r="A136" s="61">
        <v>127</v>
      </c>
      <c r="B136" s="1373"/>
      <c r="C136" s="1189"/>
      <c r="D136" s="1374"/>
      <c r="E136" s="1375" t="s">
        <v>1215</v>
      </c>
      <c r="F136" s="158"/>
      <c r="G136" s="158"/>
      <c r="H136" s="158"/>
      <c r="I136" s="158"/>
      <c r="J136" s="158"/>
      <c r="K136" s="158"/>
      <c r="L136" s="158"/>
      <c r="M136" s="158">
        <v>1118</v>
      </c>
      <c r="N136" s="158">
        <v>1118</v>
      </c>
      <c r="O136" s="1191">
        <f t="shared" si="26"/>
        <v>1118</v>
      </c>
      <c r="P136" s="49"/>
    </row>
    <row r="137" spans="1:16" s="286" customFormat="1" ht="18" customHeight="1" x14ac:dyDescent="0.3">
      <c r="A137" s="61">
        <v>128</v>
      </c>
      <c r="B137" s="1373"/>
      <c r="C137" s="1189"/>
      <c r="D137" s="1374"/>
      <c r="E137" s="1375" t="s">
        <v>1177</v>
      </c>
      <c r="F137" s="158"/>
      <c r="G137" s="158"/>
      <c r="H137" s="158"/>
      <c r="I137" s="158"/>
      <c r="J137" s="158"/>
      <c r="K137" s="158"/>
      <c r="L137" s="158"/>
      <c r="M137" s="158">
        <v>1947</v>
      </c>
      <c r="N137" s="158"/>
      <c r="O137" s="1191">
        <f t="shared" si="26"/>
        <v>1947</v>
      </c>
      <c r="P137" s="49"/>
    </row>
    <row r="138" spans="1:16" s="287" customFormat="1" ht="18" customHeight="1" x14ac:dyDescent="0.3">
      <c r="A138" s="61">
        <v>129</v>
      </c>
      <c r="B138" s="462"/>
      <c r="C138" s="1376"/>
      <c r="D138" s="1377"/>
      <c r="E138" s="692" t="s">
        <v>1151</v>
      </c>
      <c r="F138" s="1378">
        <f>SUM(F135:F137)</f>
        <v>209389</v>
      </c>
      <c r="G138" s="1378">
        <f t="shared" ref="G138:I138" si="27">SUM(G135:G137)</f>
        <v>1600</v>
      </c>
      <c r="H138" s="1378"/>
      <c r="I138" s="1378">
        <f t="shared" si="27"/>
        <v>3200</v>
      </c>
      <c r="J138" s="1378"/>
      <c r="K138" s="1378"/>
      <c r="L138" s="1378">
        <f>SUM(L135:L137)</f>
        <v>36876</v>
      </c>
      <c r="M138" s="1378">
        <f t="shared" ref="M138:N138" si="28">SUM(M135:M137)</f>
        <v>205166</v>
      </c>
      <c r="N138" s="1378">
        <f t="shared" si="28"/>
        <v>131149</v>
      </c>
      <c r="O138" s="330">
        <f t="shared" si="26"/>
        <v>456231</v>
      </c>
      <c r="P138" s="57"/>
    </row>
    <row r="139" spans="1:16" s="152" customFormat="1" ht="22.5" customHeight="1" x14ac:dyDescent="0.3">
      <c r="A139" s="61">
        <v>130</v>
      </c>
      <c r="B139" s="310">
        <v>14</v>
      </c>
      <c r="C139" s="311"/>
      <c r="D139" s="692" t="s">
        <v>529</v>
      </c>
      <c r="E139" s="692"/>
      <c r="F139" s="319"/>
      <c r="G139" s="319"/>
      <c r="H139" s="319"/>
      <c r="I139" s="319"/>
      <c r="J139" s="319"/>
      <c r="K139" s="319"/>
      <c r="L139" s="319"/>
      <c r="M139" s="319"/>
      <c r="N139" s="320"/>
      <c r="O139" s="321"/>
    </row>
    <row r="140" spans="1:16" s="817" customFormat="1" ht="18" customHeight="1" x14ac:dyDescent="0.3">
      <c r="A140" s="61">
        <v>131</v>
      </c>
      <c r="B140" s="807"/>
      <c r="C140" s="808"/>
      <c r="D140" s="809"/>
      <c r="E140" s="810" t="s">
        <v>311</v>
      </c>
      <c r="F140" s="829">
        <v>30270</v>
      </c>
      <c r="G140" s="829">
        <v>9000</v>
      </c>
      <c r="H140" s="829"/>
      <c r="I140" s="829"/>
      <c r="J140" s="829"/>
      <c r="K140" s="829"/>
      <c r="L140" s="829"/>
      <c r="M140" s="829">
        <v>90292</v>
      </c>
      <c r="N140" s="830">
        <v>49700</v>
      </c>
      <c r="O140" s="826">
        <f>SUM(F140:M140)</f>
        <v>129562</v>
      </c>
    </row>
    <row r="141" spans="1:16" s="817" customFormat="1" ht="18" customHeight="1" x14ac:dyDescent="0.3">
      <c r="A141" s="61">
        <v>132</v>
      </c>
      <c r="B141" s="807"/>
      <c r="C141" s="808"/>
      <c r="D141" s="809"/>
      <c r="E141" s="692" t="s">
        <v>1072</v>
      </c>
      <c r="F141" s="1405">
        <v>15414</v>
      </c>
      <c r="G141" s="1405">
        <v>17465</v>
      </c>
      <c r="H141" s="1405">
        <v>1306</v>
      </c>
      <c r="I141" s="1405"/>
      <c r="J141" s="1405">
        <v>85</v>
      </c>
      <c r="K141" s="1405"/>
      <c r="L141" s="1405">
        <v>5245</v>
      </c>
      <c r="M141" s="1405">
        <v>105673</v>
      </c>
      <c r="N141" s="1422">
        <v>65081</v>
      </c>
      <c r="O141" s="330">
        <f>SUM(F141:M141)</f>
        <v>145188</v>
      </c>
    </row>
    <row r="142" spans="1:16" s="286" customFormat="1" ht="18" customHeight="1" x14ac:dyDescent="0.3">
      <c r="A142" s="61">
        <v>133</v>
      </c>
      <c r="B142" s="1373"/>
      <c r="C142" s="1189"/>
      <c r="D142" s="1374"/>
      <c r="E142" s="1375" t="s">
        <v>1215</v>
      </c>
      <c r="F142" s="158"/>
      <c r="G142" s="158"/>
      <c r="H142" s="158"/>
      <c r="I142" s="158"/>
      <c r="J142" s="158"/>
      <c r="K142" s="158"/>
      <c r="L142" s="158"/>
      <c r="M142" s="158">
        <v>383</v>
      </c>
      <c r="N142" s="158">
        <v>383</v>
      </c>
      <c r="O142" s="1191">
        <f>SUM(F142:M142)</f>
        <v>383</v>
      </c>
      <c r="P142" s="49"/>
    </row>
    <row r="143" spans="1:16" s="287" customFormat="1" ht="18" customHeight="1" x14ac:dyDescent="0.3">
      <c r="A143" s="61">
        <v>134</v>
      </c>
      <c r="B143" s="462"/>
      <c r="C143" s="1376"/>
      <c r="D143" s="1377"/>
      <c r="E143" s="692" t="s">
        <v>1151</v>
      </c>
      <c r="F143" s="1378">
        <f>SUM(F141:F142)</f>
        <v>15414</v>
      </c>
      <c r="G143" s="1378">
        <f>SUM(G141:G142)</f>
        <v>17465</v>
      </c>
      <c r="H143" s="1378">
        <f>SUM(H141:H142)</f>
        <v>1306</v>
      </c>
      <c r="I143" s="1378"/>
      <c r="J143" s="1378">
        <f>SUM(J141:J142)</f>
        <v>85</v>
      </c>
      <c r="K143" s="1378"/>
      <c r="L143" s="1378">
        <f>SUM(L141:L142)</f>
        <v>5245</v>
      </c>
      <c r="M143" s="1378">
        <f>SUM(M141:M142)</f>
        <v>106056</v>
      </c>
      <c r="N143" s="1378">
        <f>SUM(N141:N142)</f>
        <v>65464</v>
      </c>
      <c r="O143" s="330">
        <f>SUM(F143:M143)</f>
        <v>145571</v>
      </c>
      <c r="P143" s="57"/>
    </row>
    <row r="144" spans="1:16" s="286" customFormat="1" ht="18" customHeight="1" x14ac:dyDescent="0.3">
      <c r="A144" s="61">
        <v>135</v>
      </c>
      <c r="B144" s="314"/>
      <c r="C144" s="311">
        <v>1</v>
      </c>
      <c r="D144" s="2040" t="s">
        <v>152</v>
      </c>
      <c r="E144" s="2040"/>
      <c r="F144" s="121"/>
      <c r="G144" s="121"/>
      <c r="H144" s="121"/>
      <c r="I144" s="121"/>
      <c r="J144" s="121"/>
      <c r="K144" s="121"/>
      <c r="L144" s="121"/>
      <c r="M144" s="121"/>
      <c r="N144" s="158"/>
      <c r="O144" s="330"/>
      <c r="P144" s="49"/>
    </row>
    <row r="145" spans="1:16" s="835" customFormat="1" ht="18" customHeight="1" x14ac:dyDescent="0.3">
      <c r="A145" s="61">
        <v>136</v>
      </c>
      <c r="B145" s="819"/>
      <c r="C145" s="808"/>
      <c r="D145" s="809"/>
      <c r="E145" s="831" t="s">
        <v>311</v>
      </c>
      <c r="F145" s="811"/>
      <c r="G145" s="811">
        <v>2455</v>
      </c>
      <c r="H145" s="811"/>
      <c r="I145" s="811"/>
      <c r="J145" s="811"/>
      <c r="K145" s="811"/>
      <c r="L145" s="811"/>
      <c r="M145" s="811"/>
      <c r="N145" s="812"/>
      <c r="O145" s="827">
        <f>SUM(F145:M145)</f>
        <v>2455</v>
      </c>
      <c r="P145" s="834"/>
    </row>
    <row r="146" spans="1:16" s="835" customFormat="1" ht="18" customHeight="1" x14ac:dyDescent="0.3">
      <c r="A146" s="61">
        <v>137</v>
      </c>
      <c r="B146" s="819"/>
      <c r="C146" s="808"/>
      <c r="D146" s="809"/>
      <c r="E146" s="692" t="s">
        <v>1072</v>
      </c>
      <c r="F146" s="811"/>
      <c r="G146" s="1378">
        <v>1064</v>
      </c>
      <c r="H146" s="811"/>
      <c r="I146" s="811"/>
      <c r="J146" s="811"/>
      <c r="K146" s="811"/>
      <c r="L146" s="811"/>
      <c r="M146" s="811"/>
      <c r="N146" s="812"/>
      <c r="O146" s="330">
        <f>SUM(F146:M146)</f>
        <v>1064</v>
      </c>
      <c r="P146" s="834"/>
    </row>
    <row r="147" spans="1:16" s="286" customFormat="1" ht="18" customHeight="1" x14ac:dyDescent="0.3">
      <c r="A147" s="61">
        <v>138</v>
      </c>
      <c r="B147" s="1373"/>
      <c r="C147" s="1189"/>
      <c r="D147" s="1374"/>
      <c r="E147" s="1375" t="s">
        <v>986</v>
      </c>
      <c r="F147" s="158"/>
      <c r="G147" s="158"/>
      <c r="H147" s="158"/>
      <c r="I147" s="158"/>
      <c r="J147" s="158"/>
      <c r="K147" s="158"/>
      <c r="L147" s="158"/>
      <c r="M147" s="158"/>
      <c r="N147" s="158"/>
      <c r="O147" s="1191">
        <f>SUM(F147:M147)</f>
        <v>0</v>
      </c>
      <c r="P147" s="49"/>
    </row>
    <row r="148" spans="1:16" s="287" customFormat="1" ht="18" customHeight="1" x14ac:dyDescent="0.3">
      <c r="A148" s="61">
        <v>139</v>
      </c>
      <c r="B148" s="462"/>
      <c r="C148" s="1376"/>
      <c r="D148" s="1377"/>
      <c r="E148" s="692" t="s">
        <v>1151</v>
      </c>
      <c r="F148" s="1378"/>
      <c r="G148" s="1378">
        <f>SUM(G146:G147)</f>
        <v>1064</v>
      </c>
      <c r="H148" s="1378"/>
      <c r="I148" s="1378"/>
      <c r="J148" s="1378"/>
      <c r="K148" s="1378"/>
      <c r="L148" s="1378"/>
      <c r="M148" s="1378"/>
      <c r="N148" s="1379"/>
      <c r="O148" s="330">
        <f>SUM(F148:M148)</f>
        <v>1064</v>
      </c>
      <c r="P148" s="57"/>
    </row>
    <row r="149" spans="1:16" s="286" customFormat="1" ht="29.25" customHeight="1" x14ac:dyDescent="0.3">
      <c r="A149" s="61">
        <v>140</v>
      </c>
      <c r="B149" s="314"/>
      <c r="C149" s="315">
        <v>2</v>
      </c>
      <c r="D149" s="2094" t="s">
        <v>532</v>
      </c>
      <c r="E149" s="2095"/>
      <c r="F149" s="121"/>
      <c r="G149" s="121"/>
      <c r="H149" s="121"/>
      <c r="I149" s="121"/>
      <c r="J149" s="121"/>
      <c r="K149" s="121"/>
      <c r="L149" s="121"/>
      <c r="M149" s="121"/>
      <c r="N149" s="158"/>
      <c r="O149" s="330"/>
      <c r="P149" s="49"/>
    </row>
    <row r="150" spans="1:16" s="835" customFormat="1" ht="18" customHeight="1" x14ac:dyDescent="0.3">
      <c r="A150" s="61">
        <v>141</v>
      </c>
      <c r="B150" s="819"/>
      <c r="C150" s="808"/>
      <c r="D150" s="809"/>
      <c r="E150" s="831" t="s">
        <v>311</v>
      </c>
      <c r="F150" s="811"/>
      <c r="G150" s="811"/>
      <c r="H150" s="811"/>
      <c r="I150" s="811"/>
      <c r="J150" s="811"/>
      <c r="K150" s="811"/>
      <c r="L150" s="811">
        <v>5725</v>
      </c>
      <c r="M150" s="811"/>
      <c r="N150" s="812"/>
      <c r="O150" s="827">
        <f>SUM(F150:M150)</f>
        <v>5725</v>
      </c>
      <c r="P150" s="834"/>
    </row>
    <row r="151" spans="1:16" s="835" customFormat="1" ht="18" customHeight="1" x14ac:dyDescent="0.3">
      <c r="A151" s="61">
        <v>142</v>
      </c>
      <c r="B151" s="819"/>
      <c r="C151" s="808"/>
      <c r="D151" s="809"/>
      <c r="E151" s="692" t="s">
        <v>1072</v>
      </c>
      <c r="F151" s="1378">
        <v>228</v>
      </c>
      <c r="G151" s="1378"/>
      <c r="H151" s="1378"/>
      <c r="I151" s="1378"/>
      <c r="J151" s="1378"/>
      <c r="K151" s="1378"/>
      <c r="L151" s="1378">
        <v>5124</v>
      </c>
      <c r="M151" s="1378"/>
      <c r="N151" s="1379"/>
      <c r="O151" s="330">
        <f>SUM(F151:M151)</f>
        <v>5352</v>
      </c>
      <c r="P151" s="834"/>
    </row>
    <row r="152" spans="1:16" s="286" customFormat="1" ht="18" customHeight="1" x14ac:dyDescent="0.3">
      <c r="A152" s="61">
        <v>143</v>
      </c>
      <c r="B152" s="1373"/>
      <c r="C152" s="1189"/>
      <c r="D152" s="1374"/>
      <c r="E152" s="1375" t="s">
        <v>963</v>
      </c>
      <c r="F152" s="158"/>
      <c r="G152" s="158"/>
      <c r="H152" s="158"/>
      <c r="I152" s="158"/>
      <c r="J152" s="158"/>
      <c r="K152" s="158"/>
      <c r="L152" s="158"/>
      <c r="M152" s="158"/>
      <c r="N152" s="158"/>
      <c r="O152" s="1191">
        <f>SUM(F152:M152)</f>
        <v>0</v>
      </c>
      <c r="P152" s="49"/>
    </row>
    <row r="153" spans="1:16" s="287" customFormat="1" ht="18" customHeight="1" x14ac:dyDescent="0.3">
      <c r="A153" s="61">
        <v>144</v>
      </c>
      <c r="B153" s="462"/>
      <c r="C153" s="1376"/>
      <c r="D153" s="1377"/>
      <c r="E153" s="692" t="s">
        <v>1151</v>
      </c>
      <c r="F153" s="1378">
        <f t="shared" ref="F153" si="29">SUM(F150:F152)</f>
        <v>228</v>
      </c>
      <c r="G153" s="1378"/>
      <c r="H153" s="1378"/>
      <c r="I153" s="1378"/>
      <c r="J153" s="1378"/>
      <c r="K153" s="1378"/>
      <c r="L153" s="1378">
        <f>SUM(L151:L152)</f>
        <v>5124</v>
      </c>
      <c r="M153" s="1378"/>
      <c r="N153" s="1379"/>
      <c r="O153" s="330">
        <f>SUM(F153:M153)</f>
        <v>5352</v>
      </c>
      <c r="P153" s="57"/>
    </row>
    <row r="154" spans="1:16" s="153" customFormat="1" ht="22.5" customHeight="1" x14ac:dyDescent="0.3">
      <c r="A154" s="61">
        <v>145</v>
      </c>
      <c r="B154" s="310">
        <v>15</v>
      </c>
      <c r="C154" s="311"/>
      <c r="D154" s="692" t="s">
        <v>157</v>
      </c>
      <c r="E154" s="695"/>
      <c r="F154" s="319"/>
      <c r="G154" s="319"/>
      <c r="H154" s="319"/>
      <c r="I154" s="319"/>
      <c r="J154" s="319"/>
      <c r="K154" s="319"/>
      <c r="L154" s="319"/>
      <c r="M154" s="319"/>
      <c r="N154" s="320"/>
      <c r="O154" s="321"/>
    </row>
    <row r="155" spans="1:16" s="816" customFormat="1" ht="18" customHeight="1" x14ac:dyDescent="0.3">
      <c r="A155" s="61">
        <v>146</v>
      </c>
      <c r="B155" s="807"/>
      <c r="C155" s="820"/>
      <c r="D155" s="821"/>
      <c r="E155" s="836" t="s">
        <v>311</v>
      </c>
      <c r="F155" s="837">
        <v>205000</v>
      </c>
      <c r="G155" s="837">
        <v>110000</v>
      </c>
      <c r="H155" s="837"/>
      <c r="I155" s="837"/>
      <c r="J155" s="837"/>
      <c r="K155" s="837"/>
      <c r="L155" s="837">
        <v>2000</v>
      </c>
      <c r="M155" s="837">
        <v>425553</v>
      </c>
      <c r="N155" s="838">
        <v>259100</v>
      </c>
      <c r="O155" s="828">
        <f t="shared" ref="O155:O158" si="30">SUM(F155:M155)</f>
        <v>742553</v>
      </c>
    </row>
    <row r="156" spans="1:16" s="816" customFormat="1" ht="18" customHeight="1" x14ac:dyDescent="0.3">
      <c r="A156" s="61">
        <v>147</v>
      </c>
      <c r="B156" s="807"/>
      <c r="C156" s="820"/>
      <c r="D156" s="821"/>
      <c r="E156" s="692" t="s">
        <v>1072</v>
      </c>
      <c r="F156" s="1443">
        <v>139433</v>
      </c>
      <c r="G156" s="1443">
        <v>47395</v>
      </c>
      <c r="H156" s="1443"/>
      <c r="I156" s="1443"/>
      <c r="J156" s="1443"/>
      <c r="K156" s="1443"/>
      <c r="L156" s="1443">
        <v>206939</v>
      </c>
      <c r="M156" s="1443">
        <v>535421</v>
      </c>
      <c r="N156" s="1842">
        <v>368010</v>
      </c>
      <c r="O156" s="330">
        <f t="shared" si="30"/>
        <v>929188</v>
      </c>
    </row>
    <row r="157" spans="1:16" s="286" customFormat="1" ht="18" customHeight="1" x14ac:dyDescent="0.3">
      <c r="A157" s="61">
        <v>148</v>
      </c>
      <c r="B157" s="1373"/>
      <c r="C157" s="1189"/>
      <c r="D157" s="1374"/>
      <c r="E157" s="1375" t="s">
        <v>1215</v>
      </c>
      <c r="F157" s="158"/>
      <c r="G157" s="158"/>
      <c r="H157" s="158"/>
      <c r="I157" s="158"/>
      <c r="J157" s="158"/>
      <c r="K157" s="158"/>
      <c r="L157" s="158"/>
      <c r="M157" s="158">
        <v>1566</v>
      </c>
      <c r="N157" s="158">
        <v>1566</v>
      </c>
      <c r="O157" s="1191">
        <f t="shared" si="30"/>
        <v>1566</v>
      </c>
      <c r="P157" s="49"/>
    </row>
    <row r="158" spans="1:16" s="286" customFormat="1" ht="18" customHeight="1" x14ac:dyDescent="0.3">
      <c r="A158" s="61">
        <v>149</v>
      </c>
      <c r="B158" s="1373"/>
      <c r="C158" s="1189"/>
      <c r="D158" s="1374"/>
      <c r="E158" s="1375" t="s">
        <v>1177</v>
      </c>
      <c r="F158" s="158"/>
      <c r="G158" s="158"/>
      <c r="H158" s="158"/>
      <c r="I158" s="158"/>
      <c r="J158" s="158"/>
      <c r="K158" s="158"/>
      <c r="L158" s="158"/>
      <c r="M158" s="158">
        <v>2474</v>
      </c>
      <c r="N158" s="158"/>
      <c r="O158" s="1191">
        <f t="shared" si="30"/>
        <v>2474</v>
      </c>
      <c r="P158" s="49"/>
    </row>
    <row r="159" spans="1:16" s="287" customFormat="1" ht="18" customHeight="1" thickBot="1" x14ac:dyDescent="0.35">
      <c r="A159" s="61">
        <v>150</v>
      </c>
      <c r="B159" s="462"/>
      <c r="C159" s="1376"/>
      <c r="D159" s="1377"/>
      <c r="E159" s="692" t="s">
        <v>1151</v>
      </c>
      <c r="F159" s="1378">
        <f>SUM(F156:F158)</f>
        <v>139433</v>
      </c>
      <c r="G159" s="1378">
        <f>SUM(G156:G158)</f>
        <v>47395</v>
      </c>
      <c r="H159" s="1378"/>
      <c r="I159" s="1378"/>
      <c r="J159" s="1378"/>
      <c r="K159" s="1378"/>
      <c r="L159" s="1378">
        <f>SUM(L156:L158)</f>
        <v>206939</v>
      </c>
      <c r="M159" s="1378">
        <f>SUM(M156:M158)</f>
        <v>539461</v>
      </c>
      <c r="N159" s="1378">
        <f>SUM(N156:N158)</f>
        <v>369576</v>
      </c>
      <c r="O159" s="330">
        <f>SUM(F159:M159)</f>
        <v>933228</v>
      </c>
      <c r="P159" s="57"/>
    </row>
    <row r="160" spans="1:16" s="153" customFormat="1" ht="22.5" customHeight="1" thickTop="1" x14ac:dyDescent="0.2">
      <c r="A160" s="61">
        <v>151</v>
      </c>
      <c r="B160" s="312"/>
      <c r="C160" s="2096" t="s">
        <v>662</v>
      </c>
      <c r="D160" s="2097"/>
      <c r="E160" s="2098"/>
      <c r="F160" s="805"/>
      <c r="G160" s="805"/>
      <c r="H160" s="805"/>
      <c r="I160" s="805"/>
      <c r="J160" s="805"/>
      <c r="K160" s="805"/>
      <c r="L160" s="805"/>
      <c r="M160" s="805"/>
      <c r="N160" s="805"/>
      <c r="O160" s="806"/>
    </row>
    <row r="161" spans="1:16" s="816" customFormat="1" ht="18" customHeight="1" x14ac:dyDescent="0.3">
      <c r="A161" s="61">
        <v>152</v>
      </c>
      <c r="B161" s="807"/>
      <c r="C161" s="820"/>
      <c r="D161" s="821"/>
      <c r="E161" s="836" t="s">
        <v>311</v>
      </c>
      <c r="F161" s="837">
        <f t="shared" ref="F161:N161" si="31">SUM(F102,F108,F113,F121,F129,F134,F140,F145,F150,F155)</f>
        <v>514800</v>
      </c>
      <c r="G161" s="837">
        <f t="shared" si="31"/>
        <v>232351</v>
      </c>
      <c r="H161" s="837">
        <f t="shared" si="31"/>
        <v>0</v>
      </c>
      <c r="I161" s="837">
        <f t="shared" si="31"/>
        <v>3000</v>
      </c>
      <c r="J161" s="837">
        <f t="shared" si="31"/>
        <v>4050</v>
      </c>
      <c r="K161" s="837">
        <f t="shared" si="31"/>
        <v>0</v>
      </c>
      <c r="L161" s="837">
        <f t="shared" si="31"/>
        <v>39732</v>
      </c>
      <c r="M161" s="837">
        <f t="shared" si="31"/>
        <v>1388395</v>
      </c>
      <c r="N161" s="838">
        <f t="shared" si="31"/>
        <v>720308</v>
      </c>
      <c r="O161" s="828">
        <f>SUM(F161:M161)</f>
        <v>2182328</v>
      </c>
    </row>
    <row r="162" spans="1:16" s="816" customFormat="1" ht="18" customHeight="1" x14ac:dyDescent="0.3">
      <c r="A162" s="61">
        <v>153</v>
      </c>
      <c r="B162" s="807"/>
      <c r="C162" s="820"/>
      <c r="D162" s="821"/>
      <c r="E162" s="692" t="s">
        <v>1072</v>
      </c>
      <c r="F162" s="1443">
        <f t="shared" ref="F162:N162" si="32">SUM(F103,F109,F114,F122,F130,F135,F141,F146,F151,F156)</f>
        <v>412444</v>
      </c>
      <c r="G162" s="1443">
        <f t="shared" si="32"/>
        <v>183502</v>
      </c>
      <c r="H162" s="1443">
        <f t="shared" si="32"/>
        <v>1506</v>
      </c>
      <c r="I162" s="1443">
        <f t="shared" si="32"/>
        <v>3200</v>
      </c>
      <c r="J162" s="1443">
        <f t="shared" si="32"/>
        <v>4135</v>
      </c>
      <c r="K162" s="1443">
        <f t="shared" si="32"/>
        <v>0</v>
      </c>
      <c r="L162" s="1443">
        <f t="shared" si="32"/>
        <v>357806</v>
      </c>
      <c r="M162" s="1443">
        <f t="shared" si="32"/>
        <v>1548300</v>
      </c>
      <c r="N162" s="1842">
        <f t="shared" si="32"/>
        <v>874376</v>
      </c>
      <c r="O162" s="1843">
        <f>SUM(F162:M162)</f>
        <v>2510893</v>
      </c>
    </row>
    <row r="163" spans="1:16" s="286" customFormat="1" ht="18" customHeight="1" x14ac:dyDescent="0.3">
      <c r="A163" s="61">
        <v>154</v>
      </c>
      <c r="B163" s="1373"/>
      <c r="C163" s="1189"/>
      <c r="D163" s="1374"/>
      <c r="E163" s="1375" t="s">
        <v>963</v>
      </c>
      <c r="F163" s="158">
        <f t="shared" ref="F163:N163" si="33">SUM(F104:F105,F110:F110,F115:F118,F123:F126,F131:F131,F136:F137,F142:F142,F147:F147,F152:F152,F157:F158,)</f>
        <v>6951</v>
      </c>
      <c r="G163" s="158">
        <f t="shared" si="33"/>
        <v>4892</v>
      </c>
      <c r="H163" s="158">
        <f t="shared" si="33"/>
        <v>0</v>
      </c>
      <c r="I163" s="158">
        <f t="shared" si="33"/>
        <v>0</v>
      </c>
      <c r="J163" s="158">
        <f t="shared" si="33"/>
        <v>0</v>
      </c>
      <c r="K163" s="158">
        <f t="shared" si="33"/>
        <v>0</v>
      </c>
      <c r="L163" s="158">
        <f t="shared" si="33"/>
        <v>0</v>
      </c>
      <c r="M163" s="158">
        <f t="shared" si="33"/>
        <v>11221</v>
      </c>
      <c r="N163" s="158">
        <f t="shared" si="33"/>
        <v>5375</v>
      </c>
      <c r="O163" s="1191">
        <f>SUM(F163:M163)</f>
        <v>23064</v>
      </c>
      <c r="P163" s="49"/>
    </row>
    <row r="164" spans="1:16" s="287" customFormat="1" ht="18" customHeight="1" thickBot="1" x14ac:dyDescent="0.35">
      <c r="A164" s="61">
        <v>155</v>
      </c>
      <c r="B164" s="462"/>
      <c r="C164" s="1380"/>
      <c r="D164" s="1381"/>
      <c r="E164" s="1382" t="s">
        <v>1151</v>
      </c>
      <c r="F164" s="1383">
        <f>SUM(F162:F163)</f>
        <v>419395</v>
      </c>
      <c r="G164" s="1383">
        <f t="shared" ref="G164:N164" si="34">SUM(G162:G163)</f>
        <v>188394</v>
      </c>
      <c r="H164" s="1383">
        <f t="shared" si="34"/>
        <v>1506</v>
      </c>
      <c r="I164" s="1383">
        <f t="shared" si="34"/>
        <v>3200</v>
      </c>
      <c r="J164" s="1383">
        <f t="shared" si="34"/>
        <v>4135</v>
      </c>
      <c r="K164" s="1383">
        <f t="shared" si="34"/>
        <v>0</v>
      </c>
      <c r="L164" s="1383">
        <f t="shared" si="34"/>
        <v>357806</v>
      </c>
      <c r="M164" s="1383">
        <f t="shared" si="34"/>
        <v>1559521</v>
      </c>
      <c r="N164" s="1383">
        <f t="shared" si="34"/>
        <v>879751</v>
      </c>
      <c r="O164" s="1384">
        <f>SUM(F164:M164)</f>
        <v>2533957</v>
      </c>
      <c r="P164" s="57"/>
    </row>
    <row r="165" spans="1:16" ht="22.5" customHeight="1" thickTop="1" x14ac:dyDescent="0.3">
      <c r="A165" s="61">
        <v>156</v>
      </c>
      <c r="B165" s="324">
        <v>16</v>
      </c>
      <c r="C165" s="325"/>
      <c r="D165" s="693" t="s">
        <v>271</v>
      </c>
      <c r="E165" s="693"/>
      <c r="F165" s="335"/>
      <c r="G165" s="335"/>
      <c r="H165" s="335"/>
      <c r="I165" s="335"/>
      <c r="J165" s="335"/>
      <c r="K165" s="335"/>
      <c r="L165" s="335"/>
      <c r="M165" s="335"/>
      <c r="N165" s="336"/>
      <c r="O165" s="337"/>
      <c r="P165" s="48"/>
    </row>
    <row r="166" spans="1:16" s="835" customFormat="1" ht="18" customHeight="1" x14ac:dyDescent="0.3">
      <c r="A166" s="61">
        <v>157</v>
      </c>
      <c r="B166" s="843"/>
      <c r="C166" s="820"/>
      <c r="D166" s="821"/>
      <c r="E166" s="836" t="s">
        <v>311</v>
      </c>
      <c r="F166" s="837">
        <v>410302</v>
      </c>
      <c r="G166" s="837"/>
      <c r="H166" s="837"/>
      <c r="I166" s="837"/>
      <c r="J166" s="837"/>
      <c r="K166" s="837"/>
      <c r="L166" s="837"/>
      <c r="M166" s="837">
        <v>615157</v>
      </c>
      <c r="N166" s="838">
        <v>193026</v>
      </c>
      <c r="O166" s="828">
        <f>SUM(F166:M166)</f>
        <v>1025459</v>
      </c>
      <c r="P166" s="834"/>
    </row>
    <row r="167" spans="1:16" s="835" customFormat="1" ht="18" customHeight="1" x14ac:dyDescent="0.3">
      <c r="A167" s="61">
        <v>158</v>
      </c>
      <c r="B167" s="843"/>
      <c r="C167" s="820"/>
      <c r="D167" s="821"/>
      <c r="E167" s="692" t="s">
        <v>1072</v>
      </c>
      <c r="F167" s="1443">
        <v>381102</v>
      </c>
      <c r="G167" s="1443"/>
      <c r="H167" s="1443"/>
      <c r="I167" s="1443"/>
      <c r="J167" s="1443"/>
      <c r="K167" s="1443"/>
      <c r="L167" s="1443">
        <v>141340</v>
      </c>
      <c r="M167" s="1443">
        <v>615159</v>
      </c>
      <c r="N167" s="1842">
        <v>206546</v>
      </c>
      <c r="O167" s="330">
        <f>SUM(F167:M167)</f>
        <v>1137601</v>
      </c>
      <c r="P167" s="834"/>
    </row>
    <row r="168" spans="1:16" s="286" customFormat="1" ht="18" customHeight="1" x14ac:dyDescent="0.3">
      <c r="A168" s="61">
        <v>159</v>
      </c>
      <c r="B168" s="1373"/>
      <c r="C168" s="1189"/>
      <c r="D168" s="1374"/>
      <c r="E168" s="1375" t="s">
        <v>1245</v>
      </c>
      <c r="F168" s="158"/>
      <c r="G168" s="158"/>
      <c r="H168" s="158"/>
      <c r="I168" s="158"/>
      <c r="J168" s="158"/>
      <c r="K168" s="158"/>
      <c r="L168" s="158"/>
      <c r="M168" s="158">
        <f>-121158+6158</f>
        <v>-115000</v>
      </c>
      <c r="N168" s="158"/>
      <c r="O168" s="1191">
        <f>SUM(F168:M168)</f>
        <v>-115000</v>
      </c>
      <c r="P168" s="49"/>
    </row>
    <row r="169" spans="1:16" s="286" customFormat="1" ht="18" customHeight="1" x14ac:dyDescent="0.3">
      <c r="A169" s="61">
        <v>160</v>
      </c>
      <c r="B169" s="1373"/>
      <c r="C169" s="1189"/>
      <c r="D169" s="1374"/>
      <c r="E169" s="1375" t="s">
        <v>1159</v>
      </c>
      <c r="F169" s="158">
        <v>-600</v>
      </c>
      <c r="G169" s="158"/>
      <c r="H169" s="158"/>
      <c r="I169" s="158">
        <v>600</v>
      </c>
      <c r="J169" s="158"/>
      <c r="K169" s="158"/>
      <c r="L169" s="158"/>
      <c r="M169" s="158"/>
      <c r="N169" s="158"/>
      <c r="O169" s="1191">
        <f>SUM(F169:M169)</f>
        <v>0</v>
      </c>
      <c r="P169" s="49"/>
    </row>
    <row r="170" spans="1:16" s="287" customFormat="1" ht="18" customHeight="1" thickBot="1" x14ac:dyDescent="0.35">
      <c r="A170" s="61">
        <v>161</v>
      </c>
      <c r="B170" s="462"/>
      <c r="C170" s="1376"/>
      <c r="D170" s="1377"/>
      <c r="E170" s="692" t="s">
        <v>1151</v>
      </c>
      <c r="F170" s="1378">
        <f>SUM(F167:F169)</f>
        <v>380502</v>
      </c>
      <c r="G170" s="1378"/>
      <c r="H170" s="1378"/>
      <c r="I170" s="1378">
        <f>SUM(I167:I169)</f>
        <v>600</v>
      </c>
      <c r="J170" s="1378"/>
      <c r="K170" s="1378"/>
      <c r="L170" s="1378">
        <f>SUM(L167:L169)</f>
        <v>141340</v>
      </c>
      <c r="M170" s="1378">
        <f t="shared" ref="M170:N170" si="35">SUM(M167:M169)</f>
        <v>500159</v>
      </c>
      <c r="N170" s="1378">
        <f t="shared" si="35"/>
        <v>206546</v>
      </c>
      <c r="O170" s="330">
        <f>SUM(F170:M170)</f>
        <v>1022601</v>
      </c>
      <c r="P170" s="57"/>
    </row>
    <row r="171" spans="1:16" s="286" customFormat="1" ht="36" customHeight="1" x14ac:dyDescent="0.2">
      <c r="A171" s="61">
        <v>162</v>
      </c>
      <c r="B171" s="2099" t="s">
        <v>158</v>
      </c>
      <c r="C171" s="2100"/>
      <c r="D171" s="2100"/>
      <c r="E171" s="2101"/>
      <c r="F171" s="839"/>
      <c r="G171" s="839"/>
      <c r="H171" s="839"/>
      <c r="I171" s="839"/>
      <c r="J171" s="839"/>
      <c r="K171" s="839"/>
      <c r="L171" s="839"/>
      <c r="M171" s="839"/>
      <c r="N171" s="840"/>
      <c r="O171" s="841"/>
      <c r="P171" s="49"/>
    </row>
    <row r="172" spans="1:16" s="835" customFormat="1" ht="18" customHeight="1" x14ac:dyDescent="0.3">
      <c r="A172" s="61">
        <v>163</v>
      </c>
      <c r="B172" s="843"/>
      <c r="C172" s="820"/>
      <c r="D172" s="821"/>
      <c r="E172" s="836" t="s">
        <v>311</v>
      </c>
      <c r="F172" s="837">
        <f t="shared" ref="F172:N172" si="36">SUM(F166,F161,F97,F69)</f>
        <v>1028612</v>
      </c>
      <c r="G172" s="837">
        <f t="shared" si="36"/>
        <v>236049</v>
      </c>
      <c r="H172" s="837">
        <f t="shared" si="36"/>
        <v>0</v>
      </c>
      <c r="I172" s="837">
        <f t="shared" si="36"/>
        <v>3000</v>
      </c>
      <c r="J172" s="837">
        <f t="shared" si="36"/>
        <v>4050</v>
      </c>
      <c r="K172" s="837">
        <f t="shared" si="36"/>
        <v>0</v>
      </c>
      <c r="L172" s="837">
        <f t="shared" si="36"/>
        <v>43922</v>
      </c>
      <c r="M172" s="837">
        <f t="shared" si="36"/>
        <v>5047379</v>
      </c>
      <c r="N172" s="838">
        <f t="shared" si="36"/>
        <v>3177125</v>
      </c>
      <c r="O172" s="828">
        <f>SUM(F172:M172)</f>
        <v>6363012</v>
      </c>
      <c r="P172" s="834"/>
    </row>
    <row r="173" spans="1:16" s="835" customFormat="1" ht="18" customHeight="1" x14ac:dyDescent="0.3">
      <c r="A173" s="61">
        <v>164</v>
      </c>
      <c r="B173" s="843"/>
      <c r="C173" s="820"/>
      <c r="D173" s="821"/>
      <c r="E173" s="692" t="s">
        <v>1072</v>
      </c>
      <c r="F173" s="1443">
        <f t="shared" ref="F173:N173" si="37">SUM(F167,F162,F98,F70)</f>
        <v>875244</v>
      </c>
      <c r="G173" s="1443">
        <f t="shared" si="37"/>
        <v>194057</v>
      </c>
      <c r="H173" s="1443">
        <f t="shared" si="37"/>
        <v>1506</v>
      </c>
      <c r="I173" s="1443">
        <f t="shared" si="37"/>
        <v>4400</v>
      </c>
      <c r="J173" s="1443">
        <f t="shared" si="37"/>
        <v>4135</v>
      </c>
      <c r="K173" s="1443">
        <f t="shared" si="37"/>
        <v>0</v>
      </c>
      <c r="L173" s="1443">
        <f t="shared" si="37"/>
        <v>689316</v>
      </c>
      <c r="M173" s="1443">
        <f t="shared" si="37"/>
        <v>5329515</v>
      </c>
      <c r="N173" s="1842">
        <f t="shared" si="37"/>
        <v>3561192</v>
      </c>
      <c r="O173" s="1843">
        <f>SUM(F173:M173)</f>
        <v>7098173</v>
      </c>
      <c r="P173" s="834"/>
    </row>
    <row r="174" spans="1:16" s="286" customFormat="1" ht="18" customHeight="1" x14ac:dyDescent="0.3">
      <c r="A174" s="61">
        <v>165</v>
      </c>
      <c r="B174" s="1373"/>
      <c r="C174" s="1189"/>
      <c r="D174" s="1374"/>
      <c r="E174" s="1375" t="s">
        <v>963</v>
      </c>
      <c r="F174" s="158">
        <f t="shared" ref="F174:N174" si="38">SUM(F71,F99,F163,F168:F169)</f>
        <v>7248</v>
      </c>
      <c r="G174" s="158">
        <f t="shared" si="38"/>
        <v>4892</v>
      </c>
      <c r="H174" s="158">
        <f t="shared" si="38"/>
        <v>0</v>
      </c>
      <c r="I174" s="158">
        <f t="shared" si="38"/>
        <v>950</v>
      </c>
      <c r="J174" s="158">
        <f t="shared" si="38"/>
        <v>0</v>
      </c>
      <c r="K174" s="158">
        <f t="shared" si="38"/>
        <v>0</v>
      </c>
      <c r="L174" s="158">
        <f t="shared" si="38"/>
        <v>0</v>
      </c>
      <c r="M174" s="158">
        <f t="shared" si="38"/>
        <v>-74928</v>
      </c>
      <c r="N174" s="158">
        <f t="shared" si="38"/>
        <v>13782</v>
      </c>
      <c r="O174" s="1191">
        <f>SUM(F174:M174)</f>
        <v>-61838</v>
      </c>
      <c r="P174" s="49"/>
    </row>
    <row r="175" spans="1:16" s="287" customFormat="1" ht="18" customHeight="1" thickBot="1" x14ac:dyDescent="0.35">
      <c r="A175" s="61">
        <v>166</v>
      </c>
      <c r="B175" s="1385"/>
      <c r="C175" s="1386"/>
      <c r="D175" s="1387"/>
      <c r="E175" s="1388" t="s">
        <v>1151</v>
      </c>
      <c r="F175" s="1389">
        <f>SUM(F173:F174)</f>
        <v>882492</v>
      </c>
      <c r="G175" s="1389">
        <f t="shared" ref="G175:N175" si="39">SUM(G173:G174)</f>
        <v>198949</v>
      </c>
      <c r="H175" s="1389">
        <f t="shared" si="39"/>
        <v>1506</v>
      </c>
      <c r="I175" s="1389">
        <f t="shared" si="39"/>
        <v>5350</v>
      </c>
      <c r="J175" s="1389">
        <f t="shared" si="39"/>
        <v>4135</v>
      </c>
      <c r="K175" s="1389">
        <f t="shared" si="39"/>
        <v>0</v>
      </c>
      <c r="L175" s="1389">
        <f t="shared" si="39"/>
        <v>689316</v>
      </c>
      <c r="M175" s="1389">
        <f t="shared" si="39"/>
        <v>5254587</v>
      </c>
      <c r="N175" s="1389">
        <f t="shared" si="39"/>
        <v>3574974</v>
      </c>
      <c r="O175" s="1390">
        <f>SUM(F175:M175)</f>
        <v>7036335</v>
      </c>
      <c r="P175" s="57"/>
    </row>
    <row r="176" spans="1:16" ht="22.5" customHeight="1" x14ac:dyDescent="0.3">
      <c r="A176" s="61">
        <v>167</v>
      </c>
      <c r="B176" s="324">
        <v>17</v>
      </c>
      <c r="C176" s="325"/>
      <c r="D176" s="1391" t="s">
        <v>159</v>
      </c>
      <c r="E176" s="1392"/>
      <c r="F176" s="1393"/>
      <c r="G176" s="694"/>
      <c r="H176" s="335"/>
      <c r="I176" s="335"/>
      <c r="J176" s="335"/>
      <c r="K176" s="335"/>
      <c r="L176" s="335"/>
      <c r="M176" s="335"/>
      <c r="N176" s="336"/>
      <c r="O176" s="337"/>
      <c r="P176" s="48"/>
    </row>
    <row r="177" spans="1:16" s="835" customFormat="1" ht="18" customHeight="1" x14ac:dyDescent="0.3">
      <c r="A177" s="61">
        <v>168</v>
      </c>
      <c r="B177" s="843"/>
      <c r="C177" s="820"/>
      <c r="D177" s="820"/>
      <c r="E177" s="844" t="s">
        <v>311</v>
      </c>
      <c r="F177" s="837"/>
      <c r="G177" s="837"/>
      <c r="H177" s="837"/>
      <c r="I177" s="837">
        <v>4543</v>
      </c>
      <c r="J177" s="837"/>
      <c r="K177" s="837"/>
      <c r="L177" s="837">
        <v>92459</v>
      </c>
      <c r="M177" s="837">
        <v>1578559</v>
      </c>
      <c r="N177" s="838"/>
      <c r="O177" s="828">
        <f t="shared" ref="O177:O186" si="40">SUM(F177:M177)</f>
        <v>1675561</v>
      </c>
      <c r="P177" s="834"/>
    </row>
    <row r="178" spans="1:16" s="835" customFormat="1" ht="18" customHeight="1" x14ac:dyDescent="0.3">
      <c r="A178" s="61">
        <v>169</v>
      </c>
      <c r="B178" s="843"/>
      <c r="C178" s="820"/>
      <c r="D178" s="821"/>
      <c r="E178" s="346" t="s">
        <v>1072</v>
      </c>
      <c r="F178" s="1443">
        <v>4543</v>
      </c>
      <c r="G178" s="837"/>
      <c r="H178" s="837"/>
      <c r="I178" s="1443">
        <v>0</v>
      </c>
      <c r="J178" s="1443"/>
      <c r="K178" s="1443"/>
      <c r="L178" s="1443">
        <v>384461</v>
      </c>
      <c r="M178" s="1443">
        <v>1498344</v>
      </c>
      <c r="N178" s="1842">
        <v>680</v>
      </c>
      <c r="O178" s="330">
        <f>SUM(F178:M178)</f>
        <v>1887348</v>
      </c>
      <c r="P178" s="834"/>
    </row>
    <row r="179" spans="1:16" s="286" customFormat="1" ht="18" customHeight="1" x14ac:dyDescent="0.3">
      <c r="A179" s="61">
        <v>170</v>
      </c>
      <c r="B179" s="1373"/>
      <c r="C179" s="1189"/>
      <c r="D179" s="1374"/>
      <c r="E179" s="1401" t="s">
        <v>1216</v>
      </c>
      <c r="F179" s="158"/>
      <c r="G179" s="158"/>
      <c r="H179" s="158"/>
      <c r="I179" s="158"/>
      <c r="J179" s="158"/>
      <c r="K179" s="158"/>
      <c r="L179" s="158"/>
      <c r="M179" s="158">
        <v>70</v>
      </c>
      <c r="N179" s="158">
        <v>70</v>
      </c>
      <c r="O179" s="1191">
        <f t="shared" si="40"/>
        <v>70</v>
      </c>
      <c r="P179" s="49"/>
    </row>
    <row r="180" spans="1:16" s="286" customFormat="1" ht="18" customHeight="1" x14ac:dyDescent="0.3">
      <c r="A180" s="61">
        <v>171</v>
      </c>
      <c r="B180" s="1373"/>
      <c r="C180" s="1189"/>
      <c r="D180" s="1374"/>
      <c r="E180" s="1401" t="s">
        <v>615</v>
      </c>
      <c r="F180" s="1401"/>
      <c r="G180" s="158"/>
      <c r="H180" s="158"/>
      <c r="I180" s="158"/>
      <c r="J180" s="158"/>
      <c r="K180" s="158"/>
      <c r="L180" s="158"/>
      <c r="M180" s="158">
        <f>-11592-2260</f>
        <v>-13852</v>
      </c>
      <c r="N180" s="158"/>
      <c r="O180" s="1191">
        <f t="shared" si="40"/>
        <v>-13852</v>
      </c>
      <c r="P180" s="49"/>
    </row>
    <row r="181" spans="1:16" s="287" customFormat="1" ht="18" customHeight="1" thickBot="1" x14ac:dyDescent="0.35">
      <c r="A181" s="61">
        <v>172</v>
      </c>
      <c r="B181" s="462"/>
      <c r="C181" s="1376"/>
      <c r="D181" s="1377"/>
      <c r="E181" s="1427" t="s">
        <v>1151</v>
      </c>
      <c r="F181" s="1378">
        <f>SUM(F178:F180)</f>
        <v>4543</v>
      </c>
      <c r="G181" s="1378">
        <f>SUM(G178:G180)</f>
        <v>0</v>
      </c>
      <c r="H181" s="1378">
        <f>SUM(H178:H180)</f>
        <v>0</v>
      </c>
      <c r="I181" s="1378">
        <f>SUM(I178:I180)</f>
        <v>0</v>
      </c>
      <c r="J181" s="1378"/>
      <c r="K181" s="1378"/>
      <c r="L181" s="1378">
        <f>SUM(L178:L180)</f>
        <v>384461</v>
      </c>
      <c r="M181" s="1378">
        <f>SUM(M178:M180)</f>
        <v>1484562</v>
      </c>
      <c r="N181" s="1378">
        <f>SUM(N178:N180)</f>
        <v>750</v>
      </c>
      <c r="O181" s="330">
        <f>SUM(F181:M181)</f>
        <v>1873566</v>
      </c>
      <c r="P181" s="57"/>
    </row>
    <row r="182" spans="1:16" s="286" customFormat="1" ht="36" customHeight="1" x14ac:dyDescent="0.2">
      <c r="A182" s="61">
        <v>173</v>
      </c>
      <c r="B182" s="2102" t="s">
        <v>13</v>
      </c>
      <c r="C182" s="2103"/>
      <c r="D182" s="2103"/>
      <c r="E182" s="2104"/>
      <c r="F182" s="461"/>
      <c r="G182" s="461"/>
      <c r="H182" s="461"/>
      <c r="I182" s="461"/>
      <c r="J182" s="461"/>
      <c r="K182" s="461"/>
      <c r="L182" s="461"/>
      <c r="M182" s="461"/>
      <c r="N182" s="842"/>
      <c r="O182" s="841"/>
      <c r="P182" s="49"/>
    </row>
    <row r="183" spans="1:16" s="835" customFormat="1" ht="18" customHeight="1" x14ac:dyDescent="0.3">
      <c r="A183" s="61">
        <v>174</v>
      </c>
      <c r="B183" s="843"/>
      <c r="C183" s="820"/>
      <c r="D183" s="820"/>
      <c r="E183" s="845" t="s">
        <v>311</v>
      </c>
      <c r="F183" s="837">
        <f t="shared" ref="F183:N183" si="41">SUM(F172,F177)</f>
        <v>1028612</v>
      </c>
      <c r="G183" s="837">
        <f t="shared" si="41"/>
        <v>236049</v>
      </c>
      <c r="H183" s="837">
        <f t="shared" si="41"/>
        <v>0</v>
      </c>
      <c r="I183" s="837">
        <f t="shared" si="41"/>
        <v>7543</v>
      </c>
      <c r="J183" s="837">
        <f t="shared" si="41"/>
        <v>4050</v>
      </c>
      <c r="K183" s="837">
        <f t="shared" si="41"/>
        <v>0</v>
      </c>
      <c r="L183" s="837">
        <f t="shared" si="41"/>
        <v>136381</v>
      </c>
      <c r="M183" s="837">
        <f t="shared" si="41"/>
        <v>6625938</v>
      </c>
      <c r="N183" s="838">
        <f t="shared" si="41"/>
        <v>3177125</v>
      </c>
      <c r="O183" s="828">
        <f t="shared" si="40"/>
        <v>8038573</v>
      </c>
      <c r="P183" s="834"/>
    </row>
    <row r="184" spans="1:16" s="835" customFormat="1" ht="18" customHeight="1" x14ac:dyDescent="0.3">
      <c r="A184" s="61">
        <v>175</v>
      </c>
      <c r="B184" s="843"/>
      <c r="C184" s="820"/>
      <c r="D184" s="821"/>
      <c r="E184" s="346" t="s">
        <v>1072</v>
      </c>
      <c r="F184" s="1443">
        <f t="shared" ref="F184:N184" si="42">SUM(F173,F178)</f>
        <v>879787</v>
      </c>
      <c r="G184" s="1443">
        <f t="shared" si="42"/>
        <v>194057</v>
      </c>
      <c r="H184" s="1443">
        <f t="shared" si="42"/>
        <v>1506</v>
      </c>
      <c r="I184" s="1443">
        <f t="shared" si="42"/>
        <v>4400</v>
      </c>
      <c r="J184" s="1443">
        <f t="shared" si="42"/>
        <v>4135</v>
      </c>
      <c r="K184" s="1443">
        <f t="shared" si="42"/>
        <v>0</v>
      </c>
      <c r="L184" s="1443">
        <f t="shared" si="42"/>
        <v>1073777</v>
      </c>
      <c r="M184" s="1443">
        <f t="shared" si="42"/>
        <v>6827859</v>
      </c>
      <c r="N184" s="1842">
        <f t="shared" si="42"/>
        <v>3561872</v>
      </c>
      <c r="O184" s="1843">
        <f t="shared" si="40"/>
        <v>8985521</v>
      </c>
      <c r="P184" s="834"/>
    </row>
    <row r="185" spans="1:16" s="286" customFormat="1" ht="18" customHeight="1" x14ac:dyDescent="0.3">
      <c r="A185" s="61">
        <v>176</v>
      </c>
      <c r="B185" s="1373"/>
      <c r="C185" s="1189"/>
      <c r="D185" s="1374"/>
      <c r="E185" s="1401" t="s">
        <v>963</v>
      </c>
      <c r="F185" s="158">
        <f t="shared" ref="F185:N185" si="43">SUM(F174,F179:F180)</f>
        <v>7248</v>
      </c>
      <c r="G185" s="158">
        <f t="shared" si="43"/>
        <v>4892</v>
      </c>
      <c r="H185" s="158">
        <f t="shared" si="43"/>
        <v>0</v>
      </c>
      <c r="I185" s="158">
        <f t="shared" si="43"/>
        <v>950</v>
      </c>
      <c r="J185" s="158">
        <f t="shared" si="43"/>
        <v>0</v>
      </c>
      <c r="K185" s="158">
        <f t="shared" si="43"/>
        <v>0</v>
      </c>
      <c r="L185" s="158">
        <f t="shared" si="43"/>
        <v>0</v>
      </c>
      <c r="M185" s="158">
        <f t="shared" si="43"/>
        <v>-88710</v>
      </c>
      <c r="N185" s="158">
        <f t="shared" si="43"/>
        <v>13852</v>
      </c>
      <c r="O185" s="1191">
        <f>SUM(F185:M185)</f>
        <v>-75620</v>
      </c>
      <c r="P185" s="49"/>
    </row>
    <row r="186" spans="1:16" s="287" customFormat="1" ht="18" customHeight="1" thickBot="1" x14ac:dyDescent="0.35">
      <c r="A186" s="61">
        <v>177</v>
      </c>
      <c r="B186" s="1385"/>
      <c r="C186" s="1386"/>
      <c r="D186" s="1387"/>
      <c r="E186" s="1427" t="s">
        <v>1151</v>
      </c>
      <c r="F186" s="1389">
        <f>SUM(F184:F185)</f>
        <v>887035</v>
      </c>
      <c r="G186" s="1389">
        <f t="shared" ref="G186:N186" si="44">SUM(G184:G185)</f>
        <v>198949</v>
      </c>
      <c r="H186" s="1389">
        <f t="shared" si="44"/>
        <v>1506</v>
      </c>
      <c r="I186" s="1389">
        <f t="shared" si="44"/>
        <v>5350</v>
      </c>
      <c r="J186" s="1389">
        <f t="shared" si="44"/>
        <v>4135</v>
      </c>
      <c r="K186" s="1389">
        <f t="shared" si="44"/>
        <v>0</v>
      </c>
      <c r="L186" s="1389">
        <f t="shared" si="44"/>
        <v>1073777</v>
      </c>
      <c r="M186" s="1389">
        <f t="shared" si="44"/>
        <v>6739149</v>
      </c>
      <c r="N186" s="1389">
        <f t="shared" si="44"/>
        <v>3575724</v>
      </c>
      <c r="O186" s="1390">
        <f t="shared" si="40"/>
        <v>8909901</v>
      </c>
      <c r="P186" s="57"/>
    </row>
    <row r="187" spans="1:16" s="1395" customFormat="1" x14ac:dyDescent="0.2">
      <c r="A187" s="1394"/>
      <c r="F187" s="1396"/>
      <c r="G187" s="1396"/>
      <c r="H187" s="1396"/>
      <c r="I187" s="1396"/>
      <c r="J187" s="1396"/>
      <c r="K187" s="1396"/>
      <c r="L187" s="1396"/>
      <c r="N187" s="1397"/>
      <c r="O187" s="1398"/>
    </row>
    <row r="188" spans="1:16" s="1395" customFormat="1" x14ac:dyDescent="0.2">
      <c r="A188" s="1394"/>
      <c r="F188" s="1399"/>
      <c r="G188" s="1396"/>
      <c r="N188" s="1397"/>
      <c r="O188" s="1398"/>
    </row>
    <row r="189" spans="1:16" x14ac:dyDescent="0.2">
      <c r="F189" s="620"/>
    </row>
    <row r="190" spans="1:16" x14ac:dyDescent="0.2">
      <c r="G190" s="620"/>
    </row>
  </sheetData>
  <mergeCells count="21">
    <mergeCell ref="B1:O1"/>
    <mergeCell ref="B2:O2"/>
    <mergeCell ref="B4:O4"/>
    <mergeCell ref="B5:O5"/>
    <mergeCell ref="N6:O6"/>
    <mergeCell ref="D7:E7"/>
    <mergeCell ref="M8:N8"/>
    <mergeCell ref="O8:O9"/>
    <mergeCell ref="D63:E63"/>
    <mergeCell ref="C68:E68"/>
    <mergeCell ref="D149:E149"/>
    <mergeCell ref="C160:E160"/>
    <mergeCell ref="B171:E171"/>
    <mergeCell ref="B182:E182"/>
    <mergeCell ref="L8:L9"/>
    <mergeCell ref="B8:B9"/>
    <mergeCell ref="C96:E96"/>
    <mergeCell ref="C8:C9"/>
    <mergeCell ref="D8:E9"/>
    <mergeCell ref="F8:H8"/>
    <mergeCell ref="I8:K8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74" fitToHeight="0" orientation="landscape" verticalDpi="300" r:id="rId1"/>
  <headerFooter alignWithMargins="0">
    <oddFooter>&amp;C-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view="pageBreakPreview" zoomScaleNormal="100" zoomScaleSheetLayoutView="100" workbookViewId="0">
      <selection activeCell="B1" sqref="B1:H1"/>
    </sheetView>
  </sheetViews>
  <sheetFormatPr defaultColWidth="9.140625" defaultRowHeight="12.75" x14ac:dyDescent="0.2"/>
  <cols>
    <col min="1" max="1" width="3.7109375" style="145" customWidth="1"/>
    <col min="2" max="3" width="5.7109375" style="285" customWidth="1"/>
    <col min="4" max="4" width="58.7109375" style="285" customWidth="1"/>
    <col min="5" max="7" width="10.7109375" style="285" customWidth="1"/>
    <col min="8" max="8" width="13.7109375" style="285" customWidth="1"/>
    <col min="9" max="16384" width="9.140625" style="285"/>
  </cols>
  <sheetData>
    <row r="1" spans="1:8" ht="35.25" customHeight="1" x14ac:dyDescent="0.35">
      <c r="A1" s="2048"/>
      <c r="B1" s="2125" t="s">
        <v>1307</v>
      </c>
      <c r="C1" s="2125"/>
      <c r="D1" s="2125"/>
      <c r="E1" s="2125"/>
      <c r="F1" s="2125"/>
      <c r="G1" s="2125"/>
      <c r="H1" s="2125"/>
    </row>
    <row r="2" spans="1:8" s="297" customFormat="1" ht="18" customHeight="1" x14ac:dyDescent="0.3">
      <c r="A2" s="2048"/>
      <c r="B2" s="2126" t="s">
        <v>1302</v>
      </c>
      <c r="C2" s="2126"/>
      <c r="D2" s="2126"/>
      <c r="E2" s="2126"/>
      <c r="F2" s="2126"/>
      <c r="G2" s="2126"/>
      <c r="H2" s="2126"/>
    </row>
    <row r="3" spans="1:8" s="297" customFormat="1" ht="18" customHeight="1" x14ac:dyDescent="0.3">
      <c r="A3" s="2048"/>
      <c r="B3" s="2062"/>
      <c r="C3" s="2062"/>
      <c r="D3" s="2062"/>
      <c r="E3" s="2062"/>
      <c r="F3" s="2062"/>
      <c r="G3" s="2062"/>
      <c r="H3" s="2062"/>
    </row>
    <row r="4" spans="1:8" s="297" customFormat="1" ht="24.75" customHeight="1" x14ac:dyDescent="0.2">
      <c r="A4" s="61"/>
      <c r="B4" s="2123" t="s">
        <v>142</v>
      </c>
      <c r="C4" s="2123"/>
      <c r="D4" s="2123"/>
      <c r="E4" s="2123"/>
      <c r="F4" s="2123"/>
      <c r="G4" s="2123"/>
      <c r="H4" s="2123"/>
    </row>
    <row r="5" spans="1:8" s="297" customFormat="1" ht="24.75" customHeight="1" x14ac:dyDescent="0.2">
      <c r="A5" s="61"/>
      <c r="B5" s="2123" t="s">
        <v>1280</v>
      </c>
      <c r="C5" s="2123"/>
      <c r="D5" s="2123"/>
      <c r="E5" s="2123"/>
      <c r="F5" s="2123"/>
      <c r="G5" s="2123"/>
      <c r="H5" s="2123"/>
    </row>
    <row r="6" spans="1:8" ht="18" customHeight="1" x14ac:dyDescent="0.2">
      <c r="A6" s="61"/>
      <c r="B6" s="50"/>
      <c r="C6" s="48"/>
      <c r="D6" s="48"/>
      <c r="E6" s="48"/>
      <c r="F6" s="48"/>
      <c r="G6" s="48"/>
      <c r="H6" s="1049" t="s">
        <v>0</v>
      </c>
    </row>
    <row r="7" spans="1:8" s="61" customFormat="1" ht="18" customHeight="1" thickBot="1" x14ac:dyDescent="0.25">
      <c r="B7" s="61" t="s">
        <v>1</v>
      </c>
      <c r="C7" s="61" t="s">
        <v>3</v>
      </c>
      <c r="D7" s="61" t="s">
        <v>2</v>
      </c>
      <c r="E7" s="61" t="s">
        <v>4</v>
      </c>
      <c r="F7" s="61" t="s">
        <v>5</v>
      </c>
      <c r="G7" s="61" t="s">
        <v>15</v>
      </c>
      <c r="H7" s="61" t="s">
        <v>16</v>
      </c>
    </row>
    <row r="8" spans="1:8" s="50" customFormat="1" ht="30" customHeight="1" x14ac:dyDescent="0.2">
      <c r="A8" s="61"/>
      <c r="B8" s="2107" t="s">
        <v>18</v>
      </c>
      <c r="C8" s="2133" t="s">
        <v>19</v>
      </c>
      <c r="D8" s="2135" t="s">
        <v>6</v>
      </c>
      <c r="E8" s="2137" t="s">
        <v>630</v>
      </c>
      <c r="F8" s="2139" t="s">
        <v>631</v>
      </c>
      <c r="G8" s="2137" t="s">
        <v>888</v>
      </c>
      <c r="H8" s="2117" t="s">
        <v>632</v>
      </c>
    </row>
    <row r="9" spans="1:8" ht="60.75" customHeight="1" thickBot="1" x14ac:dyDescent="0.25">
      <c r="A9" s="61"/>
      <c r="B9" s="2108"/>
      <c r="C9" s="2134"/>
      <c r="D9" s="2136"/>
      <c r="E9" s="2138"/>
      <c r="F9" s="2140"/>
      <c r="G9" s="2138"/>
      <c r="H9" s="2118"/>
    </row>
    <row r="10" spans="1:8" ht="29.25" customHeight="1" x14ac:dyDescent="0.2">
      <c r="A10" s="61">
        <v>1</v>
      </c>
      <c r="B10" s="702">
        <v>1</v>
      </c>
      <c r="C10" s="341"/>
      <c r="D10" s="846" t="s">
        <v>417</v>
      </c>
      <c r="E10" s="326">
        <v>4241</v>
      </c>
      <c r="F10" s="326">
        <v>4458</v>
      </c>
      <c r="G10" s="326">
        <v>4440</v>
      </c>
      <c r="H10" s="334">
        <v>4940</v>
      </c>
    </row>
    <row r="11" spans="1:8" ht="30" customHeight="1" x14ac:dyDescent="0.2">
      <c r="A11" s="61">
        <v>2</v>
      </c>
      <c r="B11" s="698">
        <v>2</v>
      </c>
      <c r="C11" s="313"/>
      <c r="D11" s="846" t="s">
        <v>639</v>
      </c>
      <c r="E11" s="316">
        <v>8290</v>
      </c>
      <c r="F11" s="316">
        <v>10813</v>
      </c>
      <c r="G11" s="316">
        <v>8462</v>
      </c>
      <c r="H11" s="329">
        <v>7516</v>
      </c>
    </row>
    <row r="12" spans="1:8" ht="30" customHeight="1" x14ac:dyDescent="0.2">
      <c r="A12" s="61">
        <v>3</v>
      </c>
      <c r="B12" s="698">
        <v>3</v>
      </c>
      <c r="C12" s="313"/>
      <c r="D12" s="846" t="s">
        <v>640</v>
      </c>
      <c r="E12" s="316">
        <v>16663</v>
      </c>
      <c r="F12" s="316">
        <v>17490</v>
      </c>
      <c r="G12" s="316">
        <v>15398</v>
      </c>
      <c r="H12" s="329">
        <v>12581</v>
      </c>
    </row>
    <row r="13" spans="1:8" ht="30" customHeight="1" x14ac:dyDescent="0.2">
      <c r="A13" s="61">
        <v>4</v>
      </c>
      <c r="B13" s="698">
        <v>4</v>
      </c>
      <c r="C13" s="313"/>
      <c r="D13" s="846" t="s">
        <v>641</v>
      </c>
      <c r="E13" s="316">
        <v>12417</v>
      </c>
      <c r="F13" s="316">
        <v>13993</v>
      </c>
      <c r="G13" s="316">
        <v>10994</v>
      </c>
      <c r="H13" s="329">
        <v>8030</v>
      </c>
    </row>
    <row r="14" spans="1:8" ht="30" customHeight="1" x14ac:dyDescent="0.2">
      <c r="A14" s="61">
        <v>5</v>
      </c>
      <c r="B14" s="698">
        <v>5</v>
      </c>
      <c r="C14" s="313"/>
      <c r="D14" s="846" t="s">
        <v>642</v>
      </c>
      <c r="E14" s="316">
        <v>14656</v>
      </c>
      <c r="F14" s="316">
        <v>15663</v>
      </c>
      <c r="G14" s="316">
        <v>17279</v>
      </c>
      <c r="H14" s="329">
        <v>18635</v>
      </c>
    </row>
    <row r="15" spans="1:8" ht="30" customHeight="1" thickBot="1" x14ac:dyDescent="0.25">
      <c r="A15" s="61">
        <v>6</v>
      </c>
      <c r="B15" s="698">
        <v>6</v>
      </c>
      <c r="C15" s="338"/>
      <c r="D15" s="847" t="s">
        <v>418</v>
      </c>
      <c r="E15" s="339">
        <v>3862</v>
      </c>
      <c r="F15" s="339">
        <v>3794</v>
      </c>
      <c r="G15" s="339">
        <v>4464</v>
      </c>
      <c r="H15" s="340">
        <v>2968</v>
      </c>
    </row>
    <row r="16" spans="1:8" s="332" customFormat="1" ht="30" customHeight="1" thickBot="1" x14ac:dyDescent="0.25">
      <c r="A16" s="61">
        <v>7</v>
      </c>
      <c r="B16" s="699"/>
      <c r="C16" s="438"/>
      <c r="D16" s="849" t="s">
        <v>660</v>
      </c>
      <c r="E16" s="438">
        <f>SUM(E10:E15)</f>
        <v>60129</v>
      </c>
      <c r="F16" s="438">
        <f>SUM(F10:F15)</f>
        <v>66211</v>
      </c>
      <c r="G16" s="438">
        <f>SUM(G10:G15)</f>
        <v>61037</v>
      </c>
      <c r="H16" s="712">
        <f>SUM(H10:H15)</f>
        <v>54670</v>
      </c>
    </row>
    <row r="17" spans="1:10" ht="30" customHeight="1" x14ac:dyDescent="0.2">
      <c r="A17" s="61">
        <v>8</v>
      </c>
      <c r="B17" s="698">
        <v>7</v>
      </c>
      <c r="C17" s="341"/>
      <c r="D17" s="848" t="s">
        <v>389</v>
      </c>
      <c r="E17" s="326">
        <v>43118</v>
      </c>
      <c r="F17" s="326">
        <v>19344</v>
      </c>
      <c r="G17" s="326">
        <v>23407</v>
      </c>
      <c r="H17" s="334">
        <v>15700</v>
      </c>
    </row>
    <row r="18" spans="1:10" ht="30" customHeight="1" x14ac:dyDescent="0.2">
      <c r="A18" s="61">
        <v>9</v>
      </c>
      <c r="B18" s="698">
        <v>8</v>
      </c>
      <c r="C18" s="338"/>
      <c r="D18" s="846" t="s">
        <v>125</v>
      </c>
      <c r="E18" s="339">
        <v>15040</v>
      </c>
      <c r="F18" s="339">
        <v>13500</v>
      </c>
      <c r="G18" s="339">
        <v>15109</v>
      </c>
      <c r="H18" s="340">
        <v>10425</v>
      </c>
    </row>
    <row r="19" spans="1:10" ht="30" customHeight="1" thickBot="1" x14ac:dyDescent="0.25">
      <c r="A19" s="61">
        <v>10</v>
      </c>
      <c r="B19" s="698">
        <v>9</v>
      </c>
      <c r="C19" s="338"/>
      <c r="D19" s="847" t="s">
        <v>544</v>
      </c>
      <c r="E19" s="339"/>
      <c r="F19" s="339">
        <v>1800</v>
      </c>
      <c r="G19" s="339">
        <v>2909</v>
      </c>
      <c r="H19" s="340">
        <v>1800</v>
      </c>
    </row>
    <row r="20" spans="1:10" s="332" customFormat="1" ht="30" customHeight="1" thickBot="1" x14ac:dyDescent="0.25">
      <c r="A20" s="61">
        <v>11</v>
      </c>
      <c r="B20" s="699"/>
      <c r="C20" s="438"/>
      <c r="D20" s="849" t="s">
        <v>661</v>
      </c>
      <c r="E20" s="438">
        <f>SUM(E17:E19)</f>
        <v>58158</v>
      </c>
      <c r="F20" s="438">
        <f>SUM(F17:F19)</f>
        <v>34644</v>
      </c>
      <c r="G20" s="438">
        <f>SUM(G17:G19)</f>
        <v>41425</v>
      </c>
      <c r="H20" s="712">
        <f>SUM(H17:H19)</f>
        <v>27925</v>
      </c>
    </row>
    <row r="21" spans="1:10" ht="30" customHeight="1" x14ac:dyDescent="0.2">
      <c r="A21" s="61">
        <v>12</v>
      </c>
      <c r="B21" s="698">
        <v>10</v>
      </c>
      <c r="C21" s="341"/>
      <c r="D21" s="792" t="s">
        <v>546</v>
      </c>
      <c r="E21" s="326">
        <v>39591</v>
      </c>
      <c r="F21" s="326">
        <v>39584</v>
      </c>
      <c r="G21" s="326">
        <v>43824</v>
      </c>
      <c r="H21" s="334">
        <v>23539</v>
      </c>
    </row>
    <row r="22" spans="1:10" ht="30" customHeight="1" x14ac:dyDescent="0.2">
      <c r="A22" s="61">
        <v>13</v>
      </c>
      <c r="B22" s="700">
        <v>11</v>
      </c>
      <c r="C22" s="313"/>
      <c r="D22" s="789" t="s">
        <v>528</v>
      </c>
      <c r="E22" s="316">
        <v>4063</v>
      </c>
      <c r="F22" s="316">
        <v>7001</v>
      </c>
      <c r="G22" s="316">
        <v>8889</v>
      </c>
      <c r="H22" s="329">
        <v>6527</v>
      </c>
    </row>
    <row r="23" spans="1:10" ht="30" customHeight="1" x14ac:dyDescent="0.2">
      <c r="A23" s="61">
        <v>14</v>
      </c>
      <c r="B23" s="698">
        <v>12</v>
      </c>
      <c r="C23" s="313"/>
      <c r="D23" s="791" t="s">
        <v>25</v>
      </c>
      <c r="E23" s="316">
        <v>36291</v>
      </c>
      <c r="F23" s="316">
        <v>21200</v>
      </c>
      <c r="G23" s="316">
        <v>31157</v>
      </c>
      <c r="H23" s="329">
        <v>24865</v>
      </c>
    </row>
    <row r="24" spans="1:10" ht="30" customHeight="1" x14ac:dyDescent="0.2">
      <c r="A24" s="61">
        <v>15</v>
      </c>
      <c r="B24" s="698">
        <v>13</v>
      </c>
      <c r="C24" s="313"/>
      <c r="D24" s="791" t="s">
        <v>34</v>
      </c>
      <c r="E24" s="316">
        <v>129584</v>
      </c>
      <c r="F24" s="316">
        <f>113894+11447</f>
        <v>125341</v>
      </c>
      <c r="G24" s="316">
        <v>200194</v>
      </c>
      <c r="H24" s="329">
        <v>209389</v>
      </c>
    </row>
    <row r="25" spans="1:10" ht="30" customHeight="1" x14ac:dyDescent="0.2">
      <c r="A25" s="61">
        <v>16</v>
      </c>
      <c r="B25" s="698">
        <v>14</v>
      </c>
      <c r="C25" s="315"/>
      <c r="D25" s="789" t="s">
        <v>529</v>
      </c>
      <c r="E25" s="316">
        <v>29609</v>
      </c>
      <c r="F25" s="316">
        <v>33854</v>
      </c>
      <c r="G25" s="316">
        <v>25393</v>
      </c>
      <c r="H25" s="329">
        <f>15414+228</f>
        <v>15642</v>
      </c>
    </row>
    <row r="26" spans="1:10" ht="30" customHeight="1" thickBot="1" x14ac:dyDescent="0.25">
      <c r="A26" s="61">
        <v>17</v>
      </c>
      <c r="B26" s="698">
        <v>15</v>
      </c>
      <c r="C26" s="338"/>
      <c r="D26" s="790" t="s">
        <v>157</v>
      </c>
      <c r="E26" s="339">
        <v>273726</v>
      </c>
      <c r="F26" s="339">
        <v>203000</v>
      </c>
      <c r="G26" s="339">
        <v>303830</v>
      </c>
      <c r="H26" s="340">
        <v>139433</v>
      </c>
    </row>
    <row r="27" spans="1:10" s="332" customFormat="1" ht="30" customHeight="1" thickBot="1" x14ac:dyDescent="0.25">
      <c r="A27" s="61">
        <v>18</v>
      </c>
      <c r="B27" s="699"/>
      <c r="C27" s="438"/>
      <c r="D27" s="849" t="s">
        <v>662</v>
      </c>
      <c r="E27" s="438">
        <f>SUM(E21:E26)</f>
        <v>512864</v>
      </c>
      <c r="F27" s="438">
        <f>SUM(F21:F26)</f>
        <v>429980</v>
      </c>
      <c r="G27" s="438">
        <f>SUM(G21:G26)</f>
        <v>613287</v>
      </c>
      <c r="H27" s="712">
        <f>SUM(H21:H26)</f>
        <v>419395</v>
      </c>
    </row>
    <row r="28" spans="1:10" s="57" customFormat="1" ht="30" customHeight="1" thickBot="1" x14ac:dyDescent="0.25">
      <c r="A28" s="61">
        <v>19</v>
      </c>
      <c r="B28" s="703">
        <v>16</v>
      </c>
      <c r="C28" s="701"/>
      <c r="D28" s="850" t="s">
        <v>271</v>
      </c>
      <c r="E28" s="716">
        <v>362984</v>
      </c>
      <c r="F28" s="716">
        <v>379059</v>
      </c>
      <c r="G28" s="716">
        <v>386604</v>
      </c>
      <c r="H28" s="342">
        <v>380502</v>
      </c>
    </row>
    <row r="29" spans="1:10" ht="33" customHeight="1" thickBot="1" x14ac:dyDescent="0.25">
      <c r="A29" s="61">
        <v>20</v>
      </c>
      <c r="B29" s="2127" t="s">
        <v>158</v>
      </c>
      <c r="C29" s="2128"/>
      <c r="D29" s="2129"/>
      <c r="E29" s="437">
        <f>SUM(E16,E20,E27,E28)</f>
        <v>994135</v>
      </c>
      <c r="F29" s="437">
        <f>SUM(F16,F20,F27,F28)</f>
        <v>909894</v>
      </c>
      <c r="G29" s="437">
        <f>SUM(G16,G20,G27,G28)</f>
        <v>1102353</v>
      </c>
      <c r="H29" s="343">
        <f>SUM(H16,H20,H27,H28)</f>
        <v>882492</v>
      </c>
      <c r="I29" s="48"/>
      <c r="J29" s="48"/>
    </row>
    <row r="30" spans="1:10" ht="33" customHeight="1" thickBot="1" x14ac:dyDescent="0.25">
      <c r="A30" s="61">
        <v>21</v>
      </c>
      <c r="B30" s="344">
        <v>17</v>
      </c>
      <c r="C30" s="704"/>
      <c r="D30" s="704" t="s">
        <v>159</v>
      </c>
      <c r="E30" s="716">
        <v>4845</v>
      </c>
      <c r="F30" s="716"/>
      <c r="G30" s="716">
        <v>9526</v>
      </c>
      <c r="H30" s="342">
        <v>4543</v>
      </c>
      <c r="I30" s="48"/>
      <c r="J30" s="48"/>
    </row>
    <row r="31" spans="1:10" ht="33" customHeight="1" thickTop="1" thickBot="1" x14ac:dyDescent="0.25">
      <c r="A31" s="61">
        <v>22</v>
      </c>
      <c r="B31" s="2130" t="s">
        <v>13</v>
      </c>
      <c r="C31" s="2131"/>
      <c r="D31" s="2132"/>
      <c r="E31" s="717">
        <f>SUM(E29,E30)</f>
        <v>998980</v>
      </c>
      <c r="F31" s="717">
        <f>SUM(F29,F30)</f>
        <v>909894</v>
      </c>
      <c r="G31" s="717">
        <f>SUM(G29,G30)</f>
        <v>1111879</v>
      </c>
      <c r="H31" s="345">
        <f>SUM(H29,H30)</f>
        <v>887035</v>
      </c>
      <c r="I31" s="48"/>
      <c r="J31" s="48"/>
    </row>
    <row r="32" spans="1:10" x14ac:dyDescent="0.2">
      <c r="E32" s="620">
        <f>+E31-'1.Onbe'!G32</f>
        <v>0</v>
      </c>
      <c r="F32" s="620">
        <f>+F31-'1.Onbe'!H32</f>
        <v>0</v>
      </c>
      <c r="G32" s="620">
        <f>+G31-'1.Onbe'!I32</f>
        <v>0</v>
      </c>
      <c r="H32" s="620">
        <f>H31-'1.Onbe'!M32</f>
        <v>0</v>
      </c>
    </row>
  </sheetData>
  <mergeCells count="13">
    <mergeCell ref="B1:H1"/>
    <mergeCell ref="B2:H2"/>
    <mergeCell ref="B29:D29"/>
    <mergeCell ref="B31:D31"/>
    <mergeCell ref="B4:H4"/>
    <mergeCell ref="B5:H5"/>
    <mergeCell ref="B8:B9"/>
    <mergeCell ref="C8:C9"/>
    <mergeCell ref="D8:D9"/>
    <mergeCell ref="E8:E9"/>
    <mergeCell ref="F8:F9"/>
    <mergeCell ref="G8:G9"/>
    <mergeCell ref="H8:H9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84" fitToHeight="0" orientation="portrait" verticalDpi="300" r:id="rId1"/>
  <headerFooter alignWithMargins="0">
    <oddFooter>&amp;C-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59"/>
  <sheetViews>
    <sheetView view="pageBreakPreview" zoomScale="85" zoomScaleNormal="100" zoomScaleSheetLayoutView="85" workbookViewId="0">
      <selection activeCell="B1" sqref="B1:R1"/>
    </sheetView>
  </sheetViews>
  <sheetFormatPr defaultColWidth="9.140625" defaultRowHeight="15" x14ac:dyDescent="0.3"/>
  <cols>
    <col min="1" max="1" width="3.7109375" style="61" customWidth="1"/>
    <col min="2" max="2" width="5.5703125" style="62" customWidth="1"/>
    <col min="3" max="3" width="5.7109375" style="62" customWidth="1"/>
    <col min="4" max="4" width="4.7109375" style="62" customWidth="1"/>
    <col min="5" max="5" width="60.7109375" style="53" customWidth="1"/>
    <col min="6" max="6" width="6.7109375" style="290" customWidth="1"/>
    <col min="7" max="8" width="10.7109375" style="291" customWidth="1"/>
    <col min="9" max="9" width="10.7109375" style="1743" customWidth="1"/>
    <col min="10" max="10" width="13.7109375" style="156" customWidth="1"/>
    <col min="11" max="18" width="14.7109375" style="291" customWidth="1"/>
    <col min="19" max="19" width="9.5703125" style="291" bestFit="1" customWidth="1"/>
    <col min="20" max="31" width="9.140625" style="291"/>
    <col min="32" max="16384" width="9.140625" style="292"/>
  </cols>
  <sheetData>
    <row r="1" spans="1:31" ht="17.25" x14ac:dyDescent="0.35">
      <c r="A1" s="2056"/>
      <c r="B1" s="2162" t="s">
        <v>1308</v>
      </c>
      <c r="C1" s="2162"/>
      <c r="D1" s="2162"/>
      <c r="E1" s="2162"/>
      <c r="F1" s="2162"/>
      <c r="G1" s="2162"/>
      <c r="H1" s="2162"/>
      <c r="I1" s="2162"/>
      <c r="J1" s="2162"/>
      <c r="K1" s="2162"/>
      <c r="L1" s="2162"/>
      <c r="M1" s="2162"/>
      <c r="N1" s="2162"/>
      <c r="O1" s="2162"/>
      <c r="P1" s="2162"/>
      <c r="Q1" s="2162"/>
      <c r="R1" s="2162"/>
    </row>
    <row r="2" spans="1:31" s="713" customFormat="1" ht="18" customHeight="1" x14ac:dyDescent="0.3">
      <c r="A2" s="2056"/>
      <c r="B2" s="2126" t="s">
        <v>1292</v>
      </c>
      <c r="C2" s="2126"/>
      <c r="D2" s="2126"/>
      <c r="E2" s="2126"/>
      <c r="F2" s="2126"/>
      <c r="G2" s="2126"/>
      <c r="H2" s="2126"/>
      <c r="I2" s="2126"/>
      <c r="J2" s="2126"/>
      <c r="K2" s="2126"/>
      <c r="L2" s="2126"/>
      <c r="M2" s="2126"/>
      <c r="N2" s="2126"/>
      <c r="O2" s="2126"/>
      <c r="P2" s="2126"/>
      <c r="Q2" s="2126"/>
      <c r="R2" s="2126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</row>
    <row r="3" spans="1:31" s="713" customFormat="1" ht="18" customHeight="1" x14ac:dyDescent="0.3">
      <c r="A3" s="2056"/>
      <c r="B3" s="2062"/>
      <c r="C3" s="2062"/>
      <c r="D3" s="2062"/>
      <c r="E3" s="2062"/>
      <c r="F3" s="2062"/>
      <c r="G3" s="2062"/>
      <c r="H3" s="2062"/>
      <c r="I3" s="2062"/>
      <c r="J3" s="2062"/>
      <c r="K3" s="2062"/>
      <c r="L3" s="2062"/>
      <c r="M3" s="2062"/>
      <c r="N3" s="2062"/>
      <c r="O3" s="2062"/>
      <c r="P3" s="2062"/>
      <c r="Q3" s="2062"/>
      <c r="R3" s="2062"/>
      <c r="S3" s="452"/>
      <c r="T3" s="452"/>
      <c r="U3" s="452"/>
      <c r="V3" s="452"/>
      <c r="W3" s="452"/>
      <c r="X3" s="452"/>
      <c r="Y3" s="452"/>
      <c r="Z3" s="452"/>
      <c r="AA3" s="452"/>
      <c r="AB3" s="452"/>
      <c r="AC3" s="452"/>
      <c r="AD3" s="452"/>
      <c r="AE3" s="452"/>
    </row>
    <row r="4" spans="1:31" s="713" customFormat="1" ht="24.75" customHeight="1" x14ac:dyDescent="0.2">
      <c r="A4" s="61"/>
      <c r="B4" s="2123" t="s">
        <v>142</v>
      </c>
      <c r="C4" s="2123"/>
      <c r="D4" s="2123"/>
      <c r="E4" s="2123"/>
      <c r="F4" s="2123"/>
      <c r="G4" s="2123"/>
      <c r="H4" s="2123"/>
      <c r="I4" s="2123"/>
      <c r="J4" s="2123"/>
      <c r="K4" s="2123"/>
      <c r="L4" s="2123"/>
      <c r="M4" s="2123"/>
      <c r="N4" s="2123"/>
      <c r="O4" s="2123"/>
      <c r="P4" s="2123"/>
      <c r="Q4" s="2123"/>
      <c r="R4" s="2123"/>
      <c r="S4" s="452"/>
      <c r="T4" s="452"/>
      <c r="U4" s="452"/>
      <c r="V4" s="452"/>
      <c r="W4" s="452"/>
      <c r="X4" s="452"/>
      <c r="Y4" s="452"/>
      <c r="Z4" s="452"/>
      <c r="AA4" s="452"/>
      <c r="AB4" s="452"/>
      <c r="AC4" s="452"/>
      <c r="AD4" s="452"/>
      <c r="AE4" s="452"/>
    </row>
    <row r="5" spans="1:31" s="713" customFormat="1" ht="24.75" customHeight="1" x14ac:dyDescent="0.2">
      <c r="A5" s="61"/>
      <c r="B5" s="2123" t="s">
        <v>1279</v>
      </c>
      <c r="C5" s="2123"/>
      <c r="D5" s="2123"/>
      <c r="E5" s="2123"/>
      <c r="F5" s="2123"/>
      <c r="G5" s="2123"/>
      <c r="H5" s="2123"/>
      <c r="I5" s="2123"/>
      <c r="J5" s="2123"/>
      <c r="K5" s="2123"/>
      <c r="L5" s="2123"/>
      <c r="M5" s="2123"/>
      <c r="N5" s="2123"/>
      <c r="O5" s="2123"/>
      <c r="P5" s="2123"/>
      <c r="Q5" s="2123"/>
      <c r="R5" s="2123"/>
      <c r="S5" s="452"/>
      <c r="T5" s="452"/>
      <c r="U5" s="452"/>
      <c r="V5" s="452"/>
      <c r="W5" s="452"/>
      <c r="X5" s="452"/>
      <c r="Y5" s="452"/>
      <c r="Z5" s="452"/>
      <c r="AA5" s="452"/>
      <c r="AB5" s="452"/>
      <c r="AC5" s="452"/>
      <c r="AD5" s="452"/>
      <c r="AE5" s="452"/>
    </row>
    <row r="6" spans="1:31" ht="18" customHeight="1" x14ac:dyDescent="0.3">
      <c r="I6" s="291"/>
      <c r="Q6" s="2167" t="s">
        <v>0</v>
      </c>
      <c r="R6" s="2167"/>
    </row>
    <row r="7" spans="1:31" s="61" customFormat="1" ht="18" customHeight="1" thickBot="1" x14ac:dyDescent="0.25">
      <c r="B7" s="61" t="s">
        <v>1</v>
      </c>
      <c r="C7" s="61" t="s">
        <v>3</v>
      </c>
      <c r="D7" s="2116" t="s">
        <v>2</v>
      </c>
      <c r="E7" s="2116"/>
      <c r="F7" s="61" t="s">
        <v>4</v>
      </c>
      <c r="G7" s="61" t="s">
        <v>5</v>
      </c>
      <c r="H7" s="61" t="s">
        <v>15</v>
      </c>
      <c r="I7" s="61" t="s">
        <v>16</v>
      </c>
      <c r="J7" s="61" t="s">
        <v>17</v>
      </c>
      <c r="K7" s="61" t="s">
        <v>36</v>
      </c>
      <c r="L7" s="61" t="s">
        <v>30</v>
      </c>
      <c r="M7" s="61" t="s">
        <v>23</v>
      </c>
      <c r="N7" s="61" t="s">
        <v>37</v>
      </c>
      <c r="O7" s="61" t="s">
        <v>38</v>
      </c>
      <c r="P7" s="61" t="s">
        <v>160</v>
      </c>
      <c r="Q7" s="61" t="s">
        <v>161</v>
      </c>
      <c r="R7" s="61" t="s">
        <v>162</v>
      </c>
    </row>
    <row r="8" spans="1:31" s="290" customFormat="1" ht="30" customHeight="1" x14ac:dyDescent="0.3">
      <c r="A8" s="61"/>
      <c r="B8" s="2107" t="s">
        <v>18</v>
      </c>
      <c r="C8" s="2133" t="s">
        <v>19</v>
      </c>
      <c r="D8" s="2111" t="s">
        <v>6</v>
      </c>
      <c r="E8" s="2169"/>
      <c r="F8" s="2171" t="s">
        <v>20</v>
      </c>
      <c r="G8" s="2137" t="s">
        <v>633</v>
      </c>
      <c r="H8" s="2137" t="s">
        <v>631</v>
      </c>
      <c r="I8" s="2155" t="s">
        <v>888</v>
      </c>
      <c r="J8" s="2157" t="s">
        <v>635</v>
      </c>
      <c r="K8" s="2163" t="s">
        <v>39</v>
      </c>
      <c r="L8" s="2164"/>
      <c r="M8" s="2164"/>
      <c r="N8" s="2164"/>
      <c r="O8" s="2165"/>
      <c r="P8" s="2166" t="s">
        <v>163</v>
      </c>
      <c r="Q8" s="2166"/>
      <c r="R8" s="2166"/>
    </row>
    <row r="9" spans="1:31" s="290" customFormat="1" ht="60.75" customHeight="1" thickBot="1" x14ac:dyDescent="0.35">
      <c r="A9" s="61"/>
      <c r="B9" s="2108"/>
      <c r="C9" s="2168"/>
      <c r="D9" s="2113"/>
      <c r="E9" s="2170"/>
      <c r="F9" s="2172"/>
      <c r="G9" s="2138"/>
      <c r="H9" s="2138"/>
      <c r="I9" s="2156"/>
      <c r="J9" s="2158"/>
      <c r="K9" s="2038" t="s">
        <v>40</v>
      </c>
      <c r="L9" s="2038" t="s">
        <v>41</v>
      </c>
      <c r="M9" s="2038" t="s">
        <v>42</v>
      </c>
      <c r="N9" s="2038" t="s">
        <v>223</v>
      </c>
      <c r="O9" s="2038" t="s">
        <v>43</v>
      </c>
      <c r="P9" s="64" t="s">
        <v>231</v>
      </c>
      <c r="Q9" s="2038" t="s">
        <v>232</v>
      </c>
      <c r="R9" s="2038" t="s">
        <v>164</v>
      </c>
    </row>
    <row r="10" spans="1:31" s="54" customFormat="1" ht="22.5" customHeight="1" x14ac:dyDescent="0.3">
      <c r="A10" s="130">
        <v>1</v>
      </c>
      <c r="B10" s="324">
        <v>1</v>
      </c>
      <c r="C10" s="707"/>
      <c r="D10" s="348" t="s">
        <v>314</v>
      </c>
      <c r="E10" s="348"/>
      <c r="F10" s="456" t="s">
        <v>23</v>
      </c>
      <c r="G10" s="335">
        <v>206614</v>
      </c>
      <c r="H10" s="335">
        <v>209393</v>
      </c>
      <c r="I10" s="457">
        <v>212753</v>
      </c>
      <c r="J10" s="708"/>
      <c r="K10" s="335"/>
      <c r="L10" s="335"/>
      <c r="M10" s="335"/>
      <c r="N10" s="335"/>
      <c r="O10" s="335"/>
      <c r="P10" s="335"/>
      <c r="Q10" s="335"/>
      <c r="R10" s="359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</row>
    <row r="11" spans="1:31" s="54" customFormat="1" ht="18" customHeight="1" x14ac:dyDescent="0.3">
      <c r="A11" s="130">
        <v>2</v>
      </c>
      <c r="B11" s="310"/>
      <c r="C11" s="705"/>
      <c r="D11" s="454" t="s">
        <v>347</v>
      </c>
      <c r="E11" s="454"/>
      <c r="F11" s="121"/>
      <c r="G11" s="121"/>
      <c r="H11" s="121"/>
      <c r="I11" s="354"/>
      <c r="J11" s="356"/>
      <c r="K11" s="121"/>
      <c r="L11" s="121"/>
      <c r="M11" s="121"/>
      <c r="N11" s="121"/>
      <c r="O11" s="121"/>
      <c r="P11" s="121"/>
      <c r="Q11" s="121"/>
      <c r="R11" s="13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</row>
    <row r="12" spans="1:31" s="858" customFormat="1" ht="18" customHeight="1" x14ac:dyDescent="0.3">
      <c r="A12" s="130">
        <v>3</v>
      </c>
      <c r="B12" s="807"/>
      <c r="C12" s="851"/>
      <c r="D12" s="851"/>
      <c r="E12" s="852" t="s">
        <v>311</v>
      </c>
      <c r="F12" s="829"/>
      <c r="G12" s="829"/>
      <c r="H12" s="829"/>
      <c r="I12" s="853"/>
      <c r="J12" s="854">
        <f t="shared" ref="J12:J18" si="0">SUM(K12:R12)</f>
        <v>213625</v>
      </c>
      <c r="K12" s="855">
        <v>134372</v>
      </c>
      <c r="L12" s="855">
        <v>26600</v>
      </c>
      <c r="M12" s="855">
        <v>51943</v>
      </c>
      <c r="N12" s="855"/>
      <c r="O12" s="855"/>
      <c r="P12" s="855">
        <v>710</v>
      </c>
      <c r="Q12" s="855"/>
      <c r="R12" s="856"/>
      <c r="S12" s="857"/>
      <c r="T12" s="857"/>
      <c r="U12" s="857"/>
      <c r="V12" s="857"/>
      <c r="W12" s="857"/>
      <c r="X12" s="857"/>
      <c r="Y12" s="857"/>
      <c r="Z12" s="857"/>
      <c r="AA12" s="857"/>
      <c r="AB12" s="857"/>
      <c r="AC12" s="857"/>
      <c r="AD12" s="857"/>
      <c r="AE12" s="857"/>
    </row>
    <row r="13" spans="1:31" s="858" customFormat="1" ht="18" customHeight="1" x14ac:dyDescent="0.3">
      <c r="A13" s="130">
        <v>4</v>
      </c>
      <c r="B13" s="807"/>
      <c r="C13" s="851"/>
      <c r="D13" s="851"/>
      <c r="E13" s="692" t="s">
        <v>1072</v>
      </c>
      <c r="F13" s="1405"/>
      <c r="G13" s="1405"/>
      <c r="H13" s="1405"/>
      <c r="I13" s="1406"/>
      <c r="J13" s="356">
        <f t="shared" si="0"/>
        <v>220257</v>
      </c>
      <c r="K13" s="1407">
        <v>134300</v>
      </c>
      <c r="L13" s="1407">
        <v>27417</v>
      </c>
      <c r="M13" s="1407">
        <v>57810</v>
      </c>
      <c r="N13" s="1407"/>
      <c r="O13" s="1407"/>
      <c r="P13" s="1407">
        <v>522</v>
      </c>
      <c r="Q13" s="1407">
        <v>208</v>
      </c>
      <c r="R13" s="1408"/>
      <c r="S13" s="857"/>
      <c r="T13" s="857"/>
      <c r="U13" s="857"/>
      <c r="V13" s="857"/>
      <c r="W13" s="857"/>
      <c r="X13" s="857"/>
      <c r="Y13" s="857"/>
      <c r="Z13" s="857"/>
      <c r="AA13" s="857"/>
      <c r="AB13" s="857"/>
      <c r="AC13" s="857"/>
      <c r="AD13" s="857"/>
      <c r="AE13" s="857"/>
    </row>
    <row r="14" spans="1:31" s="55" customFormat="1" ht="18" customHeight="1" x14ac:dyDescent="0.3">
      <c r="A14" s="130">
        <v>6</v>
      </c>
      <c r="B14" s="1373"/>
      <c r="C14" s="1400"/>
      <c r="D14" s="1400"/>
      <c r="E14" s="1375" t="s">
        <v>1157</v>
      </c>
      <c r="F14" s="317"/>
      <c r="G14" s="317"/>
      <c r="H14" s="317"/>
      <c r="I14" s="1402"/>
      <c r="J14" s="1403">
        <f t="shared" si="0"/>
        <v>4291</v>
      </c>
      <c r="K14" s="360">
        <v>3715</v>
      </c>
      <c r="L14" s="360">
        <v>576</v>
      </c>
      <c r="M14" s="360"/>
      <c r="N14" s="360"/>
      <c r="O14" s="360"/>
      <c r="P14" s="360"/>
      <c r="Q14" s="360"/>
      <c r="R14" s="361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</row>
    <row r="15" spans="1:31" s="55" customFormat="1" ht="18" customHeight="1" x14ac:dyDescent="0.3">
      <c r="A15" s="130">
        <v>7</v>
      </c>
      <c r="B15" s="1373"/>
      <c r="C15" s="1400"/>
      <c r="D15" s="1400"/>
      <c r="E15" s="1375" t="s">
        <v>1159</v>
      </c>
      <c r="F15" s="317"/>
      <c r="G15" s="317"/>
      <c r="H15" s="317"/>
      <c r="I15" s="1402"/>
      <c r="J15" s="1403">
        <f t="shared" si="0"/>
        <v>0</v>
      </c>
      <c r="K15" s="360"/>
      <c r="L15" s="360"/>
      <c r="M15" s="360">
        <v>-100</v>
      </c>
      <c r="N15" s="360"/>
      <c r="O15" s="360"/>
      <c r="P15" s="360">
        <v>138</v>
      </c>
      <c r="Q15" s="360">
        <v>-38</v>
      </c>
      <c r="R15" s="361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55"/>
      <c r="AD15" s="155"/>
      <c r="AE15" s="155"/>
    </row>
    <row r="16" spans="1:31" s="55" customFormat="1" ht="18" customHeight="1" x14ac:dyDescent="0.3">
      <c r="A16" s="130">
        <v>8</v>
      </c>
      <c r="B16" s="1373"/>
      <c r="C16" s="1400"/>
      <c r="D16" s="1400"/>
      <c r="E16" s="1375" t="s">
        <v>1243</v>
      </c>
      <c r="F16" s="317"/>
      <c r="G16" s="317"/>
      <c r="H16" s="317"/>
      <c r="I16" s="1402"/>
      <c r="J16" s="1403">
        <f t="shared" si="0"/>
        <v>4140</v>
      </c>
      <c r="K16" s="360">
        <v>3584</v>
      </c>
      <c r="L16" s="360">
        <v>556</v>
      </c>
      <c r="M16" s="360"/>
      <c r="N16" s="360"/>
      <c r="O16" s="360"/>
      <c r="P16" s="360"/>
      <c r="Q16" s="360"/>
      <c r="R16" s="361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</row>
    <row r="17" spans="1:31" s="55" customFormat="1" ht="18" customHeight="1" x14ac:dyDescent="0.3">
      <c r="A17" s="130">
        <v>9</v>
      </c>
      <c r="B17" s="1373"/>
      <c r="C17" s="1400"/>
      <c r="D17" s="1400"/>
      <c r="E17" s="1375" t="s">
        <v>1244</v>
      </c>
      <c r="F17" s="317"/>
      <c r="G17" s="317"/>
      <c r="H17" s="317"/>
      <c r="I17" s="1402"/>
      <c r="J17" s="1403">
        <f t="shared" si="0"/>
        <v>-7700</v>
      </c>
      <c r="K17" s="360"/>
      <c r="L17" s="360"/>
      <c r="M17" s="360">
        <v>-7700</v>
      </c>
      <c r="N17" s="360"/>
      <c r="O17" s="360"/>
      <c r="P17" s="360"/>
      <c r="Q17" s="360"/>
      <c r="R17" s="361"/>
      <c r="S17" s="155"/>
      <c r="T17" s="155"/>
      <c r="U17" s="15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</row>
    <row r="18" spans="1:31" s="58" customFormat="1" ht="18" customHeight="1" x14ac:dyDescent="0.3">
      <c r="A18" s="130">
        <v>10</v>
      </c>
      <c r="B18" s="462"/>
      <c r="C18" s="1404"/>
      <c r="D18" s="1404"/>
      <c r="E18" s="346" t="s">
        <v>1151</v>
      </c>
      <c r="F18" s="1405"/>
      <c r="G18" s="1405"/>
      <c r="H18" s="1405"/>
      <c r="I18" s="1406"/>
      <c r="J18" s="356">
        <f t="shared" si="0"/>
        <v>220988</v>
      </c>
      <c r="K18" s="1407">
        <f>SUM(K13:K17)</f>
        <v>141599</v>
      </c>
      <c r="L18" s="1407">
        <f>SUM(L13:L17)</f>
        <v>28549</v>
      </c>
      <c r="M18" s="1407">
        <f>SUM(M13:M17)</f>
        <v>50010</v>
      </c>
      <c r="N18" s="1407"/>
      <c r="O18" s="1407"/>
      <c r="P18" s="1407">
        <f>SUM(P13:P17)</f>
        <v>660</v>
      </c>
      <c r="Q18" s="1407">
        <f>SUM(Q13:Q17)</f>
        <v>170</v>
      </c>
      <c r="R18" s="1408"/>
      <c r="S18" s="293"/>
      <c r="T18" s="293"/>
      <c r="U18" s="293"/>
      <c r="V18" s="293"/>
      <c r="W18" s="293"/>
      <c r="X18" s="293"/>
      <c r="Y18" s="293"/>
      <c r="Z18" s="293"/>
      <c r="AA18" s="293"/>
      <c r="AB18" s="293"/>
      <c r="AC18" s="293"/>
      <c r="AD18" s="293"/>
      <c r="AE18" s="293"/>
    </row>
    <row r="19" spans="1:31" s="58" customFormat="1" ht="22.5" customHeight="1" x14ac:dyDescent="0.3">
      <c r="A19" s="130">
        <v>11</v>
      </c>
      <c r="B19" s="310">
        <v>2</v>
      </c>
      <c r="C19" s="705"/>
      <c r="D19" s="346" t="s">
        <v>313</v>
      </c>
      <c r="E19" s="346"/>
      <c r="F19" s="455" t="s">
        <v>23</v>
      </c>
      <c r="G19" s="121">
        <v>351654</v>
      </c>
      <c r="H19" s="121">
        <v>356328</v>
      </c>
      <c r="I19" s="354">
        <v>358902</v>
      </c>
      <c r="J19" s="356"/>
      <c r="K19" s="121"/>
      <c r="L19" s="121"/>
      <c r="M19" s="121"/>
      <c r="N19" s="121"/>
      <c r="O19" s="121"/>
      <c r="P19" s="121"/>
      <c r="Q19" s="121"/>
      <c r="R19" s="135"/>
      <c r="S19" s="293"/>
      <c r="T19" s="293"/>
      <c r="U19" s="293"/>
      <c r="V19" s="293"/>
      <c r="W19" s="293"/>
      <c r="X19" s="293"/>
      <c r="Y19" s="293"/>
      <c r="Z19" s="293"/>
      <c r="AA19" s="293"/>
      <c r="AB19" s="293"/>
      <c r="AC19" s="293"/>
      <c r="AD19" s="293"/>
      <c r="AE19" s="293"/>
    </row>
    <row r="20" spans="1:31" s="54" customFormat="1" ht="18" customHeight="1" x14ac:dyDescent="0.3">
      <c r="A20" s="130">
        <v>12</v>
      </c>
      <c r="B20" s="310"/>
      <c r="C20" s="705"/>
      <c r="D20" s="454" t="s">
        <v>312</v>
      </c>
      <c r="E20" s="454"/>
      <c r="F20" s="121"/>
      <c r="G20" s="121"/>
      <c r="H20" s="121"/>
      <c r="I20" s="354"/>
      <c r="J20" s="356"/>
      <c r="K20" s="121"/>
      <c r="L20" s="121"/>
      <c r="M20" s="121"/>
      <c r="N20" s="121"/>
      <c r="O20" s="121"/>
      <c r="P20" s="121"/>
      <c r="Q20" s="121"/>
      <c r="R20" s="13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</row>
    <row r="21" spans="1:31" s="860" customFormat="1" ht="18" customHeight="1" x14ac:dyDescent="0.3">
      <c r="A21" s="130">
        <v>13</v>
      </c>
      <c r="B21" s="807"/>
      <c r="C21" s="851"/>
      <c r="D21" s="851"/>
      <c r="E21" s="852" t="s">
        <v>311</v>
      </c>
      <c r="F21" s="829"/>
      <c r="G21" s="829"/>
      <c r="H21" s="829"/>
      <c r="I21" s="853"/>
      <c r="J21" s="854">
        <f t="shared" ref="J21:J27" si="1">SUM(K21:R21)</f>
        <v>367090</v>
      </c>
      <c r="K21" s="855">
        <v>241291</v>
      </c>
      <c r="L21" s="855">
        <v>48109</v>
      </c>
      <c r="M21" s="855">
        <v>76990</v>
      </c>
      <c r="N21" s="855"/>
      <c r="O21" s="855"/>
      <c r="P21" s="855">
        <v>700</v>
      </c>
      <c r="Q21" s="855"/>
      <c r="R21" s="856"/>
      <c r="S21" s="859"/>
      <c r="T21" s="859"/>
      <c r="U21" s="859"/>
      <c r="V21" s="859"/>
      <c r="W21" s="859"/>
      <c r="X21" s="859"/>
      <c r="Y21" s="859"/>
      <c r="Z21" s="859"/>
      <c r="AA21" s="859"/>
      <c r="AB21" s="859"/>
      <c r="AC21" s="859"/>
      <c r="AD21" s="859"/>
      <c r="AE21" s="859"/>
    </row>
    <row r="22" spans="1:31" s="860" customFormat="1" ht="18" customHeight="1" x14ac:dyDescent="0.3">
      <c r="A22" s="130">
        <v>14</v>
      </c>
      <c r="B22" s="807"/>
      <c r="C22" s="851"/>
      <c r="D22" s="851"/>
      <c r="E22" s="692" t="s">
        <v>1072</v>
      </c>
      <c r="F22" s="829"/>
      <c r="G22" s="829"/>
      <c r="H22" s="829"/>
      <c r="I22" s="853"/>
      <c r="J22" s="356">
        <f t="shared" si="1"/>
        <v>394293</v>
      </c>
      <c r="K22" s="1407">
        <v>241285</v>
      </c>
      <c r="L22" s="1407">
        <v>48164</v>
      </c>
      <c r="M22" s="1407">
        <v>90253</v>
      </c>
      <c r="N22" s="1407"/>
      <c r="O22" s="1407"/>
      <c r="P22" s="1407">
        <v>11644</v>
      </c>
      <c r="Q22" s="1407">
        <v>2947</v>
      </c>
      <c r="R22" s="856"/>
      <c r="S22" s="859"/>
      <c r="T22" s="859"/>
      <c r="U22" s="859"/>
      <c r="V22" s="859"/>
      <c r="W22" s="859"/>
      <c r="X22" s="859"/>
      <c r="Y22" s="859"/>
      <c r="Z22" s="859"/>
      <c r="AA22" s="859"/>
      <c r="AB22" s="859"/>
      <c r="AC22" s="859"/>
      <c r="AD22" s="859"/>
      <c r="AE22" s="859"/>
    </row>
    <row r="23" spans="1:31" s="860" customFormat="1" ht="18" customHeight="1" x14ac:dyDescent="0.3">
      <c r="A23" s="130"/>
      <c r="B23" s="807"/>
      <c r="C23" s="851"/>
      <c r="D23" s="851"/>
      <c r="E23" s="1375" t="s">
        <v>1216</v>
      </c>
      <c r="F23" s="829"/>
      <c r="G23" s="829"/>
      <c r="H23" s="829"/>
      <c r="I23" s="853"/>
      <c r="J23" s="1403">
        <f t="shared" si="1"/>
        <v>2</v>
      </c>
      <c r="K23" s="360">
        <v>2</v>
      </c>
      <c r="L23" s="1407"/>
      <c r="M23" s="1407"/>
      <c r="N23" s="1407"/>
      <c r="O23" s="1407"/>
      <c r="P23" s="1407"/>
      <c r="Q23" s="1407"/>
      <c r="R23" s="856"/>
      <c r="S23" s="859"/>
      <c r="T23" s="859"/>
      <c r="U23" s="859"/>
      <c r="V23" s="859"/>
      <c r="W23" s="859"/>
      <c r="X23" s="859"/>
      <c r="Y23" s="859"/>
      <c r="Z23" s="859"/>
      <c r="AA23" s="859"/>
      <c r="AB23" s="859"/>
      <c r="AC23" s="859"/>
      <c r="AD23" s="859"/>
      <c r="AE23" s="859"/>
    </row>
    <row r="24" spans="1:31" s="55" customFormat="1" ht="18" customHeight="1" x14ac:dyDescent="0.3">
      <c r="A24" s="130">
        <v>15</v>
      </c>
      <c r="B24" s="1373"/>
      <c r="C24" s="1400"/>
      <c r="D24" s="1400"/>
      <c r="E24" s="1375" t="s">
        <v>1157</v>
      </c>
      <c r="F24" s="317"/>
      <c r="G24" s="317"/>
      <c r="H24" s="317"/>
      <c r="I24" s="1402"/>
      <c r="J24" s="1403">
        <f t="shared" si="1"/>
        <v>10193</v>
      </c>
      <c r="K24" s="360">
        <v>8825</v>
      </c>
      <c r="L24" s="360">
        <v>1368</v>
      </c>
      <c r="M24" s="360"/>
      <c r="N24" s="360"/>
      <c r="O24" s="360"/>
      <c r="P24" s="360"/>
      <c r="Q24" s="360"/>
      <c r="R24" s="361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</row>
    <row r="25" spans="1:31" s="55" customFormat="1" ht="18" customHeight="1" x14ac:dyDescent="0.3">
      <c r="A25" s="130">
        <v>16</v>
      </c>
      <c r="B25" s="1373"/>
      <c r="C25" s="1400"/>
      <c r="D25" s="1400"/>
      <c r="E25" s="1401" t="s">
        <v>1159</v>
      </c>
      <c r="F25" s="317"/>
      <c r="G25" s="317"/>
      <c r="H25" s="317"/>
      <c r="I25" s="1402"/>
      <c r="J25" s="1403">
        <f t="shared" si="1"/>
        <v>0</v>
      </c>
      <c r="K25" s="360"/>
      <c r="L25" s="360"/>
      <c r="M25" s="360">
        <v>-1420</v>
      </c>
      <c r="N25" s="360"/>
      <c r="O25" s="360"/>
      <c r="P25" s="360">
        <v>1420</v>
      </c>
      <c r="Q25" s="360"/>
      <c r="R25" s="361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</row>
    <row r="26" spans="1:31" s="55" customFormat="1" ht="18" customHeight="1" x14ac:dyDescent="0.3">
      <c r="A26" s="130">
        <v>17</v>
      </c>
      <c r="B26" s="1373"/>
      <c r="C26" s="1400"/>
      <c r="D26" s="1400"/>
      <c r="E26" s="1375" t="s">
        <v>1243</v>
      </c>
      <c r="F26" s="317"/>
      <c r="G26" s="317"/>
      <c r="H26" s="317"/>
      <c r="I26" s="1402"/>
      <c r="J26" s="1403">
        <f t="shared" si="1"/>
        <v>7787</v>
      </c>
      <c r="K26" s="360">
        <v>6771</v>
      </c>
      <c r="L26" s="360">
        <v>1016</v>
      </c>
      <c r="M26" s="360"/>
      <c r="N26" s="360"/>
      <c r="O26" s="360"/>
      <c r="P26" s="360"/>
      <c r="Q26" s="360"/>
      <c r="R26" s="361"/>
      <c r="S26" s="155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55"/>
      <c r="AE26" s="155"/>
    </row>
    <row r="27" spans="1:31" s="55" customFormat="1" ht="18" customHeight="1" x14ac:dyDescent="0.3">
      <c r="A27" s="130">
        <v>18</v>
      </c>
      <c r="B27" s="1373"/>
      <c r="C27" s="1400"/>
      <c r="D27" s="1400"/>
      <c r="E27" s="1375" t="s">
        <v>1244</v>
      </c>
      <c r="F27" s="317"/>
      <c r="G27" s="317"/>
      <c r="H27" s="317"/>
      <c r="I27" s="1402"/>
      <c r="J27" s="1403">
        <f t="shared" si="1"/>
        <v>-12819</v>
      </c>
      <c r="K27" s="360"/>
      <c r="L27" s="360"/>
      <c r="M27" s="360">
        <v>-12819</v>
      </c>
      <c r="N27" s="360"/>
      <c r="O27" s="360"/>
      <c r="P27" s="360"/>
      <c r="Q27" s="360"/>
      <c r="R27" s="361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</row>
    <row r="28" spans="1:31" s="58" customFormat="1" ht="18" customHeight="1" x14ac:dyDescent="0.3">
      <c r="A28" s="130">
        <v>19</v>
      </c>
      <c r="B28" s="462"/>
      <c r="C28" s="1404"/>
      <c r="D28" s="1404"/>
      <c r="E28" s="346" t="s">
        <v>1151</v>
      </c>
      <c r="F28" s="1405"/>
      <c r="G28" s="1405"/>
      <c r="H28" s="1405"/>
      <c r="I28" s="1406"/>
      <c r="J28" s="356">
        <f>SUM(K28:R28)</f>
        <v>399456</v>
      </c>
      <c r="K28" s="1407">
        <f>SUM(K22:K27)</f>
        <v>256883</v>
      </c>
      <c r="L28" s="1407">
        <f>SUM(L22:L27)</f>
        <v>50548</v>
      </c>
      <c r="M28" s="1407">
        <f t="shared" ref="M28:Q28" si="2">SUM(M22:M27)</f>
        <v>76014</v>
      </c>
      <c r="N28" s="1407"/>
      <c r="O28" s="1407"/>
      <c r="P28" s="1407">
        <f t="shared" si="2"/>
        <v>13064</v>
      </c>
      <c r="Q28" s="1407">
        <f t="shared" si="2"/>
        <v>2947</v>
      </c>
      <c r="R28" s="1408"/>
      <c r="S28" s="293"/>
      <c r="T28" s="293"/>
      <c r="U28" s="293"/>
      <c r="V28" s="293"/>
      <c r="W28" s="293"/>
      <c r="X28" s="293"/>
      <c r="Y28" s="293"/>
      <c r="Z28" s="293"/>
      <c r="AA28" s="293"/>
      <c r="AB28" s="293"/>
      <c r="AC28" s="293"/>
      <c r="AD28" s="293"/>
      <c r="AE28" s="293"/>
    </row>
    <row r="29" spans="1:31" s="54" customFormat="1" ht="22.5" customHeight="1" x14ac:dyDescent="0.3">
      <c r="A29" s="130">
        <v>20</v>
      </c>
      <c r="B29" s="310">
        <v>3</v>
      </c>
      <c r="C29" s="705"/>
      <c r="D29" s="346" t="s">
        <v>267</v>
      </c>
      <c r="E29" s="346"/>
      <c r="F29" s="455" t="s">
        <v>23</v>
      </c>
      <c r="G29" s="121">
        <v>431588</v>
      </c>
      <c r="H29" s="121">
        <v>425240</v>
      </c>
      <c r="I29" s="354">
        <v>431030</v>
      </c>
      <c r="J29" s="356"/>
      <c r="K29" s="121"/>
      <c r="L29" s="121"/>
      <c r="M29" s="121"/>
      <c r="N29" s="121"/>
      <c r="O29" s="121"/>
      <c r="P29" s="121"/>
      <c r="Q29" s="121"/>
      <c r="R29" s="13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</row>
    <row r="30" spans="1:31" s="51" customFormat="1" ht="18" customHeight="1" x14ac:dyDescent="0.3">
      <c r="A30" s="130">
        <v>21</v>
      </c>
      <c r="B30" s="310"/>
      <c r="C30" s="705"/>
      <c r="D30" s="454" t="s">
        <v>153</v>
      </c>
      <c r="E30" s="454"/>
      <c r="F30" s="121"/>
      <c r="G30" s="121"/>
      <c r="H30" s="121"/>
      <c r="I30" s="354"/>
      <c r="J30" s="356"/>
      <c r="K30" s="121"/>
      <c r="L30" s="121"/>
      <c r="M30" s="121"/>
      <c r="N30" s="121"/>
      <c r="O30" s="121"/>
      <c r="P30" s="121"/>
      <c r="Q30" s="121"/>
      <c r="R30" s="135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</row>
    <row r="31" spans="1:31" s="858" customFormat="1" ht="18" customHeight="1" x14ac:dyDescent="0.3">
      <c r="A31" s="130">
        <v>22</v>
      </c>
      <c r="B31" s="807"/>
      <c r="C31" s="851"/>
      <c r="D31" s="851"/>
      <c r="E31" s="852" t="s">
        <v>311</v>
      </c>
      <c r="F31" s="829"/>
      <c r="G31" s="829"/>
      <c r="H31" s="829"/>
      <c r="I31" s="853"/>
      <c r="J31" s="854">
        <f>SUM(K31:R31)</f>
        <v>428960</v>
      </c>
      <c r="K31" s="855">
        <v>291221</v>
      </c>
      <c r="L31" s="855">
        <v>57361</v>
      </c>
      <c r="M31" s="855">
        <v>80378</v>
      </c>
      <c r="N31" s="855"/>
      <c r="O31" s="855"/>
      <c r="P31" s="855"/>
      <c r="Q31" s="855"/>
      <c r="R31" s="856"/>
      <c r="S31" s="857"/>
      <c r="T31" s="857"/>
      <c r="U31" s="857"/>
      <c r="V31" s="857"/>
      <c r="W31" s="857"/>
      <c r="X31" s="857"/>
      <c r="Y31" s="857"/>
      <c r="Z31" s="857"/>
      <c r="AA31" s="857"/>
      <c r="AB31" s="857"/>
      <c r="AC31" s="857"/>
      <c r="AD31" s="857"/>
      <c r="AE31" s="857"/>
    </row>
    <row r="32" spans="1:31" s="858" customFormat="1" ht="18" customHeight="1" x14ac:dyDescent="0.3">
      <c r="A32" s="130">
        <v>23</v>
      </c>
      <c r="B32" s="807"/>
      <c r="C32" s="851"/>
      <c r="D32" s="851"/>
      <c r="E32" s="692" t="s">
        <v>1072</v>
      </c>
      <c r="F32" s="829"/>
      <c r="G32" s="829"/>
      <c r="H32" s="829"/>
      <c r="I32" s="853"/>
      <c r="J32" s="356">
        <f>SUM(K32:R32)</f>
        <v>444974</v>
      </c>
      <c r="K32" s="1407">
        <v>299510</v>
      </c>
      <c r="L32" s="1407">
        <v>58873</v>
      </c>
      <c r="M32" s="1407">
        <v>85271</v>
      </c>
      <c r="N32" s="855"/>
      <c r="O32" s="855"/>
      <c r="P32" s="1407">
        <v>1320</v>
      </c>
      <c r="Q32" s="855"/>
      <c r="R32" s="856"/>
      <c r="S32" s="857"/>
      <c r="T32" s="857"/>
      <c r="U32" s="857"/>
      <c r="V32" s="857"/>
      <c r="W32" s="857"/>
      <c r="X32" s="857"/>
      <c r="Y32" s="857"/>
      <c r="Z32" s="857"/>
      <c r="AA32" s="857"/>
      <c r="AB32" s="857"/>
      <c r="AC32" s="857"/>
      <c r="AD32" s="857"/>
      <c r="AE32" s="857"/>
    </row>
    <row r="33" spans="1:31" s="55" customFormat="1" ht="18" customHeight="1" x14ac:dyDescent="0.3">
      <c r="A33" s="130">
        <v>24</v>
      </c>
      <c r="B33" s="1373"/>
      <c r="C33" s="1400"/>
      <c r="D33" s="1400"/>
      <c r="E33" s="1375" t="s">
        <v>1169</v>
      </c>
      <c r="F33" s="317"/>
      <c r="G33" s="317"/>
      <c r="H33" s="317"/>
      <c r="I33" s="1402"/>
      <c r="J33" s="1403">
        <f>SUM(K33:R33)</f>
        <v>-1848</v>
      </c>
      <c r="K33" s="360"/>
      <c r="L33" s="360"/>
      <c r="M33" s="360">
        <v>-1848</v>
      </c>
      <c r="N33" s="360"/>
      <c r="O33" s="360"/>
      <c r="P33" s="360"/>
      <c r="Q33" s="360"/>
      <c r="R33" s="361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</row>
    <row r="34" spans="1:31" s="55" customFormat="1" ht="18" customHeight="1" x14ac:dyDescent="0.3">
      <c r="A34" s="130">
        <v>25</v>
      </c>
      <c r="B34" s="1373"/>
      <c r="C34" s="1400"/>
      <c r="D34" s="1400"/>
      <c r="E34" s="1375" t="s">
        <v>1157</v>
      </c>
      <c r="F34" s="317"/>
      <c r="G34" s="317"/>
      <c r="H34" s="317"/>
      <c r="I34" s="1402"/>
      <c r="J34" s="1403">
        <f t="shared" ref="J34:J38" si="3">SUM(K34:R34)</f>
        <v>10909</v>
      </c>
      <c r="K34" s="360">
        <v>9445</v>
      </c>
      <c r="L34" s="360">
        <v>1464</v>
      </c>
      <c r="M34" s="360"/>
      <c r="N34" s="360"/>
      <c r="O34" s="360"/>
      <c r="P34" s="360"/>
      <c r="Q34" s="360"/>
      <c r="R34" s="361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</row>
    <row r="35" spans="1:31" s="55" customFormat="1" ht="18" customHeight="1" x14ac:dyDescent="0.3">
      <c r="A35" s="130">
        <v>26</v>
      </c>
      <c r="B35" s="1373"/>
      <c r="C35" s="1400"/>
      <c r="D35" s="1400"/>
      <c r="E35" s="1375" t="s">
        <v>1159</v>
      </c>
      <c r="F35" s="317"/>
      <c r="G35" s="317"/>
      <c r="H35" s="317"/>
      <c r="I35" s="1402"/>
      <c r="J35" s="1403">
        <f t="shared" si="3"/>
        <v>0</v>
      </c>
      <c r="K35" s="360"/>
      <c r="L35" s="360"/>
      <c r="M35" s="360">
        <v>-441</v>
      </c>
      <c r="N35" s="360"/>
      <c r="O35" s="360"/>
      <c r="P35" s="360">
        <v>441</v>
      </c>
      <c r="Q35" s="360"/>
      <c r="R35" s="361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</row>
    <row r="36" spans="1:31" s="55" customFormat="1" ht="18" customHeight="1" x14ac:dyDescent="0.3">
      <c r="A36" s="130">
        <v>27</v>
      </c>
      <c r="B36" s="1373"/>
      <c r="C36" s="1400"/>
      <c r="D36" s="1400"/>
      <c r="E36" s="1375" t="s">
        <v>1159</v>
      </c>
      <c r="F36" s="317"/>
      <c r="G36" s="317"/>
      <c r="H36" s="317"/>
      <c r="I36" s="1402"/>
      <c r="J36" s="1403">
        <f t="shared" si="3"/>
        <v>0</v>
      </c>
      <c r="K36" s="360">
        <v>-3896</v>
      </c>
      <c r="L36" s="360">
        <v>-604</v>
      </c>
      <c r="M36" s="360">
        <v>4500</v>
      </c>
      <c r="N36" s="360"/>
      <c r="O36" s="360"/>
      <c r="P36" s="360"/>
      <c r="Q36" s="360"/>
      <c r="R36" s="361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</row>
    <row r="37" spans="1:31" s="55" customFormat="1" ht="18" customHeight="1" x14ac:dyDescent="0.3">
      <c r="A37" s="130">
        <v>28</v>
      </c>
      <c r="B37" s="1373"/>
      <c r="C37" s="1400"/>
      <c r="D37" s="1400"/>
      <c r="E37" s="1375" t="s">
        <v>1243</v>
      </c>
      <c r="F37" s="317"/>
      <c r="G37" s="317"/>
      <c r="H37" s="317"/>
      <c r="I37" s="1402"/>
      <c r="J37" s="1403">
        <f t="shared" si="3"/>
        <v>8510</v>
      </c>
      <c r="K37" s="360">
        <v>7368</v>
      </c>
      <c r="L37" s="360">
        <v>1142</v>
      </c>
      <c r="M37" s="360"/>
      <c r="N37" s="360"/>
      <c r="O37" s="360"/>
      <c r="P37" s="360"/>
      <c r="Q37" s="360"/>
      <c r="R37" s="361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55"/>
      <c r="AE37" s="155"/>
    </row>
    <row r="38" spans="1:31" s="55" customFormat="1" ht="18" customHeight="1" x14ac:dyDescent="0.3">
      <c r="A38" s="130">
        <v>29</v>
      </c>
      <c r="B38" s="1373"/>
      <c r="C38" s="1400"/>
      <c r="D38" s="1400"/>
      <c r="E38" s="1375" t="s">
        <v>1244</v>
      </c>
      <c r="F38" s="317"/>
      <c r="G38" s="317"/>
      <c r="H38" s="317"/>
      <c r="I38" s="1402"/>
      <c r="J38" s="1403">
        <f t="shared" si="3"/>
        <v>-12025</v>
      </c>
      <c r="K38" s="360"/>
      <c r="L38" s="360"/>
      <c r="M38" s="360">
        <v>-12025</v>
      </c>
      <c r="N38" s="360"/>
      <c r="O38" s="360"/>
      <c r="P38" s="360"/>
      <c r="Q38" s="360"/>
      <c r="R38" s="361"/>
      <c r="S38" s="155"/>
      <c r="T38" s="155"/>
      <c r="U38" s="155"/>
      <c r="V38" s="155"/>
      <c r="W38" s="155"/>
      <c r="X38" s="155"/>
      <c r="Y38" s="155"/>
      <c r="Z38" s="155"/>
      <c r="AA38" s="155"/>
      <c r="AB38" s="155"/>
      <c r="AC38" s="155"/>
      <c r="AD38" s="155"/>
      <c r="AE38" s="155"/>
    </row>
    <row r="39" spans="1:31" s="58" customFormat="1" ht="18" customHeight="1" x14ac:dyDescent="0.3">
      <c r="A39" s="130">
        <v>30</v>
      </c>
      <c r="B39" s="462"/>
      <c r="C39" s="1404"/>
      <c r="D39" s="1404"/>
      <c r="E39" s="346" t="s">
        <v>1151</v>
      </c>
      <c r="F39" s="1405"/>
      <c r="G39" s="1405"/>
      <c r="H39" s="1405"/>
      <c r="I39" s="1406"/>
      <c r="J39" s="356">
        <f>SUM(K39:R39)</f>
        <v>450520</v>
      </c>
      <c r="K39" s="1407">
        <f>SUM(K32:K38)</f>
        <v>312427</v>
      </c>
      <c r="L39" s="1407">
        <f>SUM(L32:L38)</f>
        <v>60875</v>
      </c>
      <c r="M39" s="1407">
        <f>SUM(M32:M38)</f>
        <v>75457</v>
      </c>
      <c r="N39" s="1407"/>
      <c r="O39" s="1407"/>
      <c r="P39" s="1407">
        <f t="shared" ref="P39" si="4">SUM(P32:P38)</f>
        <v>1761</v>
      </c>
      <c r="Q39" s="1407"/>
      <c r="R39" s="1408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</row>
    <row r="40" spans="1:31" s="54" customFormat="1" ht="22.5" customHeight="1" x14ac:dyDescent="0.3">
      <c r="A40" s="130">
        <v>31</v>
      </c>
      <c r="B40" s="310">
        <v>4</v>
      </c>
      <c r="C40" s="705"/>
      <c r="D40" s="346" t="s">
        <v>268</v>
      </c>
      <c r="E40" s="346"/>
      <c r="F40" s="455" t="s">
        <v>23</v>
      </c>
      <c r="G40" s="121">
        <v>302390</v>
      </c>
      <c r="H40" s="121">
        <v>310528</v>
      </c>
      <c r="I40" s="354">
        <v>318994</v>
      </c>
      <c r="J40" s="356"/>
      <c r="K40" s="121"/>
      <c r="L40" s="121"/>
      <c r="M40" s="121"/>
      <c r="N40" s="121"/>
      <c r="O40" s="121"/>
      <c r="P40" s="121"/>
      <c r="Q40" s="121"/>
      <c r="R40" s="13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</row>
    <row r="41" spans="1:31" s="54" customFormat="1" ht="18" customHeight="1" x14ac:dyDescent="0.3">
      <c r="A41" s="130">
        <v>32</v>
      </c>
      <c r="B41" s="310"/>
      <c r="C41" s="705"/>
      <c r="D41" s="454" t="s">
        <v>154</v>
      </c>
      <c r="E41" s="454"/>
      <c r="F41" s="121"/>
      <c r="G41" s="121"/>
      <c r="H41" s="121"/>
      <c r="I41" s="354"/>
      <c r="J41" s="356"/>
      <c r="K41" s="121"/>
      <c r="L41" s="121"/>
      <c r="M41" s="121"/>
      <c r="N41" s="121"/>
      <c r="O41" s="121"/>
      <c r="P41" s="121"/>
      <c r="Q41" s="121"/>
      <c r="R41" s="13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</row>
    <row r="42" spans="1:31" s="858" customFormat="1" ht="18" customHeight="1" x14ac:dyDescent="0.3">
      <c r="A42" s="130">
        <v>33</v>
      </c>
      <c r="B42" s="807"/>
      <c r="C42" s="851"/>
      <c r="D42" s="851"/>
      <c r="E42" s="852" t="s">
        <v>311</v>
      </c>
      <c r="F42" s="829"/>
      <c r="G42" s="829"/>
      <c r="H42" s="829"/>
      <c r="I42" s="853"/>
      <c r="J42" s="854">
        <f>SUM(K42:R42)</f>
        <v>319512</v>
      </c>
      <c r="K42" s="855">
        <v>213322</v>
      </c>
      <c r="L42" s="855">
        <v>42437</v>
      </c>
      <c r="M42" s="855">
        <v>63753</v>
      </c>
      <c r="N42" s="855"/>
      <c r="O42" s="855"/>
      <c r="P42" s="855"/>
      <c r="Q42" s="855"/>
      <c r="R42" s="856"/>
      <c r="S42" s="857"/>
      <c r="T42" s="857"/>
      <c r="U42" s="857"/>
      <c r="V42" s="857"/>
      <c r="W42" s="857"/>
      <c r="X42" s="857"/>
      <c r="Y42" s="857"/>
      <c r="Z42" s="857"/>
      <c r="AA42" s="857"/>
      <c r="AB42" s="857"/>
      <c r="AC42" s="857"/>
      <c r="AD42" s="857"/>
      <c r="AE42" s="857"/>
    </row>
    <row r="43" spans="1:31" s="858" customFormat="1" ht="18" customHeight="1" x14ac:dyDescent="0.3">
      <c r="A43" s="130">
        <v>34</v>
      </c>
      <c r="B43" s="807"/>
      <c r="C43" s="851"/>
      <c r="D43" s="851"/>
      <c r="E43" s="692" t="s">
        <v>1072</v>
      </c>
      <c r="F43" s="829"/>
      <c r="G43" s="829"/>
      <c r="H43" s="829"/>
      <c r="I43" s="853"/>
      <c r="J43" s="356">
        <f>SUM(K43:R43)</f>
        <v>335245</v>
      </c>
      <c r="K43" s="1407">
        <v>213712</v>
      </c>
      <c r="L43" s="1407">
        <v>42573</v>
      </c>
      <c r="M43" s="1407">
        <v>78960</v>
      </c>
      <c r="N43" s="855"/>
      <c r="O43" s="855"/>
      <c r="P43" s="855"/>
      <c r="Q43" s="855"/>
      <c r="R43" s="856"/>
      <c r="S43" s="857"/>
      <c r="T43" s="857"/>
      <c r="U43" s="857"/>
      <c r="V43" s="857"/>
      <c r="W43" s="857"/>
      <c r="X43" s="857"/>
      <c r="Y43" s="857"/>
      <c r="Z43" s="857"/>
      <c r="AA43" s="857"/>
      <c r="AB43" s="857"/>
      <c r="AC43" s="857"/>
      <c r="AD43" s="857"/>
      <c r="AE43" s="857"/>
    </row>
    <row r="44" spans="1:31" s="858" customFormat="1" ht="18" customHeight="1" x14ac:dyDescent="0.3">
      <c r="A44" s="130">
        <v>35</v>
      </c>
      <c r="B44" s="807"/>
      <c r="C44" s="851"/>
      <c r="D44" s="851"/>
      <c r="E44" s="1375" t="s">
        <v>1156</v>
      </c>
      <c r="F44" s="829"/>
      <c r="G44" s="829"/>
      <c r="H44" s="829"/>
      <c r="I44" s="853"/>
      <c r="J44" s="1403">
        <f t="shared" ref="J44:J50" si="5">SUM(K44:R44)</f>
        <v>897</v>
      </c>
      <c r="K44" s="1407"/>
      <c r="L44" s="1407"/>
      <c r="M44" s="360">
        <v>897</v>
      </c>
      <c r="N44" s="855"/>
      <c r="O44" s="855"/>
      <c r="P44" s="855"/>
      <c r="Q44" s="855"/>
      <c r="R44" s="856"/>
      <c r="S44" s="857"/>
      <c r="T44" s="857"/>
      <c r="U44" s="857"/>
      <c r="V44" s="857"/>
      <c r="W44" s="857"/>
      <c r="X44" s="857"/>
      <c r="Y44" s="857"/>
      <c r="Z44" s="857"/>
      <c r="AA44" s="857"/>
      <c r="AB44" s="857"/>
      <c r="AC44" s="857"/>
      <c r="AD44" s="857"/>
      <c r="AE44" s="857"/>
    </row>
    <row r="45" spans="1:31" s="858" customFormat="1" ht="18" customHeight="1" x14ac:dyDescent="0.3">
      <c r="A45" s="130">
        <v>36</v>
      </c>
      <c r="B45" s="807"/>
      <c r="C45" s="851"/>
      <c r="D45" s="851"/>
      <c r="E45" s="1375" t="s">
        <v>1157</v>
      </c>
      <c r="F45" s="829"/>
      <c r="G45" s="829"/>
      <c r="H45" s="829"/>
      <c r="I45" s="853"/>
      <c r="J45" s="1403">
        <f>SUM(K45:R45)</f>
        <v>5591</v>
      </c>
      <c r="K45" s="360">
        <f>1942+2886</f>
        <v>4828</v>
      </c>
      <c r="L45" s="360">
        <f>763</f>
        <v>763</v>
      </c>
      <c r="M45" s="1407"/>
      <c r="N45" s="855"/>
      <c r="O45" s="855"/>
      <c r="P45" s="855"/>
      <c r="Q45" s="855"/>
      <c r="R45" s="856"/>
      <c r="S45" s="857"/>
      <c r="T45" s="857"/>
      <c r="U45" s="857"/>
      <c r="V45" s="857"/>
      <c r="W45" s="857"/>
      <c r="X45" s="857"/>
      <c r="Y45" s="857"/>
      <c r="Z45" s="857"/>
      <c r="AA45" s="857"/>
      <c r="AB45" s="857"/>
      <c r="AC45" s="857"/>
      <c r="AD45" s="857"/>
      <c r="AE45" s="857"/>
    </row>
    <row r="46" spans="1:31" s="858" customFormat="1" ht="18" customHeight="1" x14ac:dyDescent="0.3">
      <c r="A46" s="130">
        <v>37</v>
      </c>
      <c r="B46" s="807"/>
      <c r="C46" s="851"/>
      <c r="D46" s="851"/>
      <c r="E46" s="1375" t="s">
        <v>1158</v>
      </c>
      <c r="F46" s="829"/>
      <c r="G46" s="829"/>
      <c r="H46" s="829"/>
      <c r="I46" s="853"/>
      <c r="J46" s="1403">
        <f t="shared" si="5"/>
        <v>1848</v>
      </c>
      <c r="K46" s="1407"/>
      <c r="L46" s="1407"/>
      <c r="M46" s="360">
        <v>1848</v>
      </c>
      <c r="N46" s="855"/>
      <c r="O46" s="855"/>
      <c r="P46" s="855"/>
      <c r="Q46" s="855"/>
      <c r="R46" s="856"/>
      <c r="S46" s="857"/>
      <c r="T46" s="857"/>
      <c r="U46" s="857"/>
      <c r="V46" s="857"/>
      <c r="W46" s="857"/>
      <c r="X46" s="857"/>
      <c r="Y46" s="857"/>
      <c r="Z46" s="857"/>
      <c r="AA46" s="857"/>
      <c r="AB46" s="857"/>
      <c r="AC46" s="857"/>
      <c r="AD46" s="857"/>
      <c r="AE46" s="857"/>
    </row>
    <row r="47" spans="1:31" s="858" customFormat="1" ht="18" customHeight="1" x14ac:dyDescent="0.3">
      <c r="A47" s="130">
        <v>38</v>
      </c>
      <c r="B47" s="807"/>
      <c r="C47" s="851"/>
      <c r="D47" s="851"/>
      <c r="E47" s="1375" t="s">
        <v>1159</v>
      </c>
      <c r="F47" s="829"/>
      <c r="G47" s="829"/>
      <c r="H47" s="829"/>
      <c r="I47" s="853"/>
      <c r="J47" s="1403">
        <f t="shared" si="5"/>
        <v>0</v>
      </c>
      <c r="K47" s="1407"/>
      <c r="L47" s="1407"/>
      <c r="M47" s="360">
        <v>-1170</v>
      </c>
      <c r="N47" s="855"/>
      <c r="O47" s="855"/>
      <c r="P47" s="360">
        <v>1170</v>
      </c>
      <c r="Q47" s="855"/>
      <c r="R47" s="856"/>
      <c r="S47" s="857"/>
      <c r="T47" s="857"/>
      <c r="U47" s="857"/>
      <c r="V47" s="857"/>
      <c r="W47" s="857"/>
      <c r="X47" s="857"/>
      <c r="Y47" s="857"/>
      <c r="Z47" s="857"/>
      <c r="AA47" s="857"/>
      <c r="AB47" s="857"/>
      <c r="AC47" s="857"/>
      <c r="AD47" s="857"/>
      <c r="AE47" s="857"/>
    </row>
    <row r="48" spans="1:31" s="858" customFormat="1" ht="18" customHeight="1" x14ac:dyDescent="0.3">
      <c r="A48" s="130">
        <v>39</v>
      </c>
      <c r="B48" s="807"/>
      <c r="C48" s="851"/>
      <c r="D48" s="851"/>
      <c r="E48" s="1375" t="s">
        <v>1159</v>
      </c>
      <c r="F48" s="1405"/>
      <c r="G48" s="1405"/>
      <c r="H48" s="1405"/>
      <c r="I48" s="1406"/>
      <c r="J48" s="1403">
        <f t="shared" si="5"/>
        <v>0</v>
      </c>
      <c r="K48" s="360">
        <v>10380</v>
      </c>
      <c r="L48" s="360">
        <v>1560</v>
      </c>
      <c r="M48" s="360">
        <f>-10380-1560</f>
        <v>-11940</v>
      </c>
      <c r="N48" s="855"/>
      <c r="O48" s="855"/>
      <c r="P48" s="855"/>
      <c r="Q48" s="855"/>
      <c r="R48" s="856"/>
      <c r="S48" s="857"/>
      <c r="T48" s="857"/>
      <c r="U48" s="857"/>
      <c r="V48" s="857"/>
      <c r="W48" s="857"/>
      <c r="X48" s="857"/>
      <c r="Y48" s="857"/>
      <c r="Z48" s="857"/>
      <c r="AA48" s="857"/>
      <c r="AB48" s="857"/>
      <c r="AC48" s="857"/>
      <c r="AD48" s="857"/>
      <c r="AE48" s="857"/>
    </row>
    <row r="49" spans="1:31" s="858" customFormat="1" ht="18" customHeight="1" x14ac:dyDescent="0.3">
      <c r="A49" s="130">
        <v>40</v>
      </c>
      <c r="B49" s="807"/>
      <c r="C49" s="851"/>
      <c r="D49" s="851"/>
      <c r="E49" s="1375" t="s">
        <v>1243</v>
      </c>
      <c r="F49" s="2014"/>
      <c r="G49" s="2014"/>
      <c r="H49" s="2014"/>
      <c r="I49" s="2015"/>
      <c r="J49" s="1403">
        <f t="shared" si="5"/>
        <v>5611</v>
      </c>
      <c r="K49" s="360">
        <v>4879</v>
      </c>
      <c r="L49" s="360">
        <v>732</v>
      </c>
      <c r="M49" s="2016"/>
      <c r="N49" s="855"/>
      <c r="O49" s="855"/>
      <c r="P49" s="855"/>
      <c r="Q49" s="855"/>
      <c r="R49" s="856"/>
      <c r="S49" s="857"/>
      <c r="T49" s="857"/>
      <c r="U49" s="857"/>
      <c r="V49" s="857"/>
      <c r="W49" s="857"/>
      <c r="X49" s="857"/>
      <c r="Y49" s="857"/>
      <c r="Z49" s="857"/>
      <c r="AA49" s="857"/>
      <c r="AB49" s="857"/>
      <c r="AC49" s="857"/>
      <c r="AD49" s="857"/>
      <c r="AE49" s="857"/>
    </row>
    <row r="50" spans="1:31" s="858" customFormat="1" ht="18" customHeight="1" x14ac:dyDescent="0.3">
      <c r="A50" s="130">
        <v>41</v>
      </c>
      <c r="B50" s="807"/>
      <c r="C50" s="851"/>
      <c r="D50" s="851"/>
      <c r="E50" s="1375" t="s">
        <v>1244</v>
      </c>
      <c r="F50" s="829"/>
      <c r="G50" s="829"/>
      <c r="H50" s="829"/>
      <c r="I50" s="853"/>
      <c r="J50" s="1403">
        <f t="shared" si="5"/>
        <v>-15627</v>
      </c>
      <c r="K50" s="1407"/>
      <c r="L50" s="1407"/>
      <c r="M50" s="360">
        <v>-15627</v>
      </c>
      <c r="N50" s="855"/>
      <c r="O50" s="855"/>
      <c r="P50" s="855"/>
      <c r="Q50" s="855"/>
      <c r="R50" s="856"/>
      <c r="S50" s="857"/>
      <c r="T50" s="857"/>
      <c r="U50" s="857"/>
      <c r="V50" s="857"/>
      <c r="W50" s="857"/>
      <c r="X50" s="857"/>
      <c r="Y50" s="857"/>
      <c r="Z50" s="857"/>
      <c r="AA50" s="857"/>
      <c r="AB50" s="857"/>
      <c r="AC50" s="857"/>
      <c r="AD50" s="857"/>
      <c r="AE50" s="857"/>
    </row>
    <row r="51" spans="1:31" s="55" customFormat="1" ht="18" customHeight="1" x14ac:dyDescent="0.3">
      <c r="A51" s="130">
        <v>42</v>
      </c>
      <c r="B51" s="1373"/>
      <c r="C51" s="1400"/>
      <c r="D51" s="1400"/>
      <c r="E51" s="1375" t="s">
        <v>1213</v>
      </c>
      <c r="F51" s="317"/>
      <c r="G51" s="317"/>
      <c r="H51" s="317"/>
      <c r="I51" s="1402"/>
      <c r="J51" s="1403">
        <f>SUM(K51:R51)</f>
        <v>2</v>
      </c>
      <c r="K51" s="360">
        <v>2</v>
      </c>
      <c r="L51" s="360"/>
      <c r="M51" s="360"/>
      <c r="N51" s="360"/>
      <c r="O51" s="360"/>
      <c r="P51" s="360"/>
      <c r="Q51" s="360"/>
      <c r="R51" s="361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</row>
    <row r="52" spans="1:31" s="58" customFormat="1" ht="18" customHeight="1" x14ac:dyDescent="0.3">
      <c r="A52" s="130">
        <v>43</v>
      </c>
      <c r="B52" s="462"/>
      <c r="C52" s="1404"/>
      <c r="D52" s="1404"/>
      <c r="E52" s="346" t="s">
        <v>1151</v>
      </c>
      <c r="F52" s="1405"/>
      <c r="G52" s="1405"/>
      <c r="H52" s="1405"/>
      <c r="I52" s="1406"/>
      <c r="J52" s="356">
        <f>SUM(K52:R52)</f>
        <v>333567</v>
      </c>
      <c r="K52" s="1407">
        <f>SUM(K43:K51)</f>
        <v>233801</v>
      </c>
      <c r="L52" s="1407">
        <f>SUM(L43:L51)</f>
        <v>45628</v>
      </c>
      <c r="M52" s="1407">
        <f>SUM(M43:M51)</f>
        <v>52968</v>
      </c>
      <c r="N52" s="1407"/>
      <c r="O52" s="1407"/>
      <c r="P52" s="1407">
        <f t="shared" ref="P52" si="6">SUM(P43:P51)</f>
        <v>1170</v>
      </c>
      <c r="Q52" s="1407"/>
      <c r="R52" s="1408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3"/>
      <c r="AE52" s="293"/>
    </row>
    <row r="53" spans="1:31" s="58" customFormat="1" ht="22.5" customHeight="1" x14ac:dyDescent="0.3">
      <c r="A53" s="130">
        <v>44</v>
      </c>
      <c r="B53" s="310">
        <v>5</v>
      </c>
      <c r="C53" s="705"/>
      <c r="D53" s="346" t="s">
        <v>269</v>
      </c>
      <c r="E53" s="346"/>
      <c r="F53" s="455" t="s">
        <v>23</v>
      </c>
      <c r="G53" s="121">
        <v>336173</v>
      </c>
      <c r="H53" s="121">
        <v>339061</v>
      </c>
      <c r="I53" s="354">
        <v>350092</v>
      </c>
      <c r="J53" s="356"/>
      <c r="K53" s="121"/>
      <c r="L53" s="121"/>
      <c r="M53" s="121"/>
      <c r="N53" s="349"/>
      <c r="O53" s="349"/>
      <c r="P53" s="349"/>
      <c r="Q53" s="349"/>
      <c r="R53" s="350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293"/>
      <c r="AE53" s="293"/>
    </row>
    <row r="54" spans="1:31" s="54" customFormat="1" ht="18" customHeight="1" x14ac:dyDescent="0.3">
      <c r="A54" s="130">
        <v>45</v>
      </c>
      <c r="B54" s="310"/>
      <c r="C54" s="705"/>
      <c r="D54" s="454" t="s">
        <v>155</v>
      </c>
      <c r="E54" s="454"/>
      <c r="F54" s="121"/>
      <c r="G54" s="121"/>
      <c r="H54" s="121"/>
      <c r="I54" s="354"/>
      <c r="J54" s="356"/>
      <c r="K54" s="121"/>
      <c r="L54" s="121"/>
      <c r="M54" s="121"/>
      <c r="N54" s="349"/>
      <c r="O54" s="349"/>
      <c r="P54" s="349"/>
      <c r="Q54" s="349"/>
      <c r="R54" s="350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</row>
    <row r="55" spans="1:31" s="860" customFormat="1" ht="18" customHeight="1" x14ac:dyDescent="0.3">
      <c r="A55" s="130">
        <v>46</v>
      </c>
      <c r="B55" s="807"/>
      <c r="C55" s="851"/>
      <c r="D55" s="851"/>
      <c r="E55" s="852" t="s">
        <v>311</v>
      </c>
      <c r="F55" s="829"/>
      <c r="G55" s="829"/>
      <c r="H55" s="829"/>
      <c r="I55" s="853"/>
      <c r="J55" s="854">
        <f>SUM(K55:R55)</f>
        <v>341538</v>
      </c>
      <c r="K55" s="855">
        <v>213361</v>
      </c>
      <c r="L55" s="855">
        <v>42331</v>
      </c>
      <c r="M55" s="855">
        <v>85846</v>
      </c>
      <c r="N55" s="855"/>
      <c r="O55" s="855"/>
      <c r="P55" s="855"/>
      <c r="Q55" s="855"/>
      <c r="R55" s="856"/>
      <c r="S55" s="859"/>
      <c r="T55" s="859"/>
      <c r="U55" s="859"/>
      <c r="V55" s="859"/>
      <c r="W55" s="859"/>
      <c r="X55" s="859"/>
      <c r="Y55" s="859"/>
      <c r="Z55" s="859"/>
      <c r="AA55" s="859"/>
      <c r="AB55" s="859"/>
      <c r="AC55" s="859"/>
      <c r="AD55" s="859"/>
      <c r="AE55" s="859"/>
    </row>
    <row r="56" spans="1:31" s="860" customFormat="1" ht="18" customHeight="1" x14ac:dyDescent="0.3">
      <c r="A56" s="130">
        <v>47</v>
      </c>
      <c r="B56" s="807"/>
      <c r="C56" s="851"/>
      <c r="D56" s="851"/>
      <c r="E56" s="692" t="s">
        <v>1072</v>
      </c>
      <c r="F56" s="829"/>
      <c r="G56" s="829"/>
      <c r="H56" s="829"/>
      <c r="I56" s="853"/>
      <c r="J56" s="356">
        <f>SUM(K56:R56)</f>
        <v>364506</v>
      </c>
      <c r="K56" s="1407">
        <v>223592</v>
      </c>
      <c r="L56" s="1407">
        <v>44860</v>
      </c>
      <c r="M56" s="1407">
        <v>95654</v>
      </c>
      <c r="N56" s="1407"/>
      <c r="O56" s="1407"/>
      <c r="P56" s="1407">
        <v>400</v>
      </c>
      <c r="Q56" s="855"/>
      <c r="R56" s="856"/>
      <c r="S56" s="859"/>
      <c r="T56" s="859"/>
      <c r="U56" s="859"/>
      <c r="V56" s="859"/>
      <c r="W56" s="859"/>
      <c r="X56" s="859"/>
      <c r="Y56" s="859"/>
      <c r="Z56" s="859"/>
      <c r="AA56" s="859"/>
      <c r="AB56" s="859"/>
      <c r="AC56" s="859"/>
      <c r="AD56" s="859"/>
      <c r="AE56" s="859"/>
    </row>
    <row r="57" spans="1:31" s="55" customFormat="1" ht="18" customHeight="1" x14ac:dyDescent="0.3">
      <c r="A57" s="130">
        <v>48</v>
      </c>
      <c r="B57" s="1373"/>
      <c r="C57" s="1400"/>
      <c r="D57" s="1400"/>
      <c r="E57" s="1401" t="s">
        <v>1173</v>
      </c>
      <c r="F57" s="317"/>
      <c r="G57" s="317"/>
      <c r="H57" s="317"/>
      <c r="I57" s="1402"/>
      <c r="J57" s="1403">
        <f>SUM(K57:R57)</f>
        <v>9620</v>
      </c>
      <c r="K57" s="360">
        <v>8329</v>
      </c>
      <c r="L57" s="360">
        <v>1291</v>
      </c>
      <c r="M57" s="360"/>
      <c r="N57" s="360"/>
      <c r="O57" s="360"/>
      <c r="P57" s="360"/>
      <c r="Q57" s="360"/>
      <c r="R57" s="361"/>
      <c r="S57" s="155"/>
      <c r="T57" s="155"/>
      <c r="U57" s="155"/>
      <c r="V57" s="155"/>
      <c r="W57" s="155"/>
      <c r="X57" s="155"/>
      <c r="Y57" s="155"/>
      <c r="Z57" s="155"/>
      <c r="AA57" s="155"/>
      <c r="AB57" s="155"/>
      <c r="AC57" s="155"/>
      <c r="AD57" s="155"/>
      <c r="AE57" s="155"/>
    </row>
    <row r="58" spans="1:31" s="55" customFormat="1" ht="18" customHeight="1" x14ac:dyDescent="0.3">
      <c r="A58" s="130">
        <v>49</v>
      </c>
      <c r="B58" s="1373"/>
      <c r="C58" s="1400"/>
      <c r="D58" s="1400"/>
      <c r="E58" s="1375" t="s">
        <v>1243</v>
      </c>
      <c r="F58" s="317"/>
      <c r="G58" s="317"/>
      <c r="H58" s="317"/>
      <c r="I58" s="1402"/>
      <c r="J58" s="1403">
        <f t="shared" ref="J58:J59" si="7">SUM(K58:R58)</f>
        <v>6991</v>
      </c>
      <c r="K58" s="360">
        <v>6053</v>
      </c>
      <c r="L58" s="360">
        <v>938</v>
      </c>
      <c r="M58" s="360"/>
      <c r="N58" s="360"/>
      <c r="O58" s="360"/>
      <c r="P58" s="360"/>
      <c r="Q58" s="360"/>
      <c r="R58" s="361"/>
      <c r="S58" s="155"/>
      <c r="T58" s="155"/>
      <c r="U58" s="155"/>
      <c r="V58" s="155"/>
      <c r="W58" s="155"/>
      <c r="X58" s="155"/>
      <c r="Y58" s="155"/>
      <c r="Z58" s="155"/>
      <c r="AA58" s="155"/>
      <c r="AB58" s="155"/>
      <c r="AC58" s="155"/>
      <c r="AD58" s="155"/>
      <c r="AE58" s="155"/>
    </row>
    <row r="59" spans="1:31" s="55" customFormat="1" ht="18" customHeight="1" x14ac:dyDescent="0.3">
      <c r="A59" s="130">
        <v>50</v>
      </c>
      <c r="B59" s="1373"/>
      <c r="C59" s="1400"/>
      <c r="D59" s="1400"/>
      <c r="E59" s="1375" t="s">
        <v>1244</v>
      </c>
      <c r="F59" s="317"/>
      <c r="G59" s="317"/>
      <c r="H59" s="317"/>
      <c r="I59" s="1402"/>
      <c r="J59" s="1403">
        <f t="shared" si="7"/>
        <v>-10905</v>
      </c>
      <c r="K59" s="360"/>
      <c r="L59" s="360"/>
      <c r="M59" s="360">
        <v>-10905</v>
      </c>
      <c r="N59" s="360"/>
      <c r="O59" s="360"/>
      <c r="P59" s="360"/>
      <c r="Q59" s="360"/>
      <c r="R59" s="361"/>
      <c r="S59" s="155"/>
      <c r="T59" s="155"/>
      <c r="U59" s="155"/>
      <c r="V59" s="155"/>
      <c r="W59" s="155"/>
      <c r="X59" s="155"/>
      <c r="Y59" s="155"/>
      <c r="Z59" s="155"/>
      <c r="AA59" s="155"/>
      <c r="AB59" s="155"/>
      <c r="AC59" s="155"/>
      <c r="AD59" s="155"/>
      <c r="AE59" s="155"/>
    </row>
    <row r="60" spans="1:31" s="58" customFormat="1" ht="18" customHeight="1" x14ac:dyDescent="0.3">
      <c r="A60" s="130">
        <v>51</v>
      </c>
      <c r="B60" s="462"/>
      <c r="C60" s="1404"/>
      <c r="D60" s="1404"/>
      <c r="E60" s="346" t="s">
        <v>1151</v>
      </c>
      <c r="F60" s="1405"/>
      <c r="G60" s="1405"/>
      <c r="H60" s="1405"/>
      <c r="I60" s="1406"/>
      <c r="J60" s="356">
        <f>SUM(K60:R60)</f>
        <v>370212</v>
      </c>
      <c r="K60" s="1407">
        <f>SUM(K56:K59)</f>
        <v>237974</v>
      </c>
      <c r="L60" s="1407">
        <f t="shared" ref="L60:P60" si="8">SUM(L56:L59)</f>
        <v>47089</v>
      </c>
      <c r="M60" s="1407">
        <f t="shared" si="8"/>
        <v>84749</v>
      </c>
      <c r="N60" s="1407"/>
      <c r="O60" s="1407"/>
      <c r="P60" s="1407">
        <f t="shared" si="8"/>
        <v>400</v>
      </c>
      <c r="Q60" s="1407"/>
      <c r="R60" s="1408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3"/>
      <c r="AE60" s="293"/>
    </row>
    <row r="61" spans="1:31" s="55" customFormat="1" ht="22.5" customHeight="1" x14ac:dyDescent="0.3">
      <c r="A61" s="130">
        <v>52</v>
      </c>
      <c r="B61" s="310">
        <v>6</v>
      </c>
      <c r="C61" s="705"/>
      <c r="D61" s="346" t="s">
        <v>270</v>
      </c>
      <c r="E61" s="346"/>
      <c r="F61" s="455" t="s">
        <v>23</v>
      </c>
      <c r="G61" s="121">
        <v>156041</v>
      </c>
      <c r="H61" s="121">
        <v>165684</v>
      </c>
      <c r="I61" s="354">
        <v>168688</v>
      </c>
      <c r="J61" s="356"/>
      <c r="K61" s="121"/>
      <c r="L61" s="121"/>
      <c r="M61" s="121"/>
      <c r="N61" s="349"/>
      <c r="O61" s="349"/>
      <c r="P61" s="349"/>
      <c r="Q61" s="349"/>
      <c r="R61" s="350"/>
      <c r="S61" s="155"/>
      <c r="T61" s="155"/>
      <c r="U61" s="155"/>
      <c r="V61" s="155"/>
      <c r="W61" s="155"/>
      <c r="X61" s="155"/>
      <c r="Y61" s="155"/>
      <c r="Z61" s="155"/>
      <c r="AA61" s="155"/>
      <c r="AB61" s="155"/>
      <c r="AC61" s="155"/>
      <c r="AD61" s="155"/>
      <c r="AE61" s="155"/>
    </row>
    <row r="62" spans="1:31" s="58" customFormat="1" ht="18" customHeight="1" x14ac:dyDescent="0.3">
      <c r="A62" s="130">
        <v>53</v>
      </c>
      <c r="B62" s="310"/>
      <c r="C62" s="705"/>
      <c r="D62" s="2119" t="s">
        <v>156</v>
      </c>
      <c r="E62" s="2120"/>
      <c r="F62" s="121"/>
      <c r="G62" s="121"/>
      <c r="H62" s="121"/>
      <c r="I62" s="354"/>
      <c r="J62" s="356"/>
      <c r="K62" s="121"/>
      <c r="L62" s="121"/>
      <c r="M62" s="121"/>
      <c r="N62" s="349"/>
      <c r="O62" s="349"/>
      <c r="P62" s="349"/>
      <c r="Q62" s="349"/>
      <c r="R62" s="350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3"/>
      <c r="AE62" s="293"/>
    </row>
    <row r="63" spans="1:31" s="860" customFormat="1" ht="18" customHeight="1" x14ac:dyDescent="0.3">
      <c r="A63" s="130">
        <v>54</v>
      </c>
      <c r="B63" s="807"/>
      <c r="C63" s="851"/>
      <c r="D63" s="851"/>
      <c r="E63" s="852" t="s">
        <v>311</v>
      </c>
      <c r="F63" s="829"/>
      <c r="G63" s="829"/>
      <c r="H63" s="829"/>
      <c r="I63" s="853"/>
      <c r="J63" s="854">
        <f>SUM(K63:R63)</f>
        <v>172406</v>
      </c>
      <c r="K63" s="855">
        <v>113388</v>
      </c>
      <c r="L63" s="855">
        <v>22885</v>
      </c>
      <c r="M63" s="855">
        <v>36133</v>
      </c>
      <c r="N63" s="855"/>
      <c r="O63" s="855"/>
      <c r="P63" s="855"/>
      <c r="Q63" s="855"/>
      <c r="R63" s="856"/>
      <c r="S63" s="859"/>
      <c r="T63" s="859"/>
      <c r="U63" s="859"/>
      <c r="V63" s="859"/>
      <c r="W63" s="859"/>
      <c r="X63" s="859"/>
      <c r="Y63" s="859"/>
      <c r="Z63" s="859"/>
      <c r="AA63" s="859"/>
      <c r="AB63" s="859"/>
      <c r="AC63" s="859"/>
      <c r="AD63" s="859"/>
      <c r="AE63" s="859"/>
    </row>
    <row r="64" spans="1:31" s="860" customFormat="1" ht="18" customHeight="1" x14ac:dyDescent="0.3">
      <c r="A64" s="130">
        <v>55</v>
      </c>
      <c r="B64" s="807"/>
      <c r="C64" s="851"/>
      <c r="D64" s="851"/>
      <c r="E64" s="692" t="s">
        <v>1072</v>
      </c>
      <c r="F64" s="829"/>
      <c r="G64" s="829"/>
      <c r="H64" s="829"/>
      <c r="I64" s="853"/>
      <c r="J64" s="356">
        <f>SUM(K64:R64)</f>
        <v>185468</v>
      </c>
      <c r="K64" s="1407">
        <v>113920</v>
      </c>
      <c r="L64" s="1407">
        <v>23188</v>
      </c>
      <c r="M64" s="1407">
        <v>46120</v>
      </c>
      <c r="N64" s="1407"/>
      <c r="O64" s="1407">
        <v>179</v>
      </c>
      <c r="P64" s="1407">
        <v>2061</v>
      </c>
      <c r="Q64" s="855"/>
      <c r="R64" s="856"/>
      <c r="S64" s="859"/>
      <c r="T64" s="859"/>
      <c r="U64" s="859"/>
      <c r="V64" s="859"/>
      <c r="W64" s="859"/>
      <c r="X64" s="859"/>
      <c r="Y64" s="859"/>
      <c r="Z64" s="859"/>
      <c r="AA64" s="859"/>
      <c r="AB64" s="859"/>
      <c r="AC64" s="859"/>
      <c r="AD64" s="859"/>
      <c r="AE64" s="859"/>
    </row>
    <row r="65" spans="1:31" s="55" customFormat="1" ht="18" customHeight="1" x14ac:dyDescent="0.3">
      <c r="A65" s="130">
        <v>56</v>
      </c>
      <c r="B65" s="1373"/>
      <c r="C65" s="1400"/>
      <c r="D65" s="1400"/>
      <c r="E65" s="1375" t="s">
        <v>1173</v>
      </c>
      <c r="F65" s="317"/>
      <c r="G65" s="317"/>
      <c r="H65" s="317"/>
      <c r="I65" s="1402"/>
      <c r="J65" s="1403">
        <f>SUM(K65:R65)</f>
        <v>5214</v>
      </c>
      <c r="K65" s="360">
        <v>4514</v>
      </c>
      <c r="L65" s="360">
        <v>700</v>
      </c>
      <c r="M65" s="360"/>
      <c r="N65" s="360"/>
      <c r="O65" s="360"/>
      <c r="P65" s="360"/>
      <c r="Q65" s="360"/>
      <c r="R65" s="361"/>
      <c r="S65" s="155"/>
      <c r="T65" s="155"/>
      <c r="U65" s="155"/>
      <c r="V65" s="155"/>
      <c r="W65" s="155"/>
      <c r="X65" s="155"/>
      <c r="Y65" s="155"/>
      <c r="Z65" s="155"/>
      <c r="AA65" s="155"/>
      <c r="AB65" s="155"/>
      <c r="AC65" s="155"/>
      <c r="AD65" s="155"/>
      <c r="AE65" s="155"/>
    </row>
    <row r="66" spans="1:31" s="55" customFormat="1" ht="18" customHeight="1" x14ac:dyDescent="0.3">
      <c r="A66" s="130">
        <v>57</v>
      </c>
      <c r="B66" s="1373"/>
      <c r="C66" s="1400"/>
      <c r="D66" s="1400"/>
      <c r="E66" s="1375" t="s">
        <v>1159</v>
      </c>
      <c r="F66" s="317"/>
      <c r="G66" s="317"/>
      <c r="H66" s="317"/>
      <c r="I66" s="1402"/>
      <c r="J66" s="1403">
        <f t="shared" ref="J66:J68" si="9">SUM(K66:R66)</f>
        <v>0</v>
      </c>
      <c r="K66" s="360"/>
      <c r="L66" s="360"/>
      <c r="M66" s="360">
        <v>-610</v>
      </c>
      <c r="N66" s="360"/>
      <c r="O66" s="360"/>
      <c r="P66" s="360">
        <v>610</v>
      </c>
      <c r="Q66" s="360"/>
      <c r="R66" s="361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</row>
    <row r="67" spans="1:31" s="55" customFormat="1" ht="18" customHeight="1" x14ac:dyDescent="0.3">
      <c r="A67" s="130">
        <v>58</v>
      </c>
      <c r="B67" s="1373"/>
      <c r="C67" s="1400"/>
      <c r="D67" s="1400"/>
      <c r="E67" s="1375" t="s">
        <v>1243</v>
      </c>
      <c r="F67" s="317"/>
      <c r="G67" s="317"/>
      <c r="H67" s="317"/>
      <c r="I67" s="1402"/>
      <c r="J67" s="1403">
        <f t="shared" si="9"/>
        <v>3989</v>
      </c>
      <c r="K67" s="360">
        <v>3448</v>
      </c>
      <c r="L67" s="360">
        <v>541</v>
      </c>
      <c r="M67" s="360"/>
      <c r="N67" s="360"/>
      <c r="O67" s="360"/>
      <c r="P67" s="360"/>
      <c r="Q67" s="360"/>
      <c r="R67" s="361"/>
      <c r="S67" s="155"/>
      <c r="T67" s="155"/>
      <c r="U67" s="155"/>
      <c r="V67" s="155"/>
      <c r="W67" s="155"/>
      <c r="X67" s="155"/>
      <c r="Y67" s="155"/>
      <c r="Z67" s="155"/>
      <c r="AA67" s="155"/>
      <c r="AB67" s="155"/>
      <c r="AC67" s="155"/>
      <c r="AD67" s="155"/>
      <c r="AE67" s="155"/>
    </row>
    <row r="68" spans="1:31" s="55" customFormat="1" ht="18" customHeight="1" x14ac:dyDescent="0.3">
      <c r="A68" s="130">
        <v>59</v>
      </c>
      <c r="B68" s="1373"/>
      <c r="C68" s="1400"/>
      <c r="D68" s="1400"/>
      <c r="E68" s="1375" t="s">
        <v>1244</v>
      </c>
      <c r="F68" s="317"/>
      <c r="G68" s="317"/>
      <c r="H68" s="317"/>
      <c r="I68" s="1402"/>
      <c r="J68" s="1403">
        <f t="shared" si="9"/>
        <v>-7008</v>
      </c>
      <c r="K68" s="360"/>
      <c r="L68" s="360"/>
      <c r="M68" s="360">
        <v>-7008</v>
      </c>
      <c r="N68" s="360"/>
      <c r="O68" s="360"/>
      <c r="P68" s="360"/>
      <c r="Q68" s="360"/>
      <c r="R68" s="361"/>
      <c r="S68" s="155"/>
      <c r="T68" s="155"/>
      <c r="U68" s="155"/>
      <c r="V68" s="155"/>
      <c r="W68" s="155"/>
      <c r="X68" s="155"/>
      <c r="Y68" s="155"/>
      <c r="Z68" s="155"/>
      <c r="AA68" s="155"/>
      <c r="AB68" s="155"/>
      <c r="AC68" s="155"/>
      <c r="AD68" s="155"/>
      <c r="AE68" s="155"/>
    </row>
    <row r="69" spans="1:31" s="58" customFormat="1" ht="18" customHeight="1" x14ac:dyDescent="0.3">
      <c r="A69" s="130">
        <v>60</v>
      </c>
      <c r="B69" s="462"/>
      <c r="C69" s="1404"/>
      <c r="D69" s="1404"/>
      <c r="E69" s="346" t="s">
        <v>1151</v>
      </c>
      <c r="F69" s="1405"/>
      <c r="G69" s="1405"/>
      <c r="H69" s="1405"/>
      <c r="I69" s="1406"/>
      <c r="J69" s="356">
        <f>SUM(K69:R69)</f>
        <v>187663</v>
      </c>
      <c r="K69" s="1407">
        <f>SUM(K64:K68)</f>
        <v>121882</v>
      </c>
      <c r="L69" s="1407">
        <f t="shared" ref="L69:P69" si="10">SUM(L64:L68)</f>
        <v>24429</v>
      </c>
      <c r="M69" s="1407">
        <f t="shared" si="10"/>
        <v>38502</v>
      </c>
      <c r="N69" s="1407"/>
      <c r="O69" s="1407">
        <f t="shared" si="10"/>
        <v>179</v>
      </c>
      <c r="P69" s="1407">
        <f t="shared" si="10"/>
        <v>2671</v>
      </c>
      <c r="Q69" s="1407"/>
      <c r="R69" s="1408"/>
      <c r="S69" s="293"/>
      <c r="T69" s="293"/>
      <c r="U69" s="293"/>
      <c r="V69" s="293"/>
      <c r="W69" s="293"/>
      <c r="X69" s="293"/>
      <c r="Y69" s="293"/>
      <c r="Z69" s="293"/>
      <c r="AA69" s="293"/>
      <c r="AB69" s="293"/>
      <c r="AC69" s="293"/>
      <c r="AD69" s="293"/>
      <c r="AE69" s="293"/>
    </row>
    <row r="70" spans="1:31" s="55" customFormat="1" ht="18" customHeight="1" x14ac:dyDescent="0.3">
      <c r="A70" s="130">
        <v>61</v>
      </c>
      <c r="B70" s="314"/>
      <c r="C70" s="705">
        <v>1</v>
      </c>
      <c r="D70" s="2119" t="s">
        <v>152</v>
      </c>
      <c r="E70" s="2120"/>
      <c r="F70" s="455"/>
      <c r="G70" s="121">
        <v>1006</v>
      </c>
      <c r="H70" s="121">
        <v>2245</v>
      </c>
      <c r="I70" s="354">
        <v>179</v>
      </c>
      <c r="J70" s="355"/>
      <c r="K70" s="353"/>
      <c r="L70" s="353"/>
      <c r="M70" s="351"/>
      <c r="N70" s="351"/>
      <c r="O70" s="351"/>
      <c r="P70" s="351"/>
      <c r="Q70" s="351"/>
      <c r="R70" s="352"/>
      <c r="S70" s="155"/>
      <c r="T70" s="155"/>
      <c r="U70" s="155"/>
      <c r="V70" s="155"/>
      <c r="W70" s="155"/>
      <c r="X70" s="155"/>
      <c r="Y70" s="155"/>
      <c r="Z70" s="155"/>
      <c r="AA70" s="155"/>
      <c r="AB70" s="155"/>
      <c r="AC70" s="155"/>
      <c r="AD70" s="155"/>
      <c r="AE70" s="155"/>
    </row>
    <row r="71" spans="1:31" s="858" customFormat="1" ht="18" customHeight="1" x14ac:dyDescent="0.3">
      <c r="A71" s="130">
        <v>62</v>
      </c>
      <c r="B71" s="843"/>
      <c r="C71" s="861"/>
      <c r="D71" s="861"/>
      <c r="E71" s="845" t="s">
        <v>311</v>
      </c>
      <c r="F71" s="837"/>
      <c r="G71" s="837"/>
      <c r="H71" s="837"/>
      <c r="I71" s="862"/>
      <c r="J71" s="863">
        <f>SUM(K71:R71)</f>
        <v>2225</v>
      </c>
      <c r="K71" s="864">
        <v>1957</v>
      </c>
      <c r="L71" s="864">
        <v>171</v>
      </c>
      <c r="M71" s="864">
        <v>97</v>
      </c>
      <c r="N71" s="864"/>
      <c r="O71" s="864"/>
      <c r="P71" s="864"/>
      <c r="Q71" s="864"/>
      <c r="R71" s="865"/>
      <c r="S71" s="857"/>
      <c r="T71" s="857"/>
      <c r="U71" s="857"/>
      <c r="V71" s="857"/>
      <c r="W71" s="857"/>
      <c r="X71" s="857"/>
      <c r="Y71" s="857"/>
      <c r="Z71" s="857"/>
      <c r="AA71" s="857"/>
      <c r="AB71" s="857"/>
      <c r="AC71" s="857"/>
      <c r="AD71" s="857"/>
      <c r="AE71" s="857"/>
    </row>
    <row r="72" spans="1:31" s="858" customFormat="1" ht="18" customHeight="1" x14ac:dyDescent="0.3">
      <c r="A72" s="130">
        <v>63</v>
      </c>
      <c r="B72" s="843"/>
      <c r="C72" s="861"/>
      <c r="D72" s="861"/>
      <c r="E72" s="692" t="s">
        <v>1072</v>
      </c>
      <c r="F72" s="837"/>
      <c r="G72" s="837"/>
      <c r="H72" s="837"/>
      <c r="I72" s="862"/>
      <c r="J72" s="356">
        <f>SUM(K72:R72)</f>
        <v>2225</v>
      </c>
      <c r="K72" s="1445">
        <v>1957</v>
      </c>
      <c r="L72" s="1445">
        <v>171</v>
      </c>
      <c r="M72" s="1445">
        <v>97</v>
      </c>
      <c r="N72" s="864"/>
      <c r="O72" s="864"/>
      <c r="P72" s="864"/>
      <c r="Q72" s="864"/>
      <c r="R72" s="865"/>
      <c r="S72" s="857"/>
      <c r="T72" s="857"/>
      <c r="U72" s="857"/>
      <c r="V72" s="857"/>
      <c r="W72" s="857"/>
      <c r="X72" s="857"/>
      <c r="Y72" s="857"/>
      <c r="Z72" s="857"/>
      <c r="AA72" s="857"/>
      <c r="AB72" s="857"/>
      <c r="AC72" s="857"/>
      <c r="AD72" s="857"/>
      <c r="AE72" s="857"/>
    </row>
    <row r="73" spans="1:31" s="55" customFormat="1" ht="18" customHeight="1" x14ac:dyDescent="0.3">
      <c r="A73" s="130">
        <v>64</v>
      </c>
      <c r="B73" s="1373"/>
      <c r="C73" s="1400"/>
      <c r="D73" s="1400"/>
      <c r="E73" s="1401" t="s">
        <v>963</v>
      </c>
      <c r="F73" s="317"/>
      <c r="G73" s="317"/>
      <c r="H73" s="317"/>
      <c r="I73" s="1402"/>
      <c r="J73" s="1403">
        <f>SUM(K73:R73)</f>
        <v>0</v>
      </c>
      <c r="K73" s="360"/>
      <c r="L73" s="360"/>
      <c r="M73" s="360"/>
      <c r="N73" s="360"/>
      <c r="O73" s="360"/>
      <c r="P73" s="360"/>
      <c r="Q73" s="360"/>
      <c r="R73" s="361"/>
      <c r="S73" s="155"/>
      <c r="T73" s="155"/>
      <c r="U73" s="155"/>
      <c r="V73" s="155"/>
      <c r="W73" s="155"/>
      <c r="X73" s="155"/>
      <c r="Y73" s="155"/>
      <c r="Z73" s="155"/>
      <c r="AA73" s="155"/>
      <c r="AB73" s="155"/>
      <c r="AC73" s="155"/>
      <c r="AD73" s="155"/>
      <c r="AE73" s="155"/>
    </row>
    <row r="74" spans="1:31" s="58" customFormat="1" ht="18" customHeight="1" thickBot="1" x14ac:dyDescent="0.35">
      <c r="A74" s="130">
        <v>65</v>
      </c>
      <c r="B74" s="462"/>
      <c r="C74" s="1404"/>
      <c r="D74" s="1404"/>
      <c r="E74" s="346" t="s">
        <v>1151</v>
      </c>
      <c r="F74" s="1405"/>
      <c r="G74" s="1405"/>
      <c r="H74" s="1405"/>
      <c r="I74" s="1406"/>
      <c r="J74" s="356">
        <f>SUM(K74:R74)</f>
        <v>2225</v>
      </c>
      <c r="K74" s="1407">
        <f>SUM(K72:K73)</f>
        <v>1957</v>
      </c>
      <c r="L74" s="1407">
        <f t="shared" ref="L74:M74" si="11">SUM(L72:L73)</f>
        <v>171</v>
      </c>
      <c r="M74" s="1407">
        <f t="shared" si="11"/>
        <v>97</v>
      </c>
      <c r="N74" s="1407"/>
      <c r="O74" s="1407"/>
      <c r="P74" s="1407"/>
      <c r="Q74" s="1407"/>
      <c r="R74" s="1408"/>
      <c r="S74" s="293"/>
      <c r="T74" s="293"/>
      <c r="U74" s="293"/>
      <c r="V74" s="293"/>
      <c r="W74" s="293"/>
      <c r="X74" s="293"/>
      <c r="Y74" s="293"/>
      <c r="Z74" s="293"/>
      <c r="AA74" s="293"/>
      <c r="AB74" s="293"/>
      <c r="AC74" s="293"/>
      <c r="AD74" s="293"/>
      <c r="AE74" s="293"/>
    </row>
    <row r="75" spans="1:31" s="59" customFormat="1" ht="22.5" customHeight="1" thickTop="1" x14ac:dyDescent="0.2">
      <c r="A75" s="130">
        <v>66</v>
      </c>
      <c r="B75" s="357"/>
      <c r="C75" s="2096" t="s">
        <v>660</v>
      </c>
      <c r="D75" s="2097"/>
      <c r="E75" s="2098"/>
      <c r="F75" s="732"/>
      <c r="G75" s="732">
        <f>SUM(G10:G71)</f>
        <v>1785466</v>
      </c>
      <c r="H75" s="732">
        <f>SUM(H10:H71)</f>
        <v>1808479</v>
      </c>
      <c r="I75" s="734">
        <f>SUM(I10:I71)</f>
        <v>1840638</v>
      </c>
      <c r="J75" s="735"/>
      <c r="K75" s="732"/>
      <c r="L75" s="732"/>
      <c r="M75" s="732"/>
      <c r="N75" s="732"/>
      <c r="O75" s="732"/>
      <c r="P75" s="732"/>
      <c r="Q75" s="732"/>
      <c r="R75" s="733"/>
      <c r="S75" s="358"/>
      <c r="T75" s="358"/>
      <c r="U75" s="358"/>
      <c r="V75" s="358"/>
      <c r="W75" s="358"/>
      <c r="X75" s="358"/>
      <c r="Y75" s="358"/>
      <c r="Z75" s="358"/>
      <c r="AA75" s="358"/>
      <c r="AB75" s="358"/>
      <c r="AC75" s="358"/>
      <c r="AD75" s="358"/>
      <c r="AE75" s="358"/>
    </row>
    <row r="76" spans="1:31" s="858" customFormat="1" ht="18" customHeight="1" x14ac:dyDescent="0.3">
      <c r="A76" s="130">
        <v>67</v>
      </c>
      <c r="B76" s="843"/>
      <c r="C76" s="1409"/>
      <c r="D76" s="861"/>
      <c r="E76" s="845" t="s">
        <v>311</v>
      </c>
      <c r="F76" s="837"/>
      <c r="G76" s="837"/>
      <c r="H76" s="837"/>
      <c r="I76" s="862"/>
      <c r="J76" s="863">
        <f>SUM(K76:R76)</f>
        <v>1845356</v>
      </c>
      <c r="K76" s="864">
        <f t="shared" ref="K76:R77" si="12">SUM(K12,K21,K31,K42,K55,K63,K71)</f>
        <v>1208912</v>
      </c>
      <c r="L76" s="864">
        <f t="shared" si="12"/>
        <v>239894</v>
      </c>
      <c r="M76" s="864">
        <f t="shared" si="12"/>
        <v>395140</v>
      </c>
      <c r="N76" s="864">
        <f t="shared" si="12"/>
        <v>0</v>
      </c>
      <c r="O76" s="864">
        <f t="shared" si="12"/>
        <v>0</v>
      </c>
      <c r="P76" s="864">
        <f t="shared" si="12"/>
        <v>1410</v>
      </c>
      <c r="Q76" s="864">
        <f t="shared" si="12"/>
        <v>0</v>
      </c>
      <c r="R76" s="865">
        <f t="shared" si="12"/>
        <v>0</v>
      </c>
      <c r="S76" s="857">
        <f>+'[1]4.Inbe'!O29-'4.Inki'!J76</f>
        <v>0</v>
      </c>
      <c r="T76" s="857"/>
      <c r="U76" s="857"/>
      <c r="V76" s="857"/>
      <c r="W76" s="857"/>
      <c r="X76" s="857"/>
      <c r="Y76" s="857"/>
      <c r="Z76" s="857"/>
      <c r="AA76" s="857"/>
      <c r="AB76" s="857"/>
      <c r="AC76" s="857"/>
      <c r="AD76" s="857"/>
      <c r="AE76" s="857"/>
    </row>
    <row r="77" spans="1:31" s="858" customFormat="1" ht="18" customHeight="1" x14ac:dyDescent="0.3">
      <c r="A77" s="130">
        <v>68</v>
      </c>
      <c r="B77" s="843"/>
      <c r="C77" s="1409"/>
      <c r="D77" s="861"/>
      <c r="E77" s="692" t="s">
        <v>1072</v>
      </c>
      <c r="F77" s="837"/>
      <c r="G77" s="837"/>
      <c r="H77" s="837"/>
      <c r="I77" s="862"/>
      <c r="J77" s="356">
        <f>SUM(K77:R77)</f>
        <v>1946968</v>
      </c>
      <c r="K77" s="1445">
        <f t="shared" si="12"/>
        <v>1228276</v>
      </c>
      <c r="L77" s="1445">
        <f t="shared" si="12"/>
        <v>245246</v>
      </c>
      <c r="M77" s="1445">
        <f t="shared" si="12"/>
        <v>454165</v>
      </c>
      <c r="N77" s="1445">
        <f t="shared" si="12"/>
        <v>0</v>
      </c>
      <c r="O77" s="1445">
        <f t="shared" si="12"/>
        <v>179</v>
      </c>
      <c r="P77" s="1445">
        <f t="shared" si="12"/>
        <v>15947</v>
      </c>
      <c r="Q77" s="1445">
        <f t="shared" si="12"/>
        <v>3155</v>
      </c>
      <c r="R77" s="1446">
        <f t="shared" si="12"/>
        <v>0</v>
      </c>
      <c r="S77" s="857"/>
      <c r="T77" s="857"/>
      <c r="U77" s="857"/>
      <c r="V77" s="857"/>
      <c r="W77" s="857"/>
      <c r="X77" s="857"/>
      <c r="Y77" s="857"/>
      <c r="Z77" s="857"/>
      <c r="AA77" s="857"/>
      <c r="AB77" s="857"/>
      <c r="AC77" s="857"/>
      <c r="AD77" s="857"/>
      <c r="AE77" s="857"/>
    </row>
    <row r="78" spans="1:31" s="55" customFormat="1" ht="18" customHeight="1" x14ac:dyDescent="0.3">
      <c r="A78" s="130">
        <v>69</v>
      </c>
      <c r="B78" s="1373"/>
      <c r="C78" s="1410"/>
      <c r="D78" s="1400"/>
      <c r="E78" s="1401" t="s">
        <v>963</v>
      </c>
      <c r="F78" s="317"/>
      <c r="G78" s="317"/>
      <c r="H78" s="317"/>
      <c r="I78" s="1402"/>
      <c r="J78" s="1403">
        <f>SUM(K78:R78)</f>
        <v>17663</v>
      </c>
      <c r="K78" s="360">
        <f>SUM(K14:K17,K23:K27,K33:K38,K44:K51,K57:K59,K65:K68,K73:K73,)</f>
        <v>78247</v>
      </c>
      <c r="L78" s="360">
        <f t="shared" ref="L78:R78" si="13">SUM(L14:L17,L23:L27,L33:L38,L44:L51,L57:L59,L65:L68,L73:L73,)</f>
        <v>12043</v>
      </c>
      <c r="M78" s="360">
        <f t="shared" si="13"/>
        <v>-76368</v>
      </c>
      <c r="N78" s="360">
        <f t="shared" si="13"/>
        <v>0</v>
      </c>
      <c r="O78" s="360">
        <f t="shared" si="13"/>
        <v>0</v>
      </c>
      <c r="P78" s="360">
        <f t="shared" si="13"/>
        <v>3779</v>
      </c>
      <c r="Q78" s="360">
        <f t="shared" si="13"/>
        <v>-38</v>
      </c>
      <c r="R78" s="360">
        <f t="shared" si="13"/>
        <v>0</v>
      </c>
      <c r="S78" s="155"/>
      <c r="T78" s="155"/>
      <c r="U78" s="155"/>
      <c r="V78" s="155"/>
      <c r="W78" s="155"/>
      <c r="X78" s="155"/>
      <c r="Y78" s="155"/>
      <c r="Z78" s="155"/>
      <c r="AA78" s="155"/>
      <c r="AB78" s="155"/>
      <c r="AC78" s="155"/>
      <c r="AD78" s="155"/>
      <c r="AE78" s="155"/>
    </row>
    <row r="79" spans="1:31" s="58" customFormat="1" ht="18" customHeight="1" thickBot="1" x14ac:dyDescent="0.35">
      <c r="A79" s="130">
        <v>70</v>
      </c>
      <c r="B79" s="462"/>
      <c r="C79" s="1411"/>
      <c r="D79" s="1412"/>
      <c r="E79" s="1413" t="s">
        <v>1151</v>
      </c>
      <c r="F79" s="1414"/>
      <c r="G79" s="1414"/>
      <c r="H79" s="1414"/>
      <c r="I79" s="1415"/>
      <c r="J79" s="1416">
        <f>SUM(K79:R79)</f>
        <v>1964631</v>
      </c>
      <c r="K79" s="1417">
        <f>SUM(K77:K78)</f>
        <v>1306523</v>
      </c>
      <c r="L79" s="1417">
        <f t="shared" ref="L79:R79" si="14">SUM(L77:L78)</f>
        <v>257289</v>
      </c>
      <c r="M79" s="1417">
        <f t="shared" si="14"/>
        <v>377797</v>
      </c>
      <c r="N79" s="1417">
        <f t="shared" si="14"/>
        <v>0</v>
      </c>
      <c r="O79" s="1417">
        <f t="shared" si="14"/>
        <v>179</v>
      </c>
      <c r="P79" s="1417">
        <f t="shared" si="14"/>
        <v>19726</v>
      </c>
      <c r="Q79" s="1417">
        <f t="shared" si="14"/>
        <v>3117</v>
      </c>
      <c r="R79" s="1418">
        <f t="shared" si="14"/>
        <v>0</v>
      </c>
      <c r="S79" s="293"/>
      <c r="T79" s="293"/>
      <c r="U79" s="293"/>
      <c r="V79" s="293"/>
      <c r="W79" s="293"/>
      <c r="X79" s="293"/>
      <c r="Y79" s="293"/>
      <c r="Z79" s="293"/>
      <c r="AA79" s="293"/>
      <c r="AB79" s="293"/>
      <c r="AC79" s="293"/>
      <c r="AD79" s="293"/>
      <c r="AE79" s="293"/>
    </row>
    <row r="80" spans="1:31" s="55" customFormat="1" ht="22.5" customHeight="1" thickTop="1" x14ac:dyDescent="0.3">
      <c r="A80" s="130">
        <v>71</v>
      </c>
      <c r="B80" s="324">
        <v>7</v>
      </c>
      <c r="C80" s="707"/>
      <c r="D80" s="348" t="s">
        <v>389</v>
      </c>
      <c r="E80" s="347"/>
      <c r="F80" s="456" t="s">
        <v>23</v>
      </c>
      <c r="G80" s="335">
        <v>902499</v>
      </c>
      <c r="H80" s="335">
        <v>882986</v>
      </c>
      <c r="I80" s="457">
        <v>946591</v>
      </c>
      <c r="J80" s="439"/>
      <c r="K80" s="335"/>
      <c r="L80" s="335"/>
      <c r="M80" s="335"/>
      <c r="N80" s="335"/>
      <c r="O80" s="335"/>
      <c r="P80" s="335"/>
      <c r="Q80" s="335"/>
      <c r="R80" s="359"/>
      <c r="S80" s="155"/>
      <c r="T80" s="155"/>
      <c r="U80" s="155"/>
      <c r="V80" s="155"/>
      <c r="W80" s="155"/>
      <c r="X80" s="155"/>
      <c r="Y80" s="155"/>
      <c r="Z80" s="155"/>
      <c r="AA80" s="155"/>
      <c r="AB80" s="155"/>
      <c r="AC80" s="155"/>
      <c r="AD80" s="155"/>
      <c r="AE80" s="155"/>
    </row>
    <row r="81" spans="1:31" s="858" customFormat="1" ht="18" customHeight="1" x14ac:dyDescent="0.3">
      <c r="A81" s="130">
        <v>72</v>
      </c>
      <c r="B81" s="807"/>
      <c r="C81" s="851"/>
      <c r="D81" s="851"/>
      <c r="E81" s="852" t="s">
        <v>311</v>
      </c>
      <c r="F81" s="829"/>
      <c r="G81" s="829"/>
      <c r="H81" s="829"/>
      <c r="I81" s="853"/>
      <c r="J81" s="854">
        <f t="shared" ref="J81:J87" si="15">SUM(K81:R81)</f>
        <v>996977</v>
      </c>
      <c r="K81" s="855">
        <v>713799</v>
      </c>
      <c r="L81" s="855">
        <v>141390</v>
      </c>
      <c r="M81" s="855">
        <v>140158</v>
      </c>
      <c r="N81" s="855"/>
      <c r="O81" s="855"/>
      <c r="P81" s="855">
        <v>1630</v>
      </c>
      <c r="Q81" s="855"/>
      <c r="R81" s="856"/>
      <c r="S81" s="857"/>
      <c r="T81" s="857"/>
      <c r="U81" s="857"/>
      <c r="V81" s="857"/>
      <c r="W81" s="857"/>
      <c r="X81" s="857"/>
      <c r="Y81" s="857"/>
      <c r="Z81" s="857"/>
      <c r="AA81" s="857"/>
      <c r="AB81" s="857"/>
      <c r="AC81" s="857"/>
      <c r="AD81" s="857"/>
      <c r="AE81" s="857"/>
    </row>
    <row r="82" spans="1:31" s="858" customFormat="1" ht="18" customHeight="1" x14ac:dyDescent="0.3">
      <c r="A82" s="130">
        <v>73</v>
      </c>
      <c r="B82" s="807"/>
      <c r="C82" s="851"/>
      <c r="D82" s="851"/>
      <c r="E82" s="692" t="s">
        <v>1072</v>
      </c>
      <c r="F82" s="829"/>
      <c r="G82" s="829"/>
      <c r="H82" s="829"/>
      <c r="I82" s="853"/>
      <c r="J82" s="356">
        <f>SUM(K82:R82)</f>
        <v>1085495</v>
      </c>
      <c r="K82" s="1407">
        <v>754053</v>
      </c>
      <c r="L82" s="1407">
        <v>148819</v>
      </c>
      <c r="M82" s="1407">
        <v>179993</v>
      </c>
      <c r="N82" s="1407"/>
      <c r="O82" s="1407"/>
      <c r="P82" s="1407">
        <v>2630</v>
      </c>
      <c r="Q82" s="855"/>
      <c r="R82" s="856"/>
      <c r="S82" s="857"/>
      <c r="T82" s="857"/>
      <c r="U82" s="857"/>
      <c r="V82" s="857"/>
      <c r="W82" s="857"/>
      <c r="X82" s="857"/>
      <c r="Y82" s="857"/>
      <c r="Z82" s="857"/>
      <c r="AA82" s="857"/>
      <c r="AB82" s="857"/>
      <c r="AC82" s="857"/>
      <c r="AD82" s="857"/>
      <c r="AE82" s="857"/>
    </row>
    <row r="83" spans="1:31" s="55" customFormat="1" ht="18" customHeight="1" x14ac:dyDescent="0.3">
      <c r="A83" s="130">
        <v>74</v>
      </c>
      <c r="B83" s="1373"/>
      <c r="C83" s="1400"/>
      <c r="D83" s="1400"/>
      <c r="E83" s="1375" t="s">
        <v>1216</v>
      </c>
      <c r="F83" s="317"/>
      <c r="G83" s="317"/>
      <c r="H83" s="317"/>
      <c r="I83" s="1402"/>
      <c r="J83" s="1403">
        <f t="shared" si="15"/>
        <v>218</v>
      </c>
      <c r="K83" s="360">
        <v>189</v>
      </c>
      <c r="L83" s="360">
        <v>29</v>
      </c>
      <c r="M83" s="360"/>
      <c r="N83" s="360"/>
      <c r="O83" s="360"/>
      <c r="P83" s="360"/>
      <c r="Q83" s="360"/>
      <c r="R83" s="361"/>
      <c r="S83" s="155"/>
      <c r="T83" s="155"/>
      <c r="U83" s="155"/>
      <c r="V83" s="155"/>
      <c r="W83" s="155"/>
      <c r="X83" s="155"/>
      <c r="Y83" s="155"/>
      <c r="Z83" s="155"/>
      <c r="AA83" s="155"/>
      <c r="AB83" s="155"/>
      <c r="AC83" s="155"/>
      <c r="AD83" s="155"/>
      <c r="AE83" s="155"/>
    </row>
    <row r="84" spans="1:31" s="55" customFormat="1" ht="18" customHeight="1" x14ac:dyDescent="0.3">
      <c r="A84" s="130">
        <v>75</v>
      </c>
      <c r="B84" s="1373"/>
      <c r="C84" s="1400"/>
      <c r="D84" s="1400"/>
      <c r="E84" s="1375" t="s">
        <v>1211</v>
      </c>
      <c r="F84" s="317"/>
      <c r="G84" s="317"/>
      <c r="H84" s="317"/>
      <c r="I84" s="1402"/>
      <c r="J84" s="1403">
        <f t="shared" si="15"/>
        <v>1197</v>
      </c>
      <c r="K84" s="360">
        <v>1036</v>
      </c>
      <c r="L84" s="360">
        <v>161</v>
      </c>
      <c r="M84" s="360"/>
      <c r="N84" s="360"/>
      <c r="O84" s="360"/>
      <c r="P84" s="360"/>
      <c r="Q84" s="360"/>
      <c r="R84" s="361"/>
      <c r="S84" s="155"/>
      <c r="T84" s="155"/>
      <c r="U84" s="155"/>
      <c r="V84" s="155"/>
      <c r="W84" s="155"/>
      <c r="X84" s="155"/>
      <c r="Y84" s="155"/>
      <c r="Z84" s="155"/>
      <c r="AA84" s="155"/>
      <c r="AB84" s="155"/>
      <c r="AC84" s="155"/>
      <c r="AD84" s="155"/>
      <c r="AE84" s="155"/>
    </row>
    <row r="85" spans="1:31" s="55" customFormat="1" ht="18" customHeight="1" x14ac:dyDescent="0.3">
      <c r="A85" s="130">
        <v>76</v>
      </c>
      <c r="B85" s="1373"/>
      <c r="C85" s="1400"/>
      <c r="D85" s="1400"/>
      <c r="E85" s="1375" t="s">
        <v>1157</v>
      </c>
      <c r="F85" s="317"/>
      <c r="G85" s="317"/>
      <c r="H85" s="317"/>
      <c r="I85" s="1402"/>
      <c r="J85" s="1403">
        <f t="shared" si="15"/>
        <v>11778</v>
      </c>
      <c r="K85" s="360">
        <v>10180</v>
      </c>
      <c r="L85" s="360">
        <v>1598</v>
      </c>
      <c r="M85" s="360"/>
      <c r="N85" s="360"/>
      <c r="O85" s="360"/>
      <c r="P85" s="360"/>
      <c r="Q85" s="360"/>
      <c r="R85" s="361"/>
      <c r="S85" s="155"/>
      <c r="T85" s="155"/>
      <c r="U85" s="155"/>
      <c r="V85" s="155"/>
      <c r="W85" s="155"/>
      <c r="X85" s="155"/>
      <c r="Y85" s="155"/>
      <c r="Z85" s="155"/>
      <c r="AA85" s="155"/>
      <c r="AB85" s="155"/>
      <c r="AC85" s="155"/>
      <c r="AD85" s="155"/>
      <c r="AE85" s="155"/>
    </row>
    <row r="86" spans="1:31" s="55" customFormat="1" ht="18" customHeight="1" x14ac:dyDescent="0.3">
      <c r="A86" s="130">
        <v>77</v>
      </c>
      <c r="B86" s="1373"/>
      <c r="C86" s="1400"/>
      <c r="D86" s="1400"/>
      <c r="E86" s="1401" t="s">
        <v>1191</v>
      </c>
      <c r="F86" s="317"/>
      <c r="G86" s="317"/>
      <c r="H86" s="317"/>
      <c r="I86" s="1402"/>
      <c r="J86" s="1403">
        <f t="shared" si="15"/>
        <v>350</v>
      </c>
      <c r="K86" s="360"/>
      <c r="L86" s="360"/>
      <c r="M86" s="360"/>
      <c r="N86" s="360"/>
      <c r="O86" s="360"/>
      <c r="P86" s="360">
        <v>350</v>
      </c>
      <c r="Q86" s="360"/>
      <c r="R86" s="361"/>
      <c r="S86" s="155"/>
      <c r="T86" s="155"/>
      <c r="U86" s="155"/>
      <c r="V86" s="155"/>
      <c r="W86" s="155"/>
      <c r="X86" s="155"/>
      <c r="Y86" s="155"/>
      <c r="Z86" s="155"/>
      <c r="AA86" s="155"/>
      <c r="AB86" s="155"/>
      <c r="AC86" s="155"/>
      <c r="AD86" s="155"/>
      <c r="AE86" s="155"/>
    </row>
    <row r="87" spans="1:31" s="55" customFormat="1" ht="18" customHeight="1" x14ac:dyDescent="0.3">
      <c r="A87" s="130">
        <v>78</v>
      </c>
      <c r="B87" s="1373"/>
      <c r="C87" s="1400"/>
      <c r="D87" s="1400"/>
      <c r="E87" s="1401" t="s">
        <v>1244</v>
      </c>
      <c r="F87" s="317"/>
      <c r="G87" s="317"/>
      <c r="H87" s="317"/>
      <c r="I87" s="1402"/>
      <c r="J87" s="1403">
        <f t="shared" si="15"/>
        <v>-11874</v>
      </c>
      <c r="K87" s="360"/>
      <c r="L87" s="360"/>
      <c r="M87" s="360">
        <v>-11874</v>
      </c>
      <c r="N87" s="360"/>
      <c r="O87" s="360"/>
      <c r="P87" s="360"/>
      <c r="Q87" s="360"/>
      <c r="R87" s="361"/>
      <c r="S87" s="155"/>
      <c r="T87" s="155"/>
      <c r="U87" s="155"/>
      <c r="V87" s="155"/>
      <c r="W87" s="155"/>
      <c r="X87" s="155"/>
      <c r="Y87" s="155"/>
      <c r="Z87" s="155"/>
      <c r="AA87" s="155"/>
      <c r="AB87" s="155"/>
      <c r="AC87" s="155"/>
      <c r="AD87" s="155"/>
      <c r="AE87" s="155"/>
    </row>
    <row r="88" spans="1:31" s="58" customFormat="1" ht="18" customHeight="1" x14ac:dyDescent="0.3">
      <c r="A88" s="130">
        <v>79</v>
      </c>
      <c r="B88" s="462"/>
      <c r="C88" s="1404"/>
      <c r="D88" s="1404"/>
      <c r="E88" s="346" t="s">
        <v>1151</v>
      </c>
      <c r="F88" s="1405"/>
      <c r="G88" s="1405"/>
      <c r="H88" s="1405"/>
      <c r="I88" s="1406"/>
      <c r="J88" s="356">
        <f>SUM(K88:R88)</f>
        <v>1087164</v>
      </c>
      <c r="K88" s="1407">
        <f>SUM(K82:K87)</f>
        <v>765458</v>
      </c>
      <c r="L88" s="1407">
        <f t="shared" ref="L88:P88" si="16">SUM(L82:L87)</f>
        <v>150607</v>
      </c>
      <c r="M88" s="1407">
        <f t="shared" si="16"/>
        <v>168119</v>
      </c>
      <c r="N88" s="1407"/>
      <c r="O88" s="1407"/>
      <c r="P88" s="1407">
        <f t="shared" si="16"/>
        <v>2980</v>
      </c>
      <c r="Q88" s="1407"/>
      <c r="R88" s="1408"/>
      <c r="S88" s="293"/>
      <c r="T88" s="293"/>
      <c r="U88" s="293"/>
      <c r="V88" s="293"/>
      <c r="W88" s="293"/>
      <c r="X88" s="293"/>
      <c r="Y88" s="293"/>
      <c r="Z88" s="293"/>
      <c r="AA88" s="293"/>
      <c r="AB88" s="293"/>
      <c r="AC88" s="293"/>
      <c r="AD88" s="293"/>
      <c r="AE88" s="293"/>
    </row>
    <row r="89" spans="1:31" s="58" customFormat="1" ht="18" customHeight="1" x14ac:dyDescent="0.3">
      <c r="A89" s="130">
        <v>80</v>
      </c>
      <c r="B89" s="314"/>
      <c r="C89" s="705">
        <v>1</v>
      </c>
      <c r="D89" s="1056" t="s">
        <v>530</v>
      </c>
      <c r="E89" s="1056"/>
      <c r="F89" s="458"/>
      <c r="G89" s="121">
        <v>4233</v>
      </c>
      <c r="H89" s="121">
        <v>10080</v>
      </c>
      <c r="I89" s="354">
        <v>10041</v>
      </c>
      <c r="J89" s="364"/>
      <c r="K89" s="349"/>
      <c r="L89" s="349"/>
      <c r="M89" s="349"/>
      <c r="N89" s="360"/>
      <c r="O89" s="360"/>
      <c r="P89" s="360"/>
      <c r="Q89" s="360"/>
      <c r="R89" s="361"/>
      <c r="S89" s="293"/>
      <c r="T89" s="293"/>
      <c r="U89" s="293"/>
      <c r="V89" s="293"/>
      <c r="W89" s="293"/>
      <c r="X89" s="293"/>
      <c r="Y89" s="293"/>
      <c r="Z89" s="293"/>
      <c r="AA89" s="293"/>
      <c r="AB89" s="293"/>
      <c r="AC89" s="293"/>
      <c r="AD89" s="293"/>
      <c r="AE89" s="293"/>
    </row>
    <row r="90" spans="1:31" s="58" customFormat="1" ht="18" customHeight="1" x14ac:dyDescent="0.3">
      <c r="A90" s="130">
        <v>81</v>
      </c>
      <c r="B90" s="314"/>
      <c r="C90" s="705"/>
      <c r="D90" s="2040"/>
      <c r="E90" s="692" t="s">
        <v>1072</v>
      </c>
      <c r="F90" s="458"/>
      <c r="G90" s="121"/>
      <c r="H90" s="121"/>
      <c r="I90" s="354"/>
      <c r="J90" s="356">
        <f>SUM(K90:R90)</f>
        <v>0</v>
      </c>
      <c r="K90" s="349"/>
      <c r="L90" s="349"/>
      <c r="M90" s="349"/>
      <c r="N90" s="360"/>
      <c r="O90" s="360"/>
      <c r="P90" s="360"/>
      <c r="Q90" s="360"/>
      <c r="R90" s="361"/>
      <c r="S90" s="293"/>
      <c r="T90" s="293"/>
      <c r="U90" s="293"/>
      <c r="V90" s="293"/>
      <c r="W90" s="293"/>
      <c r="X90" s="293"/>
      <c r="Y90" s="293"/>
      <c r="Z90" s="293"/>
      <c r="AA90" s="293"/>
      <c r="AB90" s="293"/>
      <c r="AC90" s="293"/>
      <c r="AD90" s="293"/>
      <c r="AE90" s="293"/>
    </row>
    <row r="91" spans="1:31" s="55" customFormat="1" ht="18" customHeight="1" x14ac:dyDescent="0.3">
      <c r="A91" s="130">
        <v>82</v>
      </c>
      <c r="B91" s="1373"/>
      <c r="C91" s="1400"/>
      <c r="D91" s="1400"/>
      <c r="E91" s="1401" t="s">
        <v>963</v>
      </c>
      <c r="F91" s="317"/>
      <c r="G91" s="317"/>
      <c r="H91" s="317"/>
      <c r="I91" s="1402"/>
      <c r="J91" s="1403">
        <f>SUM(K91:R91)</f>
        <v>0</v>
      </c>
      <c r="K91" s="360"/>
      <c r="L91" s="360"/>
      <c r="M91" s="360"/>
      <c r="N91" s="360"/>
      <c r="O91" s="360"/>
      <c r="P91" s="360"/>
      <c r="Q91" s="360"/>
      <c r="R91" s="361"/>
      <c r="S91" s="155"/>
      <c r="T91" s="155"/>
      <c r="U91" s="155"/>
      <c r="V91" s="155"/>
      <c r="W91" s="155"/>
      <c r="X91" s="155"/>
      <c r="Y91" s="155"/>
      <c r="Z91" s="155"/>
      <c r="AA91" s="155"/>
      <c r="AB91" s="155"/>
      <c r="AC91" s="155"/>
      <c r="AD91" s="155"/>
      <c r="AE91" s="155"/>
    </row>
    <row r="92" spans="1:31" s="58" customFormat="1" ht="18" customHeight="1" x14ac:dyDescent="0.3">
      <c r="A92" s="130">
        <v>83</v>
      </c>
      <c r="B92" s="462"/>
      <c r="C92" s="1404"/>
      <c r="D92" s="1404"/>
      <c r="E92" s="346" t="s">
        <v>1151</v>
      </c>
      <c r="F92" s="1405"/>
      <c r="G92" s="1405"/>
      <c r="H92" s="1405"/>
      <c r="I92" s="1406"/>
      <c r="J92" s="356">
        <f>SUM(K92:R92)</f>
        <v>0</v>
      </c>
      <c r="K92" s="1407"/>
      <c r="L92" s="1407"/>
      <c r="M92" s="1407"/>
      <c r="N92" s="1407"/>
      <c r="O92" s="1407"/>
      <c r="P92" s="1407"/>
      <c r="Q92" s="1407"/>
      <c r="R92" s="1408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</row>
    <row r="93" spans="1:31" s="58" customFormat="1" ht="22.5" customHeight="1" x14ac:dyDescent="0.3">
      <c r="A93" s="130">
        <v>84</v>
      </c>
      <c r="B93" s="310">
        <v>8</v>
      </c>
      <c r="C93" s="705"/>
      <c r="D93" s="346" t="s">
        <v>125</v>
      </c>
      <c r="E93" s="346"/>
      <c r="F93" s="455" t="s">
        <v>23</v>
      </c>
      <c r="G93" s="121">
        <v>82024</v>
      </c>
      <c r="H93" s="121">
        <v>66825</v>
      </c>
      <c r="I93" s="354">
        <v>85870</v>
      </c>
      <c r="J93" s="364"/>
      <c r="K93" s="121"/>
      <c r="L93" s="121"/>
      <c r="M93" s="121"/>
      <c r="N93" s="121"/>
      <c r="O93" s="121"/>
      <c r="P93" s="121"/>
      <c r="Q93" s="121"/>
      <c r="R93" s="135"/>
      <c r="S93" s="293"/>
      <c r="T93" s="293"/>
      <c r="U93" s="293"/>
      <c r="V93" s="293"/>
      <c r="W93" s="293"/>
      <c r="X93" s="293"/>
      <c r="Y93" s="293"/>
      <c r="Z93" s="293"/>
      <c r="AA93" s="293"/>
      <c r="AB93" s="293"/>
      <c r="AC93" s="293"/>
      <c r="AD93" s="293"/>
      <c r="AE93" s="293"/>
    </row>
    <row r="94" spans="1:31" s="817" customFormat="1" ht="18" customHeight="1" x14ac:dyDescent="0.3">
      <c r="A94" s="130">
        <v>85</v>
      </c>
      <c r="B94" s="807"/>
      <c r="C94" s="851"/>
      <c r="D94" s="851"/>
      <c r="E94" s="852" t="s">
        <v>311</v>
      </c>
      <c r="F94" s="829"/>
      <c r="G94" s="829"/>
      <c r="H94" s="829"/>
      <c r="I94" s="853"/>
      <c r="J94" s="854">
        <f t="shared" ref="J94:J98" si="17">SUM(K94:R94)</f>
        <v>69250</v>
      </c>
      <c r="K94" s="855">
        <v>40442</v>
      </c>
      <c r="L94" s="855">
        <v>7151</v>
      </c>
      <c r="M94" s="855">
        <v>21657</v>
      </c>
      <c r="N94" s="855"/>
      <c r="O94" s="855"/>
      <c r="P94" s="855"/>
      <c r="Q94" s="855"/>
      <c r="R94" s="856"/>
      <c r="S94" s="868"/>
      <c r="T94" s="868"/>
      <c r="U94" s="868"/>
      <c r="V94" s="868"/>
      <c r="W94" s="868"/>
      <c r="X94" s="868"/>
      <c r="Y94" s="868"/>
      <c r="Z94" s="868"/>
      <c r="AA94" s="868"/>
      <c r="AB94" s="868"/>
      <c r="AC94" s="868"/>
      <c r="AD94" s="868"/>
      <c r="AE94" s="868"/>
    </row>
    <row r="95" spans="1:31" s="817" customFormat="1" ht="18" customHeight="1" x14ac:dyDescent="0.3">
      <c r="A95" s="130">
        <v>86</v>
      </c>
      <c r="B95" s="807"/>
      <c r="C95" s="851"/>
      <c r="D95" s="851"/>
      <c r="E95" s="692" t="s">
        <v>1072</v>
      </c>
      <c r="F95" s="829"/>
      <c r="G95" s="829"/>
      <c r="H95" s="829"/>
      <c r="I95" s="853"/>
      <c r="J95" s="356">
        <f t="shared" si="17"/>
        <v>97162</v>
      </c>
      <c r="K95" s="1407">
        <v>54916</v>
      </c>
      <c r="L95" s="1407">
        <v>8510</v>
      </c>
      <c r="M95" s="1407">
        <v>33077</v>
      </c>
      <c r="N95" s="1407"/>
      <c r="O95" s="1407"/>
      <c r="P95" s="1407">
        <v>659</v>
      </c>
      <c r="Q95" s="855"/>
      <c r="R95" s="856"/>
      <c r="S95" s="868"/>
      <c r="T95" s="868"/>
      <c r="U95" s="868"/>
      <c r="V95" s="868"/>
      <c r="W95" s="868"/>
      <c r="X95" s="868"/>
      <c r="Y95" s="868"/>
      <c r="Z95" s="868"/>
      <c r="AA95" s="868"/>
      <c r="AB95" s="868"/>
      <c r="AC95" s="868"/>
      <c r="AD95" s="868"/>
      <c r="AE95" s="868"/>
    </row>
    <row r="96" spans="1:31" s="55" customFormat="1" ht="18" customHeight="1" x14ac:dyDescent="0.3">
      <c r="A96" s="130">
        <v>87</v>
      </c>
      <c r="B96" s="1373"/>
      <c r="C96" s="1400"/>
      <c r="D96" s="1400"/>
      <c r="E96" s="1375" t="s">
        <v>1216</v>
      </c>
      <c r="F96" s="317"/>
      <c r="G96" s="317"/>
      <c r="H96" s="317"/>
      <c r="I96" s="1402"/>
      <c r="J96" s="1403">
        <f t="shared" si="17"/>
        <v>32</v>
      </c>
      <c r="K96" s="360">
        <v>28</v>
      </c>
      <c r="L96" s="360">
        <v>4</v>
      </c>
      <c r="M96" s="360"/>
      <c r="N96" s="360"/>
      <c r="O96" s="360"/>
      <c r="P96" s="360"/>
      <c r="Q96" s="360"/>
      <c r="R96" s="361"/>
      <c r="S96" s="155"/>
      <c r="T96" s="155"/>
      <c r="U96" s="155"/>
      <c r="V96" s="155"/>
      <c r="W96" s="155"/>
      <c r="X96" s="155"/>
      <c r="Y96" s="155"/>
      <c r="Z96" s="155"/>
      <c r="AA96" s="155"/>
      <c r="AB96" s="155"/>
      <c r="AC96" s="155"/>
      <c r="AD96" s="155"/>
      <c r="AE96" s="155"/>
    </row>
    <row r="97" spans="1:31" s="55" customFormat="1" ht="18" customHeight="1" x14ac:dyDescent="0.3">
      <c r="A97" s="130">
        <v>88</v>
      </c>
      <c r="B97" s="1373"/>
      <c r="C97" s="1400"/>
      <c r="D97" s="1400"/>
      <c r="E97" s="1375" t="s">
        <v>1211</v>
      </c>
      <c r="F97" s="317"/>
      <c r="G97" s="317"/>
      <c r="H97" s="317"/>
      <c r="I97" s="1402"/>
      <c r="J97" s="1403">
        <f t="shared" si="17"/>
        <v>1026</v>
      </c>
      <c r="K97" s="360">
        <v>888</v>
      </c>
      <c r="L97" s="360">
        <v>138</v>
      </c>
      <c r="M97" s="360"/>
      <c r="N97" s="360"/>
      <c r="O97" s="360"/>
      <c r="P97" s="360"/>
      <c r="Q97" s="360"/>
      <c r="R97" s="361"/>
      <c r="S97" s="155"/>
      <c r="T97" s="155"/>
      <c r="U97" s="155"/>
      <c r="V97" s="155"/>
      <c r="W97" s="155"/>
      <c r="X97" s="155"/>
      <c r="Y97" s="155"/>
      <c r="Z97" s="155"/>
      <c r="AA97" s="155"/>
      <c r="AB97" s="155"/>
      <c r="AC97" s="155"/>
      <c r="AD97" s="155"/>
      <c r="AE97" s="155"/>
    </row>
    <row r="98" spans="1:31" s="55" customFormat="1" ht="18" customHeight="1" x14ac:dyDescent="0.3">
      <c r="A98" s="130">
        <v>89</v>
      </c>
      <c r="B98" s="1373"/>
      <c r="C98" s="1400"/>
      <c r="D98" s="1400"/>
      <c r="E98" s="1375" t="s">
        <v>1157</v>
      </c>
      <c r="F98" s="317"/>
      <c r="G98" s="317"/>
      <c r="H98" s="317"/>
      <c r="I98" s="1402"/>
      <c r="J98" s="1403">
        <f t="shared" si="17"/>
        <v>3286</v>
      </c>
      <c r="K98" s="360">
        <v>2845</v>
      </c>
      <c r="L98" s="360">
        <v>441</v>
      </c>
      <c r="M98" s="360"/>
      <c r="N98" s="360"/>
      <c r="O98" s="360"/>
      <c r="P98" s="360"/>
      <c r="Q98" s="360"/>
      <c r="R98" s="361"/>
      <c r="S98" s="155"/>
      <c r="T98" s="155"/>
      <c r="U98" s="155"/>
      <c r="V98" s="155"/>
      <c r="W98" s="155"/>
      <c r="X98" s="155"/>
      <c r="Y98" s="155"/>
      <c r="Z98" s="155"/>
      <c r="AA98" s="155"/>
      <c r="AB98" s="155"/>
      <c r="AC98" s="155"/>
      <c r="AD98" s="155"/>
      <c r="AE98" s="155"/>
    </row>
    <row r="99" spans="1:31" s="58" customFormat="1" ht="18" customHeight="1" x14ac:dyDescent="0.3">
      <c r="A99" s="130">
        <v>90</v>
      </c>
      <c r="B99" s="462"/>
      <c r="C99" s="1404"/>
      <c r="D99" s="1404"/>
      <c r="E99" s="346" t="s">
        <v>1151</v>
      </c>
      <c r="F99" s="1405"/>
      <c r="G99" s="1405"/>
      <c r="H99" s="1405"/>
      <c r="I99" s="1406"/>
      <c r="J99" s="356">
        <f>SUM(K99:R99)</f>
        <v>101506</v>
      </c>
      <c r="K99" s="1407">
        <f>SUM(K95:K98)</f>
        <v>58677</v>
      </c>
      <c r="L99" s="1407">
        <f t="shared" ref="L99:P99" si="18">SUM(L95:L98)</f>
        <v>9093</v>
      </c>
      <c r="M99" s="1407">
        <f t="shared" si="18"/>
        <v>33077</v>
      </c>
      <c r="N99" s="1407"/>
      <c r="O99" s="1407"/>
      <c r="P99" s="1407">
        <f t="shared" si="18"/>
        <v>659</v>
      </c>
      <c r="Q99" s="1407"/>
      <c r="R99" s="1408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3"/>
    </row>
    <row r="100" spans="1:31" s="58" customFormat="1" ht="18" customHeight="1" x14ac:dyDescent="0.3">
      <c r="A100" s="130">
        <v>91</v>
      </c>
      <c r="B100" s="314"/>
      <c r="C100" s="706">
        <v>1</v>
      </c>
      <c r="D100" s="1056" t="s">
        <v>152</v>
      </c>
      <c r="E100" s="1056"/>
      <c r="F100" s="458"/>
      <c r="G100" s="121">
        <v>89</v>
      </c>
      <c r="H100" s="121">
        <v>269</v>
      </c>
      <c r="I100" s="354"/>
      <c r="J100" s="364"/>
      <c r="K100" s="349"/>
      <c r="L100" s="349"/>
      <c r="M100" s="349"/>
      <c r="N100" s="360"/>
      <c r="O100" s="360"/>
      <c r="P100" s="360"/>
      <c r="Q100" s="360"/>
      <c r="R100" s="361"/>
      <c r="S100" s="293"/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</row>
    <row r="101" spans="1:31" s="58" customFormat="1" ht="22.5" customHeight="1" x14ac:dyDescent="0.3">
      <c r="A101" s="130">
        <v>92</v>
      </c>
      <c r="B101" s="310">
        <v>9</v>
      </c>
      <c r="C101" s="705"/>
      <c r="D101" s="346" t="s">
        <v>544</v>
      </c>
      <c r="E101" s="346"/>
      <c r="F101" s="455" t="s">
        <v>23</v>
      </c>
      <c r="G101" s="121"/>
      <c r="H101" s="121">
        <v>236700</v>
      </c>
      <c r="I101" s="354">
        <f>275013-163-17</f>
        <v>274833</v>
      </c>
      <c r="J101" s="364"/>
      <c r="K101" s="121"/>
      <c r="L101" s="121"/>
      <c r="M101" s="121"/>
      <c r="N101" s="121"/>
      <c r="O101" s="121"/>
      <c r="P101" s="121"/>
      <c r="Q101" s="121"/>
      <c r="R101" s="135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3"/>
    </row>
    <row r="102" spans="1:31" s="817" customFormat="1" ht="18" customHeight="1" x14ac:dyDescent="0.3">
      <c r="A102" s="130">
        <v>93</v>
      </c>
      <c r="B102" s="807"/>
      <c r="C102" s="861"/>
      <c r="D102" s="861"/>
      <c r="E102" s="844" t="s">
        <v>311</v>
      </c>
      <c r="F102" s="837"/>
      <c r="G102" s="837"/>
      <c r="H102" s="837"/>
      <c r="I102" s="862"/>
      <c r="J102" s="863">
        <f t="shared" ref="J102:J108" si="19">SUM(K102:R102)</f>
        <v>243642</v>
      </c>
      <c r="K102" s="864">
        <v>176682</v>
      </c>
      <c r="L102" s="864">
        <v>35737</v>
      </c>
      <c r="M102" s="864">
        <v>30073</v>
      </c>
      <c r="N102" s="864"/>
      <c r="O102" s="864"/>
      <c r="P102" s="864">
        <v>1150</v>
      </c>
      <c r="Q102" s="864"/>
      <c r="R102" s="865"/>
      <c r="S102" s="868"/>
      <c r="T102" s="868"/>
      <c r="U102" s="868"/>
      <c r="V102" s="868"/>
      <c r="W102" s="868"/>
      <c r="X102" s="868"/>
      <c r="Y102" s="868"/>
      <c r="Z102" s="868"/>
      <c r="AA102" s="868"/>
      <c r="AB102" s="868"/>
      <c r="AC102" s="868"/>
      <c r="AD102" s="868"/>
      <c r="AE102" s="868"/>
    </row>
    <row r="103" spans="1:31" s="817" customFormat="1" ht="18" customHeight="1" x14ac:dyDescent="0.3">
      <c r="A103" s="130">
        <v>94</v>
      </c>
      <c r="B103" s="807"/>
      <c r="C103" s="861"/>
      <c r="D103" s="861"/>
      <c r="E103" s="692" t="s">
        <v>1072</v>
      </c>
      <c r="F103" s="837"/>
      <c r="G103" s="837"/>
      <c r="H103" s="837"/>
      <c r="I103" s="862"/>
      <c r="J103" s="356">
        <f t="shared" ref="J103" si="20">SUM(K103:R103)</f>
        <v>320054</v>
      </c>
      <c r="K103" s="1445">
        <v>218454</v>
      </c>
      <c r="L103" s="1445">
        <v>41304</v>
      </c>
      <c r="M103" s="1445">
        <v>57746</v>
      </c>
      <c r="N103" s="1445"/>
      <c r="O103" s="1445"/>
      <c r="P103" s="1445">
        <v>2550</v>
      </c>
      <c r="Q103" s="864"/>
      <c r="R103" s="865"/>
      <c r="S103" s="868"/>
      <c r="T103" s="868"/>
      <c r="U103" s="868"/>
      <c r="V103" s="868"/>
      <c r="W103" s="868"/>
      <c r="X103" s="868"/>
      <c r="Y103" s="868"/>
      <c r="Z103" s="868"/>
      <c r="AA103" s="868"/>
      <c r="AB103" s="868"/>
      <c r="AC103" s="868"/>
      <c r="AD103" s="868"/>
      <c r="AE103" s="868"/>
    </row>
    <row r="104" spans="1:31" s="55" customFormat="1" ht="18" customHeight="1" x14ac:dyDescent="0.3">
      <c r="A104" s="130">
        <v>95</v>
      </c>
      <c r="B104" s="1373"/>
      <c r="C104" s="1400"/>
      <c r="D104" s="1400"/>
      <c r="E104" s="1375" t="s">
        <v>1216</v>
      </c>
      <c r="F104" s="317"/>
      <c r="G104" s="317"/>
      <c r="H104" s="317"/>
      <c r="I104" s="1402"/>
      <c r="J104" s="1403">
        <f t="shared" si="19"/>
        <v>84</v>
      </c>
      <c r="K104" s="360">
        <v>73</v>
      </c>
      <c r="L104" s="360">
        <v>11</v>
      </c>
      <c r="M104" s="360"/>
      <c r="N104" s="360"/>
      <c r="O104" s="360"/>
      <c r="P104" s="360"/>
      <c r="Q104" s="360"/>
      <c r="R104" s="361"/>
      <c r="S104" s="155"/>
      <c r="T104" s="155"/>
      <c r="U104" s="155"/>
      <c r="V104" s="155"/>
      <c r="W104" s="155"/>
      <c r="X104" s="155"/>
      <c r="Y104" s="155"/>
      <c r="Z104" s="155"/>
      <c r="AA104" s="155"/>
      <c r="AB104" s="155"/>
      <c r="AC104" s="155"/>
      <c r="AD104" s="155"/>
      <c r="AE104" s="155"/>
    </row>
    <row r="105" spans="1:31" s="55" customFormat="1" ht="18" customHeight="1" x14ac:dyDescent="0.3">
      <c r="A105" s="130">
        <v>96</v>
      </c>
      <c r="B105" s="1373"/>
      <c r="C105" s="1400"/>
      <c r="D105" s="1400"/>
      <c r="E105" s="1375" t="s">
        <v>1211</v>
      </c>
      <c r="F105" s="317"/>
      <c r="G105" s="317"/>
      <c r="H105" s="317"/>
      <c r="I105" s="1402"/>
      <c r="J105" s="1403">
        <f t="shared" si="19"/>
        <v>5846</v>
      </c>
      <c r="K105" s="360">
        <v>5061</v>
      </c>
      <c r="L105" s="360">
        <v>785</v>
      </c>
      <c r="M105" s="360"/>
      <c r="N105" s="360"/>
      <c r="O105" s="360"/>
      <c r="P105" s="360"/>
      <c r="Q105" s="360"/>
      <c r="R105" s="361"/>
      <c r="S105" s="155"/>
      <c r="T105" s="155"/>
      <c r="U105" s="155"/>
      <c r="V105" s="155"/>
      <c r="W105" s="155"/>
      <c r="X105" s="155"/>
      <c r="Y105" s="155"/>
      <c r="Z105" s="155"/>
      <c r="AA105" s="155"/>
      <c r="AB105" s="155"/>
      <c r="AC105" s="155"/>
      <c r="AD105" s="155"/>
      <c r="AE105" s="155"/>
    </row>
    <row r="106" spans="1:31" s="55" customFormat="1" ht="18" customHeight="1" x14ac:dyDescent="0.3">
      <c r="A106" s="130">
        <v>97</v>
      </c>
      <c r="B106" s="1373"/>
      <c r="C106" s="1400"/>
      <c r="D106" s="1400"/>
      <c r="E106" s="1375" t="s">
        <v>1187</v>
      </c>
      <c r="F106" s="317"/>
      <c r="G106" s="317"/>
      <c r="H106" s="317"/>
      <c r="I106" s="1402"/>
      <c r="J106" s="1403">
        <f t="shared" si="19"/>
        <v>492</v>
      </c>
      <c r="K106" s="360">
        <v>426</v>
      </c>
      <c r="L106" s="360">
        <v>66</v>
      </c>
      <c r="M106" s="360"/>
      <c r="N106" s="360"/>
      <c r="O106" s="360"/>
      <c r="P106" s="360"/>
      <c r="Q106" s="360"/>
      <c r="R106" s="361"/>
      <c r="S106" s="155"/>
      <c r="T106" s="155"/>
      <c r="U106" s="155"/>
      <c r="V106" s="155"/>
      <c r="W106" s="155"/>
      <c r="X106" s="155"/>
      <c r="Y106" s="155"/>
      <c r="Z106" s="155"/>
      <c r="AA106" s="155"/>
      <c r="AB106" s="155"/>
      <c r="AC106" s="155"/>
      <c r="AD106" s="155"/>
      <c r="AE106" s="155"/>
    </row>
    <row r="107" spans="1:31" s="55" customFormat="1" ht="18" customHeight="1" x14ac:dyDescent="0.3">
      <c r="A107" s="130">
        <v>98</v>
      </c>
      <c r="B107" s="1373"/>
      <c r="C107" s="1400"/>
      <c r="D107" s="1400"/>
      <c r="E107" s="1375" t="s">
        <v>1159</v>
      </c>
      <c r="F107" s="317"/>
      <c r="G107" s="317"/>
      <c r="H107" s="317"/>
      <c r="I107" s="1402"/>
      <c r="J107" s="1403">
        <f t="shared" si="19"/>
        <v>0</v>
      </c>
      <c r="K107" s="360"/>
      <c r="L107" s="360"/>
      <c r="M107" s="360">
        <v>-700</v>
      </c>
      <c r="N107" s="360"/>
      <c r="O107" s="360"/>
      <c r="P107" s="360">
        <v>700</v>
      </c>
      <c r="Q107" s="360"/>
      <c r="R107" s="361"/>
      <c r="S107" s="155"/>
      <c r="T107" s="155"/>
      <c r="U107" s="155"/>
      <c r="V107" s="155"/>
      <c r="W107" s="155"/>
      <c r="X107" s="155"/>
      <c r="Y107" s="155"/>
      <c r="Z107" s="155"/>
      <c r="AA107" s="155"/>
      <c r="AB107" s="155"/>
      <c r="AC107" s="155"/>
      <c r="AD107" s="155"/>
      <c r="AE107" s="155"/>
    </row>
    <row r="108" spans="1:31" s="58" customFormat="1" ht="18" customHeight="1" x14ac:dyDescent="0.3">
      <c r="A108" s="130">
        <v>99</v>
      </c>
      <c r="B108" s="462"/>
      <c r="C108" s="1404"/>
      <c r="D108" s="1404"/>
      <c r="E108" s="346" t="s">
        <v>1151</v>
      </c>
      <c r="F108" s="1405"/>
      <c r="G108" s="1405"/>
      <c r="H108" s="1405"/>
      <c r="I108" s="1406"/>
      <c r="J108" s="356">
        <f t="shared" si="19"/>
        <v>326476</v>
      </c>
      <c r="K108" s="1407">
        <f>SUM(K103:K107)</f>
        <v>224014</v>
      </c>
      <c r="L108" s="1407">
        <f t="shared" ref="L108:P108" si="21">SUM(L103:L107)</f>
        <v>42166</v>
      </c>
      <c r="M108" s="1407">
        <f t="shared" si="21"/>
        <v>57046</v>
      </c>
      <c r="N108" s="1407"/>
      <c r="O108" s="1407"/>
      <c r="P108" s="1407">
        <f t="shared" si="21"/>
        <v>3250</v>
      </c>
      <c r="Q108" s="1407"/>
      <c r="R108" s="1408"/>
      <c r="S108" s="293"/>
      <c r="T108" s="293"/>
      <c r="U108" s="293"/>
      <c r="V108" s="293"/>
      <c r="W108" s="293"/>
      <c r="X108" s="293"/>
      <c r="Y108" s="293"/>
      <c r="Z108" s="293"/>
      <c r="AA108" s="293"/>
      <c r="AB108" s="293"/>
      <c r="AC108" s="293"/>
      <c r="AD108" s="293"/>
      <c r="AE108" s="293"/>
    </row>
    <row r="109" spans="1:31" s="58" customFormat="1" ht="18" customHeight="1" thickBot="1" x14ac:dyDescent="0.35">
      <c r="A109" s="130">
        <v>100</v>
      </c>
      <c r="B109" s="314"/>
      <c r="C109" s="706">
        <v>1</v>
      </c>
      <c r="D109" s="1056" t="s">
        <v>152</v>
      </c>
      <c r="E109" s="1056"/>
      <c r="F109" s="458"/>
      <c r="G109" s="121"/>
      <c r="H109" s="121"/>
      <c r="I109" s="354">
        <f>163+17</f>
        <v>180</v>
      </c>
      <c r="J109" s="364"/>
      <c r="K109" s="349"/>
      <c r="L109" s="349"/>
      <c r="M109" s="349"/>
      <c r="N109" s="360"/>
      <c r="O109" s="360"/>
      <c r="P109" s="360"/>
      <c r="Q109" s="360"/>
      <c r="R109" s="361"/>
      <c r="S109" s="293"/>
      <c r="T109" s="293"/>
      <c r="U109" s="293"/>
      <c r="V109" s="293"/>
      <c r="W109" s="293"/>
      <c r="X109" s="293"/>
      <c r="Y109" s="293"/>
      <c r="Z109" s="293"/>
      <c r="AA109" s="293"/>
      <c r="AB109" s="293"/>
      <c r="AC109" s="293"/>
      <c r="AD109" s="293"/>
      <c r="AE109" s="293"/>
    </row>
    <row r="110" spans="1:31" s="200" customFormat="1" ht="22.5" customHeight="1" thickTop="1" x14ac:dyDescent="0.2">
      <c r="A110" s="130">
        <v>101</v>
      </c>
      <c r="B110" s="357"/>
      <c r="C110" s="2096" t="s">
        <v>661</v>
      </c>
      <c r="D110" s="2097"/>
      <c r="E110" s="2098"/>
      <c r="F110" s="736"/>
      <c r="G110" s="732">
        <f>SUM(G80:G109)</f>
        <v>988845</v>
      </c>
      <c r="H110" s="732">
        <f>SUM(H80:H109)</f>
        <v>1196860</v>
      </c>
      <c r="I110" s="734">
        <f>SUM(I80:I109)</f>
        <v>1317515</v>
      </c>
      <c r="J110" s="735"/>
      <c r="K110" s="737"/>
      <c r="L110" s="737"/>
      <c r="M110" s="737"/>
      <c r="N110" s="737"/>
      <c r="O110" s="737"/>
      <c r="P110" s="737"/>
      <c r="Q110" s="737"/>
      <c r="R110" s="738"/>
      <c r="S110" s="358"/>
      <c r="T110" s="363"/>
      <c r="U110" s="363"/>
      <c r="V110" s="363"/>
      <c r="W110" s="363"/>
      <c r="X110" s="363"/>
      <c r="Y110" s="363"/>
      <c r="Z110" s="363"/>
      <c r="AA110" s="363"/>
      <c r="AB110" s="363"/>
      <c r="AC110" s="363"/>
      <c r="AD110" s="363"/>
      <c r="AE110" s="363"/>
    </row>
    <row r="111" spans="1:31" s="817" customFormat="1" ht="18" customHeight="1" x14ac:dyDescent="0.3">
      <c r="A111" s="130">
        <v>102</v>
      </c>
      <c r="B111" s="807"/>
      <c r="C111" s="1409"/>
      <c r="D111" s="861"/>
      <c r="E111" s="844" t="s">
        <v>311</v>
      </c>
      <c r="F111" s="837"/>
      <c r="G111" s="837"/>
      <c r="H111" s="837"/>
      <c r="I111" s="862"/>
      <c r="J111" s="863">
        <f>SUM(K111:R111)</f>
        <v>1309869</v>
      </c>
      <c r="K111" s="864">
        <f t="shared" ref="K111:R112" si="22">SUM(K81,K94,K102)</f>
        <v>930923</v>
      </c>
      <c r="L111" s="864">
        <f t="shared" si="22"/>
        <v>184278</v>
      </c>
      <c r="M111" s="864">
        <f t="shared" si="22"/>
        <v>191888</v>
      </c>
      <c r="N111" s="864">
        <f t="shared" si="22"/>
        <v>0</v>
      </c>
      <c r="O111" s="864">
        <f t="shared" si="22"/>
        <v>0</v>
      </c>
      <c r="P111" s="864">
        <f t="shared" si="22"/>
        <v>2780</v>
      </c>
      <c r="Q111" s="864">
        <f t="shared" si="22"/>
        <v>0</v>
      </c>
      <c r="R111" s="865">
        <f t="shared" si="22"/>
        <v>0</v>
      </c>
      <c r="S111" s="868"/>
      <c r="T111" s="868"/>
      <c r="U111" s="868"/>
      <c r="V111" s="868"/>
      <c r="W111" s="868"/>
      <c r="X111" s="868"/>
      <c r="Y111" s="868"/>
      <c r="Z111" s="868"/>
      <c r="AA111" s="868"/>
      <c r="AB111" s="868"/>
      <c r="AC111" s="868"/>
      <c r="AD111" s="868"/>
      <c r="AE111" s="868"/>
    </row>
    <row r="112" spans="1:31" s="817" customFormat="1" ht="18" customHeight="1" x14ac:dyDescent="0.3">
      <c r="A112" s="130">
        <v>103</v>
      </c>
      <c r="B112" s="807"/>
      <c r="C112" s="1409"/>
      <c r="D112" s="861"/>
      <c r="E112" s="692" t="s">
        <v>1072</v>
      </c>
      <c r="F112" s="837"/>
      <c r="G112" s="837"/>
      <c r="H112" s="837"/>
      <c r="I112" s="862"/>
      <c r="J112" s="356">
        <f t="shared" ref="J112" si="23">SUM(K112:R112)</f>
        <v>1502711</v>
      </c>
      <c r="K112" s="1445">
        <f t="shared" si="22"/>
        <v>1027423</v>
      </c>
      <c r="L112" s="1445">
        <f t="shared" si="22"/>
        <v>198633</v>
      </c>
      <c r="M112" s="1445">
        <f t="shared" si="22"/>
        <v>270816</v>
      </c>
      <c r="N112" s="1445">
        <f t="shared" si="22"/>
        <v>0</v>
      </c>
      <c r="O112" s="1445">
        <f t="shared" si="22"/>
        <v>0</v>
      </c>
      <c r="P112" s="1445">
        <f t="shared" si="22"/>
        <v>5839</v>
      </c>
      <c r="Q112" s="1445">
        <f t="shared" si="22"/>
        <v>0</v>
      </c>
      <c r="R112" s="1446">
        <f t="shared" si="22"/>
        <v>0</v>
      </c>
      <c r="S112" s="868"/>
      <c r="T112" s="868"/>
      <c r="U112" s="868"/>
      <c r="V112" s="868"/>
      <c r="W112" s="868"/>
      <c r="X112" s="868"/>
      <c r="Y112" s="868"/>
      <c r="Z112" s="868"/>
      <c r="AA112" s="868"/>
      <c r="AB112" s="868"/>
      <c r="AC112" s="868"/>
      <c r="AD112" s="868"/>
      <c r="AE112" s="868"/>
    </row>
    <row r="113" spans="1:31" s="55" customFormat="1" ht="18" customHeight="1" x14ac:dyDescent="0.3">
      <c r="A113" s="130">
        <v>104</v>
      </c>
      <c r="B113" s="1373"/>
      <c r="C113" s="1410"/>
      <c r="D113" s="1400"/>
      <c r="E113" s="1401" t="s">
        <v>963</v>
      </c>
      <c r="F113" s="317"/>
      <c r="G113" s="317"/>
      <c r="H113" s="317"/>
      <c r="I113" s="1402"/>
      <c r="J113" s="1403">
        <f>SUM(K113:R113)</f>
        <v>12435</v>
      </c>
      <c r="K113" s="360">
        <f>SUM(K83:K87,K91:K91,K96:K98,K104:K107)</f>
        <v>20726</v>
      </c>
      <c r="L113" s="360">
        <f t="shared" ref="L113:R113" si="24">SUM(L83:L87,L91:L91,L96:L98,L104:L107)</f>
        <v>3233</v>
      </c>
      <c r="M113" s="360">
        <f t="shared" si="24"/>
        <v>-12574</v>
      </c>
      <c r="N113" s="360">
        <f t="shared" si="24"/>
        <v>0</v>
      </c>
      <c r="O113" s="360">
        <f t="shared" si="24"/>
        <v>0</v>
      </c>
      <c r="P113" s="360">
        <f t="shared" si="24"/>
        <v>1050</v>
      </c>
      <c r="Q113" s="360">
        <f t="shared" si="24"/>
        <v>0</v>
      </c>
      <c r="R113" s="361">
        <f t="shared" si="24"/>
        <v>0</v>
      </c>
      <c r="S113" s="155"/>
      <c r="T113" s="155"/>
      <c r="U113" s="155"/>
      <c r="V113" s="155"/>
      <c r="W113" s="155"/>
      <c r="X113" s="155"/>
      <c r="Y113" s="155"/>
      <c r="Z113" s="155"/>
      <c r="AA113" s="155"/>
      <c r="AB113" s="155"/>
      <c r="AC113" s="155"/>
      <c r="AD113" s="155"/>
      <c r="AE113" s="155"/>
    </row>
    <row r="114" spans="1:31" s="58" customFormat="1" ht="18" customHeight="1" thickBot="1" x14ac:dyDescent="0.35">
      <c r="A114" s="130">
        <v>105</v>
      </c>
      <c r="B114" s="462"/>
      <c r="C114" s="1411"/>
      <c r="D114" s="1412"/>
      <c r="E114" s="1413" t="s">
        <v>1151</v>
      </c>
      <c r="F114" s="1414"/>
      <c r="G114" s="1414"/>
      <c r="H114" s="1414"/>
      <c r="I114" s="1415"/>
      <c r="J114" s="1416">
        <f>SUM(K114:R114)</f>
        <v>1515146</v>
      </c>
      <c r="K114" s="1417">
        <f>SUM(K112:K113)</f>
        <v>1048149</v>
      </c>
      <c r="L114" s="1417">
        <f t="shared" ref="L114:R114" si="25">SUM(L112:L113)</f>
        <v>201866</v>
      </c>
      <c r="M114" s="1417">
        <f t="shared" si="25"/>
        <v>258242</v>
      </c>
      <c r="N114" s="1417">
        <f t="shared" si="25"/>
        <v>0</v>
      </c>
      <c r="O114" s="1417">
        <f t="shared" si="25"/>
        <v>0</v>
      </c>
      <c r="P114" s="1417">
        <f t="shared" si="25"/>
        <v>6889</v>
      </c>
      <c r="Q114" s="1417">
        <f t="shared" si="25"/>
        <v>0</v>
      </c>
      <c r="R114" s="1418">
        <f t="shared" si="25"/>
        <v>0</v>
      </c>
      <c r="S114" s="293"/>
      <c r="T114" s="293"/>
      <c r="U114" s="293"/>
      <c r="V114" s="293"/>
      <c r="W114" s="293"/>
      <c r="X114" s="293"/>
      <c r="Y114" s="293"/>
      <c r="Z114" s="293"/>
      <c r="AA114" s="293"/>
      <c r="AB114" s="293"/>
      <c r="AC114" s="293"/>
      <c r="AD114" s="293"/>
      <c r="AE114" s="293"/>
    </row>
    <row r="115" spans="1:31" s="48" customFormat="1" ht="22.5" customHeight="1" thickTop="1" x14ac:dyDescent="0.3">
      <c r="A115" s="130">
        <v>106</v>
      </c>
      <c r="B115" s="324">
        <v>10</v>
      </c>
      <c r="C115" s="707"/>
      <c r="D115" s="348" t="s">
        <v>546</v>
      </c>
      <c r="E115" s="347"/>
      <c r="F115" s="456" t="s">
        <v>23</v>
      </c>
      <c r="G115" s="335">
        <v>246321</v>
      </c>
      <c r="H115" s="335">
        <v>214545</v>
      </c>
      <c r="I115" s="457">
        <v>245048</v>
      </c>
      <c r="J115" s="439"/>
      <c r="K115" s="335"/>
      <c r="L115" s="335"/>
      <c r="M115" s="335"/>
      <c r="N115" s="335"/>
      <c r="O115" s="335"/>
      <c r="P115" s="335"/>
      <c r="Q115" s="335"/>
      <c r="R115" s="359"/>
      <c r="S115" s="237"/>
      <c r="T115" s="237"/>
      <c r="U115" s="237"/>
      <c r="V115" s="237"/>
      <c r="W115" s="237"/>
      <c r="X115" s="237"/>
      <c r="Y115" s="237"/>
      <c r="Z115" s="237"/>
      <c r="AA115" s="237"/>
      <c r="AB115" s="237"/>
      <c r="AC115" s="237"/>
      <c r="AD115" s="237"/>
      <c r="AE115" s="237"/>
    </row>
    <row r="116" spans="1:31" s="817" customFormat="1" ht="18" customHeight="1" x14ac:dyDescent="0.3">
      <c r="A116" s="130">
        <v>107</v>
      </c>
      <c r="B116" s="807"/>
      <c r="C116" s="851"/>
      <c r="D116" s="851"/>
      <c r="E116" s="852" t="s">
        <v>311</v>
      </c>
      <c r="F116" s="829"/>
      <c r="G116" s="829"/>
      <c r="H116" s="829"/>
      <c r="I116" s="853"/>
      <c r="J116" s="854">
        <f t="shared" ref="J116:J120" si="26">SUM(K116:R116)</f>
        <v>213129</v>
      </c>
      <c r="K116" s="855">
        <f>82250-11583+11583</f>
        <v>82250</v>
      </c>
      <c r="L116" s="855">
        <f>15250-2027+2027</f>
        <v>15250</v>
      </c>
      <c r="M116" s="855">
        <v>115629</v>
      </c>
      <c r="N116" s="855"/>
      <c r="O116" s="855"/>
      <c r="P116" s="855"/>
      <c r="Q116" s="855"/>
      <c r="R116" s="856"/>
      <c r="S116" s="868"/>
      <c r="T116" s="868"/>
      <c r="U116" s="868"/>
      <c r="V116" s="868"/>
      <c r="W116" s="868"/>
      <c r="X116" s="868"/>
      <c r="Y116" s="868"/>
      <c r="Z116" s="868"/>
      <c r="AA116" s="868"/>
      <c r="AB116" s="868"/>
      <c r="AC116" s="868"/>
      <c r="AD116" s="868"/>
      <c r="AE116" s="868"/>
    </row>
    <row r="117" spans="1:31" s="817" customFormat="1" ht="18" customHeight="1" x14ac:dyDescent="0.3">
      <c r="A117" s="130">
        <v>108</v>
      </c>
      <c r="B117" s="807"/>
      <c r="C117" s="851"/>
      <c r="D117" s="851"/>
      <c r="E117" s="692" t="s">
        <v>1072</v>
      </c>
      <c r="F117" s="829"/>
      <c r="G117" s="829"/>
      <c r="H117" s="829"/>
      <c r="I117" s="853"/>
      <c r="J117" s="356">
        <f t="shared" ref="J117" si="27">SUM(K117:R117)</f>
        <v>245638</v>
      </c>
      <c r="K117" s="1407">
        <v>91218</v>
      </c>
      <c r="L117" s="1407">
        <v>17473</v>
      </c>
      <c r="M117" s="1407">
        <v>134679</v>
      </c>
      <c r="N117" s="1407"/>
      <c r="O117" s="1407"/>
      <c r="P117" s="1407">
        <v>2268</v>
      </c>
      <c r="Q117" s="855"/>
      <c r="R117" s="856"/>
      <c r="S117" s="868"/>
      <c r="T117" s="868"/>
      <c r="U117" s="868"/>
      <c r="V117" s="868"/>
      <c r="W117" s="868"/>
      <c r="X117" s="868"/>
      <c r="Y117" s="868"/>
      <c r="Z117" s="868"/>
      <c r="AA117" s="868"/>
      <c r="AB117" s="868"/>
      <c r="AC117" s="868"/>
      <c r="AD117" s="868"/>
      <c r="AE117" s="868"/>
    </row>
    <row r="118" spans="1:31" s="55" customFormat="1" ht="18" customHeight="1" x14ac:dyDescent="0.3">
      <c r="A118" s="130">
        <v>109</v>
      </c>
      <c r="B118" s="1373"/>
      <c r="C118" s="1400"/>
      <c r="D118" s="1400"/>
      <c r="E118" s="1375" t="s">
        <v>1217</v>
      </c>
      <c r="F118" s="317"/>
      <c r="G118" s="317"/>
      <c r="H118" s="317"/>
      <c r="I118" s="1402"/>
      <c r="J118" s="1403">
        <f t="shared" si="26"/>
        <v>560</v>
      </c>
      <c r="K118" s="360">
        <v>485</v>
      </c>
      <c r="L118" s="360">
        <v>75</v>
      </c>
      <c r="M118" s="360"/>
      <c r="N118" s="360"/>
      <c r="O118" s="360"/>
      <c r="P118" s="360"/>
      <c r="Q118" s="360"/>
      <c r="R118" s="361"/>
      <c r="S118" s="155"/>
      <c r="T118" s="155"/>
      <c r="U118" s="155"/>
      <c r="V118" s="155"/>
      <c r="W118" s="155"/>
      <c r="X118" s="155"/>
      <c r="Y118" s="155"/>
      <c r="Z118" s="155"/>
      <c r="AA118" s="155"/>
      <c r="AB118" s="155"/>
      <c r="AC118" s="155"/>
      <c r="AD118" s="155"/>
      <c r="AE118" s="155"/>
    </row>
    <row r="119" spans="1:31" s="55" customFormat="1" ht="18" customHeight="1" x14ac:dyDescent="0.3">
      <c r="A119" s="130">
        <v>110</v>
      </c>
      <c r="B119" s="1373"/>
      <c r="C119" s="1400"/>
      <c r="D119" s="1400"/>
      <c r="E119" s="1375" t="s">
        <v>1221</v>
      </c>
      <c r="F119" s="317"/>
      <c r="G119" s="317"/>
      <c r="H119" s="317"/>
      <c r="I119" s="1402"/>
      <c r="J119" s="1403">
        <f t="shared" si="26"/>
        <v>140</v>
      </c>
      <c r="K119" s="360"/>
      <c r="L119" s="360"/>
      <c r="M119" s="360">
        <v>140</v>
      </c>
      <c r="N119" s="360"/>
      <c r="O119" s="360"/>
      <c r="P119" s="360"/>
      <c r="Q119" s="360"/>
      <c r="R119" s="361"/>
      <c r="S119" s="155"/>
      <c r="T119" s="155"/>
      <c r="U119" s="155"/>
      <c r="V119" s="155"/>
      <c r="W119" s="155"/>
      <c r="X119" s="155"/>
      <c r="Y119" s="155"/>
      <c r="Z119" s="155"/>
      <c r="AA119" s="155"/>
      <c r="AB119" s="155"/>
      <c r="AC119" s="155"/>
      <c r="AD119" s="155"/>
      <c r="AE119" s="155"/>
    </row>
    <row r="120" spans="1:31" s="58" customFormat="1" ht="18" customHeight="1" x14ac:dyDescent="0.3">
      <c r="A120" s="130">
        <v>111</v>
      </c>
      <c r="B120" s="462"/>
      <c r="C120" s="1404"/>
      <c r="D120" s="1404"/>
      <c r="E120" s="346" t="s">
        <v>1151</v>
      </c>
      <c r="F120" s="1405"/>
      <c r="G120" s="1405"/>
      <c r="H120" s="1405"/>
      <c r="I120" s="1406"/>
      <c r="J120" s="356">
        <f t="shared" si="26"/>
        <v>246338</v>
      </c>
      <c r="K120" s="1407">
        <f>SUM(K117:K119)</f>
        <v>91703</v>
      </c>
      <c r="L120" s="1407">
        <f t="shared" ref="L120:P120" si="28">SUM(L117:L119)</f>
        <v>17548</v>
      </c>
      <c r="M120" s="1407">
        <f t="shared" si="28"/>
        <v>134819</v>
      </c>
      <c r="N120" s="1407"/>
      <c r="O120" s="1407"/>
      <c r="P120" s="1407">
        <f t="shared" si="28"/>
        <v>2268</v>
      </c>
      <c r="Q120" s="1407"/>
      <c r="R120" s="1408"/>
      <c r="S120" s="293"/>
      <c r="T120" s="293"/>
      <c r="U120" s="293"/>
      <c r="V120" s="293"/>
      <c r="W120" s="293"/>
      <c r="X120" s="293"/>
      <c r="Y120" s="293"/>
      <c r="Z120" s="293"/>
      <c r="AA120" s="293"/>
      <c r="AB120" s="293"/>
      <c r="AC120" s="293"/>
      <c r="AD120" s="293"/>
      <c r="AE120" s="293"/>
    </row>
    <row r="121" spans="1:31" s="55" customFormat="1" ht="18" customHeight="1" x14ac:dyDescent="0.3">
      <c r="A121" s="130">
        <v>112</v>
      </c>
      <c r="B121" s="1256"/>
      <c r="C121" s="1257"/>
      <c r="D121" s="1258" t="s">
        <v>910</v>
      </c>
      <c r="E121" s="1259"/>
      <c r="F121" s="1260"/>
      <c r="G121" s="158"/>
      <c r="H121" s="158"/>
      <c r="I121" s="1744"/>
      <c r="J121" s="364"/>
      <c r="K121" s="360"/>
      <c r="L121" s="360"/>
      <c r="M121" s="360"/>
      <c r="N121" s="360"/>
      <c r="O121" s="360"/>
      <c r="P121" s="360"/>
      <c r="Q121" s="360"/>
      <c r="R121" s="361"/>
      <c r="S121" s="155"/>
      <c r="T121" s="155"/>
      <c r="U121" s="155"/>
      <c r="V121" s="155"/>
      <c r="W121" s="155"/>
      <c r="X121" s="155"/>
      <c r="Y121" s="155"/>
      <c r="Z121" s="155"/>
      <c r="AA121" s="155"/>
      <c r="AB121" s="155"/>
      <c r="AC121" s="155"/>
      <c r="AD121" s="155"/>
      <c r="AE121" s="155"/>
    </row>
    <row r="122" spans="1:31" s="870" customFormat="1" ht="18" customHeight="1" x14ac:dyDescent="0.3">
      <c r="A122" s="130">
        <v>113</v>
      </c>
      <c r="B122" s="1194"/>
      <c r="C122" s="1196"/>
      <c r="D122" s="1196"/>
      <c r="E122" s="1261" t="s">
        <v>311</v>
      </c>
      <c r="F122" s="1262"/>
      <c r="G122" s="830"/>
      <c r="H122" s="830"/>
      <c r="I122" s="1745"/>
      <c r="J122" s="1198">
        <f>SUM(K122:R122)</f>
        <v>13610</v>
      </c>
      <c r="K122" s="1199">
        <v>11583</v>
      </c>
      <c r="L122" s="1199">
        <v>2027</v>
      </c>
      <c r="M122" s="1199"/>
      <c r="N122" s="1199"/>
      <c r="O122" s="1199"/>
      <c r="P122" s="1199"/>
      <c r="Q122" s="1199"/>
      <c r="R122" s="1200"/>
      <c r="S122" s="869"/>
      <c r="T122" s="869"/>
      <c r="U122" s="869"/>
      <c r="V122" s="869"/>
      <c r="W122" s="869"/>
      <c r="X122" s="869"/>
      <c r="Y122" s="869"/>
      <c r="Z122" s="869"/>
      <c r="AA122" s="869"/>
      <c r="AB122" s="869"/>
      <c r="AC122" s="869"/>
      <c r="AD122" s="869"/>
      <c r="AE122" s="869"/>
    </row>
    <row r="123" spans="1:31" s="870" customFormat="1" ht="18" customHeight="1" x14ac:dyDescent="0.3">
      <c r="A123" s="130">
        <v>114</v>
      </c>
      <c r="B123" s="1194"/>
      <c r="C123" s="1196"/>
      <c r="D123" s="1196"/>
      <c r="E123" s="692" t="s">
        <v>1152</v>
      </c>
      <c r="F123" s="1262"/>
      <c r="G123" s="830"/>
      <c r="H123" s="830"/>
      <c r="I123" s="1745"/>
      <c r="J123" s="356">
        <f t="shared" ref="J123" si="29">SUM(K123:R123)</f>
        <v>0</v>
      </c>
      <c r="K123" s="1423">
        <v>0</v>
      </c>
      <c r="L123" s="1423">
        <v>0</v>
      </c>
      <c r="M123" s="1199"/>
      <c r="N123" s="1199"/>
      <c r="O123" s="1199"/>
      <c r="P123" s="1199"/>
      <c r="Q123" s="1199"/>
      <c r="R123" s="1200"/>
      <c r="S123" s="869"/>
      <c r="T123" s="869"/>
      <c r="U123" s="869"/>
      <c r="V123" s="869"/>
      <c r="W123" s="869"/>
      <c r="X123" s="869"/>
      <c r="Y123" s="869"/>
      <c r="Z123" s="869"/>
      <c r="AA123" s="869"/>
      <c r="AB123" s="869"/>
      <c r="AC123" s="869"/>
      <c r="AD123" s="869"/>
      <c r="AE123" s="869"/>
    </row>
    <row r="124" spans="1:31" s="55" customFormat="1" ht="18" customHeight="1" x14ac:dyDescent="0.3">
      <c r="A124" s="130">
        <v>115</v>
      </c>
      <c r="B124" s="1373"/>
      <c r="C124" s="1400"/>
      <c r="D124" s="1400"/>
      <c r="E124" s="1419" t="s">
        <v>986</v>
      </c>
      <c r="F124" s="317"/>
      <c r="G124" s="317"/>
      <c r="H124" s="317"/>
      <c r="I124" s="1402"/>
      <c r="J124" s="1403">
        <f>SUM(K124:R124)</f>
        <v>0</v>
      </c>
      <c r="K124" s="360"/>
      <c r="L124" s="360"/>
      <c r="M124" s="360"/>
      <c r="N124" s="360"/>
      <c r="O124" s="360"/>
      <c r="P124" s="360"/>
      <c r="Q124" s="360"/>
      <c r="R124" s="361"/>
      <c r="S124" s="155"/>
      <c r="T124" s="155"/>
      <c r="U124" s="155"/>
      <c r="V124" s="155"/>
      <c r="W124" s="155"/>
      <c r="X124" s="155"/>
      <c r="Y124" s="155"/>
      <c r="Z124" s="155"/>
      <c r="AA124" s="155"/>
      <c r="AB124" s="155"/>
      <c r="AC124" s="155"/>
      <c r="AD124" s="155"/>
      <c r="AE124" s="155"/>
    </row>
    <row r="125" spans="1:31" s="59" customFormat="1" ht="18" customHeight="1" x14ac:dyDescent="0.3">
      <c r="A125" s="130">
        <v>116</v>
      </c>
      <c r="B125" s="357"/>
      <c r="C125" s="1420"/>
      <c r="D125" s="1420"/>
      <c r="E125" s="1421" t="s">
        <v>1151</v>
      </c>
      <c r="F125" s="1422"/>
      <c r="G125" s="1422"/>
      <c r="H125" s="1422"/>
      <c r="I125" s="1746"/>
      <c r="J125" s="364">
        <f>SUM(K125:R125)</f>
        <v>0</v>
      </c>
      <c r="K125" s="1423">
        <f>SUM(K123:K124)</f>
        <v>0</v>
      </c>
      <c r="L125" s="1423">
        <f>SUM(L123:L124)</f>
        <v>0</v>
      </c>
      <c r="M125" s="1423"/>
      <c r="N125" s="1423"/>
      <c r="O125" s="1423"/>
      <c r="P125" s="1423"/>
      <c r="Q125" s="1423"/>
      <c r="R125" s="1424"/>
      <c r="S125" s="358"/>
      <c r="T125" s="358"/>
      <c r="U125" s="358"/>
      <c r="V125" s="358"/>
      <c r="W125" s="358"/>
      <c r="X125" s="358"/>
      <c r="Y125" s="358"/>
      <c r="Z125" s="358"/>
      <c r="AA125" s="358"/>
      <c r="AB125" s="358"/>
      <c r="AC125" s="358"/>
      <c r="AD125" s="358"/>
      <c r="AE125" s="358"/>
    </row>
    <row r="126" spans="1:31" s="51" customFormat="1" ht="18" customHeight="1" x14ac:dyDescent="0.3">
      <c r="A126" s="130">
        <v>117</v>
      </c>
      <c r="B126" s="314"/>
      <c r="C126" s="705">
        <v>1</v>
      </c>
      <c r="D126" s="1056" t="s">
        <v>651</v>
      </c>
      <c r="E126" s="1056"/>
      <c r="F126" s="458"/>
      <c r="G126" s="121"/>
      <c r="H126" s="121"/>
      <c r="I126" s="1747">
        <v>5228</v>
      </c>
      <c r="J126" s="364"/>
      <c r="K126" s="349"/>
      <c r="L126" s="349"/>
      <c r="M126" s="349"/>
      <c r="N126" s="360"/>
      <c r="O126" s="360"/>
      <c r="P126" s="360"/>
      <c r="Q126" s="360"/>
      <c r="R126" s="361"/>
      <c r="S126" s="60"/>
      <c r="T126" s="60"/>
      <c r="U126" s="60"/>
      <c r="V126" s="60"/>
      <c r="W126" s="60"/>
      <c r="X126" s="60"/>
      <c r="Y126" s="60"/>
      <c r="Z126" s="60"/>
      <c r="AA126" s="60"/>
      <c r="AB126" s="60"/>
      <c r="AC126" s="60"/>
      <c r="AD126" s="60"/>
      <c r="AE126" s="60"/>
    </row>
    <row r="127" spans="1:31" s="870" customFormat="1" ht="18" customHeight="1" x14ac:dyDescent="0.3">
      <c r="A127" s="130">
        <v>118</v>
      </c>
      <c r="B127" s="807"/>
      <c r="C127" s="851"/>
      <c r="D127" s="851"/>
      <c r="E127" s="866" t="s">
        <v>311</v>
      </c>
      <c r="F127" s="867"/>
      <c r="G127" s="829"/>
      <c r="H127" s="829"/>
      <c r="I127" s="853"/>
      <c r="J127" s="854">
        <f>SUM(K127:R127)</f>
        <v>89379</v>
      </c>
      <c r="K127" s="855">
        <v>33444</v>
      </c>
      <c r="L127" s="855">
        <v>6075</v>
      </c>
      <c r="M127" s="855">
        <v>45810</v>
      </c>
      <c r="N127" s="855"/>
      <c r="O127" s="855"/>
      <c r="P127" s="855">
        <v>4050</v>
      </c>
      <c r="Q127" s="855"/>
      <c r="R127" s="856"/>
      <c r="S127" s="869"/>
      <c r="T127" s="869"/>
      <c r="U127" s="869"/>
      <c r="V127" s="869"/>
      <c r="W127" s="869"/>
      <c r="X127" s="869"/>
      <c r="Y127" s="869"/>
      <c r="Z127" s="869"/>
      <c r="AA127" s="869"/>
      <c r="AB127" s="869"/>
      <c r="AC127" s="869"/>
      <c r="AD127" s="869"/>
      <c r="AE127" s="869"/>
    </row>
    <row r="128" spans="1:31" s="870" customFormat="1" ht="18" customHeight="1" x14ac:dyDescent="0.3">
      <c r="A128" s="130">
        <v>119</v>
      </c>
      <c r="B128" s="807"/>
      <c r="C128" s="851"/>
      <c r="D128" s="851"/>
      <c r="E128" s="692" t="s">
        <v>1072</v>
      </c>
      <c r="F128" s="867"/>
      <c r="G128" s="829"/>
      <c r="H128" s="829"/>
      <c r="I128" s="853"/>
      <c r="J128" s="356">
        <f t="shared" ref="J128" si="30">SUM(K128:R128)</f>
        <v>89379</v>
      </c>
      <c r="K128" s="1407">
        <v>33444</v>
      </c>
      <c r="L128" s="1407">
        <v>6075</v>
      </c>
      <c r="M128" s="1407">
        <v>45810</v>
      </c>
      <c r="N128" s="1407"/>
      <c r="O128" s="1407"/>
      <c r="P128" s="1407">
        <v>4050</v>
      </c>
      <c r="Q128" s="855"/>
      <c r="R128" s="856"/>
      <c r="S128" s="869"/>
      <c r="T128" s="869"/>
      <c r="U128" s="869"/>
      <c r="V128" s="869"/>
      <c r="W128" s="869"/>
      <c r="X128" s="869"/>
      <c r="Y128" s="869"/>
      <c r="Z128" s="869"/>
      <c r="AA128" s="869"/>
      <c r="AB128" s="869"/>
      <c r="AC128" s="869"/>
      <c r="AD128" s="869"/>
      <c r="AE128" s="869"/>
    </row>
    <row r="129" spans="1:31" s="55" customFormat="1" ht="18" customHeight="1" x14ac:dyDescent="0.3">
      <c r="A129" s="130">
        <v>120</v>
      </c>
      <c r="B129" s="1373"/>
      <c r="C129" s="1400"/>
      <c r="D129" s="1400"/>
      <c r="E129" s="1401" t="s">
        <v>963</v>
      </c>
      <c r="F129" s="317"/>
      <c r="G129" s="317"/>
      <c r="H129" s="317"/>
      <c r="I129" s="1402"/>
      <c r="J129" s="1403">
        <f>SUM(K129:R129)</f>
        <v>0</v>
      </c>
      <c r="K129" s="360"/>
      <c r="L129" s="360"/>
      <c r="M129" s="360"/>
      <c r="N129" s="360"/>
      <c r="O129" s="360"/>
      <c r="P129" s="360"/>
      <c r="Q129" s="360"/>
      <c r="R129" s="361"/>
      <c r="S129" s="155"/>
      <c r="T129" s="155"/>
      <c r="U129" s="155"/>
      <c r="V129" s="155"/>
      <c r="W129" s="155"/>
      <c r="X129" s="155"/>
      <c r="Y129" s="155"/>
      <c r="Z129" s="155"/>
      <c r="AA129" s="155"/>
      <c r="AB129" s="155"/>
      <c r="AC129" s="155"/>
      <c r="AD129" s="155"/>
      <c r="AE129" s="155"/>
    </row>
    <row r="130" spans="1:31" s="58" customFormat="1" ht="18" customHeight="1" x14ac:dyDescent="0.3">
      <c r="A130" s="130">
        <v>121</v>
      </c>
      <c r="B130" s="462"/>
      <c r="C130" s="1404"/>
      <c r="D130" s="1404"/>
      <c r="E130" s="346" t="s">
        <v>1151</v>
      </c>
      <c r="F130" s="1405"/>
      <c r="G130" s="1405"/>
      <c r="H130" s="1405"/>
      <c r="I130" s="1406"/>
      <c r="J130" s="356">
        <f>SUM(K130:R130)</f>
        <v>89379</v>
      </c>
      <c r="K130" s="1407">
        <f>SUM(K128:K129)</f>
        <v>33444</v>
      </c>
      <c r="L130" s="1407">
        <f t="shared" ref="L130:P130" si="31">SUM(L128:L129)</f>
        <v>6075</v>
      </c>
      <c r="M130" s="1407">
        <f t="shared" si="31"/>
        <v>45810</v>
      </c>
      <c r="N130" s="1407"/>
      <c r="O130" s="1407"/>
      <c r="P130" s="1407">
        <f t="shared" si="31"/>
        <v>4050</v>
      </c>
      <c r="Q130" s="1407"/>
      <c r="R130" s="1408"/>
      <c r="S130" s="293"/>
      <c r="T130" s="293"/>
      <c r="U130" s="293"/>
      <c r="V130" s="293"/>
      <c r="W130" s="293"/>
      <c r="X130" s="293"/>
      <c r="Y130" s="293"/>
      <c r="Z130" s="293"/>
      <c r="AA130" s="293"/>
      <c r="AB130" s="293"/>
      <c r="AC130" s="293"/>
      <c r="AD130" s="293"/>
      <c r="AE130" s="293"/>
    </row>
    <row r="131" spans="1:31" s="55" customFormat="1" ht="22.5" customHeight="1" x14ac:dyDescent="0.3">
      <c r="A131" s="130">
        <v>122</v>
      </c>
      <c r="B131" s="310">
        <v>11</v>
      </c>
      <c r="C131" s="705"/>
      <c r="D131" s="346" t="s">
        <v>528</v>
      </c>
      <c r="E131" s="346"/>
      <c r="F131" s="455" t="s">
        <v>23</v>
      </c>
      <c r="G131" s="121">
        <v>133426</v>
      </c>
      <c r="H131" s="121">
        <v>125485</v>
      </c>
      <c r="I131" s="354">
        <v>151034</v>
      </c>
      <c r="J131" s="364"/>
      <c r="K131" s="121"/>
      <c r="L131" s="121"/>
      <c r="M131" s="121"/>
      <c r="N131" s="121"/>
      <c r="O131" s="121"/>
      <c r="P131" s="121"/>
      <c r="Q131" s="121"/>
      <c r="R131" s="135"/>
      <c r="S131" s="155"/>
      <c r="T131" s="155"/>
      <c r="U131" s="155"/>
      <c r="V131" s="155"/>
      <c r="W131" s="155"/>
      <c r="X131" s="155"/>
      <c r="Y131" s="155"/>
      <c r="Z131" s="155"/>
      <c r="AA131" s="155"/>
      <c r="AB131" s="155"/>
      <c r="AC131" s="155"/>
      <c r="AD131" s="155"/>
      <c r="AE131" s="155"/>
    </row>
    <row r="132" spans="1:31" s="870" customFormat="1" ht="18" customHeight="1" x14ac:dyDescent="0.3">
      <c r="A132" s="130">
        <v>123</v>
      </c>
      <c r="B132" s="807"/>
      <c r="C132" s="851"/>
      <c r="D132" s="851"/>
      <c r="E132" s="852" t="s">
        <v>311</v>
      </c>
      <c r="F132" s="829"/>
      <c r="G132" s="829"/>
      <c r="H132" s="829"/>
      <c r="I132" s="853"/>
      <c r="J132" s="854">
        <f t="shared" ref="J132:J138" si="32">SUM(K132:R132)</f>
        <v>125328</v>
      </c>
      <c r="K132" s="855">
        <f>71395-11583+11583</f>
        <v>71395</v>
      </c>
      <c r="L132" s="855">
        <f>12810-2027+2027</f>
        <v>12810</v>
      </c>
      <c r="M132" s="855">
        <v>41123</v>
      </c>
      <c r="N132" s="855"/>
      <c r="O132" s="855"/>
      <c r="P132" s="855"/>
      <c r="Q132" s="855"/>
      <c r="R132" s="856"/>
      <c r="S132" s="869"/>
      <c r="T132" s="869"/>
      <c r="U132" s="869"/>
      <c r="V132" s="869"/>
      <c r="W132" s="869"/>
      <c r="X132" s="869"/>
      <c r="Y132" s="869"/>
      <c r="Z132" s="869"/>
      <c r="AA132" s="869"/>
      <c r="AB132" s="869"/>
      <c r="AC132" s="869"/>
      <c r="AD132" s="869"/>
      <c r="AE132" s="869"/>
    </row>
    <row r="133" spans="1:31" s="870" customFormat="1" ht="18" customHeight="1" x14ac:dyDescent="0.3">
      <c r="A133" s="130">
        <v>124</v>
      </c>
      <c r="B133" s="807"/>
      <c r="C133" s="851"/>
      <c r="D133" s="851"/>
      <c r="E133" s="692" t="s">
        <v>1072</v>
      </c>
      <c r="F133" s="829"/>
      <c r="G133" s="829"/>
      <c r="H133" s="829"/>
      <c r="I133" s="853"/>
      <c r="J133" s="356">
        <f t="shared" ref="J133" si="33">SUM(K133:R133)</f>
        <v>143803</v>
      </c>
      <c r="K133" s="1407">
        <v>76459</v>
      </c>
      <c r="L133" s="1407">
        <v>13962</v>
      </c>
      <c r="M133" s="1407">
        <v>51300</v>
      </c>
      <c r="N133" s="1407"/>
      <c r="O133" s="1407"/>
      <c r="P133" s="1407">
        <v>2082</v>
      </c>
      <c r="Q133" s="855"/>
      <c r="R133" s="856"/>
      <c r="S133" s="869"/>
      <c r="T133" s="869"/>
      <c r="U133" s="869"/>
      <c r="V133" s="869"/>
      <c r="W133" s="869"/>
      <c r="X133" s="869"/>
      <c r="Y133" s="869"/>
      <c r="Z133" s="869"/>
      <c r="AA133" s="869"/>
      <c r="AB133" s="869"/>
      <c r="AC133" s="869"/>
      <c r="AD133" s="869"/>
      <c r="AE133" s="869"/>
    </row>
    <row r="134" spans="1:31" s="55" customFormat="1" ht="18" customHeight="1" x14ac:dyDescent="0.3">
      <c r="A134" s="130">
        <v>125</v>
      </c>
      <c r="B134" s="1373"/>
      <c r="C134" s="1400"/>
      <c r="D134" s="1400"/>
      <c r="E134" s="1375" t="s">
        <v>1216</v>
      </c>
      <c r="F134" s="317"/>
      <c r="G134" s="317"/>
      <c r="H134" s="317"/>
      <c r="I134" s="1402"/>
      <c r="J134" s="1403">
        <f t="shared" si="32"/>
        <v>9</v>
      </c>
      <c r="K134" s="360">
        <v>8</v>
      </c>
      <c r="L134" s="360">
        <v>1</v>
      </c>
      <c r="M134" s="360"/>
      <c r="N134" s="360"/>
      <c r="O134" s="360"/>
      <c r="P134" s="360"/>
      <c r="Q134" s="360"/>
      <c r="R134" s="361"/>
      <c r="S134" s="155"/>
      <c r="T134" s="155"/>
      <c r="U134" s="155"/>
      <c r="V134" s="155"/>
      <c r="W134" s="155"/>
      <c r="X134" s="155"/>
      <c r="Y134" s="155"/>
      <c r="Z134" s="155"/>
      <c r="AA134" s="155"/>
      <c r="AB134" s="155"/>
      <c r="AC134" s="155"/>
      <c r="AD134" s="155"/>
      <c r="AE134" s="155"/>
    </row>
    <row r="135" spans="1:31" s="55" customFormat="1" ht="18" customHeight="1" x14ac:dyDescent="0.3">
      <c r="A135" s="130">
        <v>126</v>
      </c>
      <c r="B135" s="1373"/>
      <c r="C135" s="1400"/>
      <c r="D135" s="1400"/>
      <c r="E135" s="1375" t="s">
        <v>1217</v>
      </c>
      <c r="F135" s="317"/>
      <c r="G135" s="317"/>
      <c r="H135" s="317"/>
      <c r="I135" s="1402"/>
      <c r="J135" s="1403">
        <f t="shared" si="32"/>
        <v>460</v>
      </c>
      <c r="K135" s="360">
        <v>398</v>
      </c>
      <c r="L135" s="360">
        <v>62</v>
      </c>
      <c r="M135" s="360"/>
      <c r="N135" s="360"/>
      <c r="O135" s="360"/>
      <c r="P135" s="360"/>
      <c r="Q135" s="360"/>
      <c r="R135" s="361"/>
      <c r="S135" s="155"/>
      <c r="T135" s="155"/>
      <c r="U135" s="155"/>
      <c r="V135" s="155"/>
      <c r="W135" s="155"/>
      <c r="X135" s="155"/>
      <c r="Y135" s="155"/>
      <c r="Z135" s="155"/>
      <c r="AA135" s="155"/>
      <c r="AB135" s="155"/>
      <c r="AC135" s="155"/>
      <c r="AD135" s="155"/>
      <c r="AE135" s="155"/>
    </row>
    <row r="136" spans="1:31" s="55" customFormat="1" ht="18" customHeight="1" x14ac:dyDescent="0.3">
      <c r="A136" s="130">
        <v>127</v>
      </c>
      <c r="B136" s="1373"/>
      <c r="C136" s="1400"/>
      <c r="D136" s="1400"/>
      <c r="E136" s="1401" t="s">
        <v>1157</v>
      </c>
      <c r="F136" s="317"/>
      <c r="G136" s="317"/>
      <c r="H136" s="317"/>
      <c r="I136" s="1402"/>
      <c r="J136" s="1403">
        <f t="shared" si="32"/>
        <v>799</v>
      </c>
      <c r="K136" s="360">
        <v>680</v>
      </c>
      <c r="L136" s="360">
        <v>119</v>
      </c>
      <c r="M136" s="360"/>
      <c r="N136" s="360"/>
      <c r="O136" s="360"/>
      <c r="P136" s="360"/>
      <c r="Q136" s="360"/>
      <c r="R136" s="361"/>
      <c r="S136" s="155"/>
      <c r="T136" s="155"/>
      <c r="U136" s="155"/>
      <c r="V136" s="155"/>
      <c r="W136" s="155"/>
      <c r="X136" s="155"/>
      <c r="Y136" s="155"/>
      <c r="Z136" s="155"/>
      <c r="AA136" s="155"/>
      <c r="AB136" s="155"/>
      <c r="AC136" s="155"/>
      <c r="AD136" s="155"/>
      <c r="AE136" s="155"/>
    </row>
    <row r="137" spans="1:31" s="55" customFormat="1" ht="18" customHeight="1" x14ac:dyDescent="0.3">
      <c r="A137" s="130">
        <v>128</v>
      </c>
      <c r="B137" s="1373"/>
      <c r="C137" s="1400"/>
      <c r="D137" s="1400"/>
      <c r="E137" s="1375" t="s">
        <v>1199</v>
      </c>
      <c r="F137" s="317"/>
      <c r="G137" s="317"/>
      <c r="H137" s="317"/>
      <c r="I137" s="1402"/>
      <c r="J137" s="1403">
        <f t="shared" si="32"/>
        <v>4642</v>
      </c>
      <c r="K137" s="360">
        <v>6000</v>
      </c>
      <c r="L137" s="360">
        <v>1000</v>
      </c>
      <c r="M137" s="360">
        <f>-2358</f>
        <v>-2358</v>
      </c>
      <c r="N137" s="360"/>
      <c r="O137" s="360"/>
      <c r="P137" s="360"/>
      <c r="Q137" s="360"/>
      <c r="R137" s="361"/>
      <c r="S137" s="155"/>
      <c r="T137" s="155"/>
      <c r="U137" s="155"/>
      <c r="V137" s="155"/>
      <c r="W137" s="155"/>
      <c r="X137" s="155"/>
      <c r="Y137" s="155"/>
      <c r="Z137" s="155"/>
      <c r="AA137" s="155"/>
      <c r="AB137" s="155"/>
      <c r="AC137" s="155"/>
      <c r="AD137" s="155"/>
      <c r="AE137" s="155"/>
    </row>
    <row r="138" spans="1:31" s="58" customFormat="1" ht="18" customHeight="1" x14ac:dyDescent="0.3">
      <c r="A138" s="130">
        <v>129</v>
      </c>
      <c r="B138" s="462"/>
      <c r="C138" s="1404"/>
      <c r="D138" s="1404"/>
      <c r="E138" s="346" t="s">
        <v>1151</v>
      </c>
      <c r="F138" s="1405"/>
      <c r="G138" s="1405"/>
      <c r="H138" s="1405"/>
      <c r="I138" s="1406"/>
      <c r="J138" s="356">
        <f t="shared" si="32"/>
        <v>149713</v>
      </c>
      <c r="K138" s="1407">
        <f>SUM(K133:K137)</f>
        <v>83545</v>
      </c>
      <c r="L138" s="1407">
        <f t="shared" ref="L138:P138" si="34">SUM(L133:L137)</f>
        <v>15144</v>
      </c>
      <c r="M138" s="1407">
        <f t="shared" si="34"/>
        <v>48942</v>
      </c>
      <c r="N138" s="1407"/>
      <c r="O138" s="1407"/>
      <c r="P138" s="1407">
        <f t="shared" si="34"/>
        <v>2082</v>
      </c>
      <c r="Q138" s="1407"/>
      <c r="R138" s="1408"/>
      <c r="S138" s="293"/>
      <c r="T138" s="293"/>
      <c r="U138" s="293"/>
      <c r="V138" s="293"/>
      <c r="W138" s="293"/>
      <c r="X138" s="293"/>
      <c r="Y138" s="293"/>
      <c r="Z138" s="293"/>
      <c r="AA138" s="293"/>
      <c r="AB138" s="293"/>
      <c r="AC138" s="293"/>
      <c r="AD138" s="293"/>
      <c r="AE138" s="293"/>
    </row>
    <row r="139" spans="1:31" s="55" customFormat="1" ht="18" customHeight="1" x14ac:dyDescent="0.3">
      <c r="A139" s="130">
        <v>130</v>
      </c>
      <c r="B139" s="1256"/>
      <c r="C139" s="1257"/>
      <c r="D139" s="1258" t="s">
        <v>910</v>
      </c>
      <c r="E139" s="1259"/>
      <c r="F139" s="1260"/>
      <c r="G139" s="158"/>
      <c r="H139" s="158"/>
      <c r="I139" s="1744"/>
      <c r="J139" s="364"/>
      <c r="K139" s="360"/>
      <c r="L139" s="360"/>
      <c r="M139" s="360"/>
      <c r="N139" s="360"/>
      <c r="O139" s="360"/>
      <c r="P139" s="360"/>
      <c r="Q139" s="360"/>
      <c r="R139" s="361"/>
      <c r="S139" s="155"/>
      <c r="T139" s="155"/>
      <c r="U139" s="155"/>
      <c r="V139" s="155"/>
      <c r="W139" s="155"/>
      <c r="X139" s="155"/>
      <c r="Y139" s="155"/>
      <c r="Z139" s="155"/>
      <c r="AA139" s="155"/>
      <c r="AB139" s="155"/>
      <c r="AC139" s="155"/>
      <c r="AD139" s="155"/>
      <c r="AE139" s="155"/>
    </row>
    <row r="140" spans="1:31" s="870" customFormat="1" ht="18" customHeight="1" x14ac:dyDescent="0.3">
      <c r="A140" s="130">
        <v>131</v>
      </c>
      <c r="B140" s="1194"/>
      <c r="C140" s="1196"/>
      <c r="D140" s="1196"/>
      <c r="E140" s="1261" t="s">
        <v>311</v>
      </c>
      <c r="F140" s="1262"/>
      <c r="G140" s="830"/>
      <c r="H140" s="830"/>
      <c r="I140" s="1745"/>
      <c r="J140" s="1198">
        <f>SUM(K140:R140)</f>
        <v>13610</v>
      </c>
      <c r="K140" s="1199">
        <v>11583</v>
      </c>
      <c r="L140" s="1199">
        <v>2027</v>
      </c>
      <c r="M140" s="1199"/>
      <c r="N140" s="1199"/>
      <c r="O140" s="1199"/>
      <c r="P140" s="1199"/>
      <c r="Q140" s="1199"/>
      <c r="R140" s="1200"/>
      <c r="S140" s="869"/>
      <c r="T140" s="869"/>
      <c r="U140" s="869"/>
      <c r="V140" s="869"/>
      <c r="W140" s="869"/>
      <c r="X140" s="869"/>
      <c r="Y140" s="869"/>
      <c r="Z140" s="869"/>
      <c r="AA140" s="869"/>
      <c r="AB140" s="869"/>
      <c r="AC140" s="869"/>
      <c r="AD140" s="869"/>
      <c r="AE140" s="869"/>
    </row>
    <row r="141" spans="1:31" s="870" customFormat="1" ht="18" customHeight="1" x14ac:dyDescent="0.3">
      <c r="A141" s="130">
        <v>132</v>
      </c>
      <c r="B141" s="1194"/>
      <c r="C141" s="1196"/>
      <c r="D141" s="1196"/>
      <c r="E141" s="1421" t="s">
        <v>1072</v>
      </c>
      <c r="F141" s="1262"/>
      <c r="G141" s="830"/>
      <c r="H141" s="830"/>
      <c r="I141" s="1745"/>
      <c r="J141" s="364">
        <f>SUM(K141:R141)</f>
        <v>0</v>
      </c>
      <c r="K141" s="1423">
        <v>0</v>
      </c>
      <c r="L141" s="1423">
        <v>0</v>
      </c>
      <c r="M141" s="1199"/>
      <c r="N141" s="1199"/>
      <c r="O141" s="1199"/>
      <c r="P141" s="1199"/>
      <c r="Q141" s="1199"/>
      <c r="R141" s="1200"/>
      <c r="S141" s="869"/>
      <c r="T141" s="869"/>
      <c r="U141" s="869"/>
      <c r="V141" s="869"/>
      <c r="W141" s="869"/>
      <c r="X141" s="869"/>
      <c r="Y141" s="869"/>
      <c r="Z141" s="869"/>
      <c r="AA141" s="869"/>
      <c r="AB141" s="869"/>
      <c r="AC141" s="869"/>
      <c r="AD141" s="869"/>
      <c r="AE141" s="869"/>
    </row>
    <row r="142" spans="1:31" s="55" customFormat="1" ht="18" customHeight="1" x14ac:dyDescent="0.3">
      <c r="A142" s="130">
        <v>133</v>
      </c>
      <c r="B142" s="1373"/>
      <c r="C142" s="1400"/>
      <c r="D142" s="1400"/>
      <c r="E142" s="1419" t="s">
        <v>986</v>
      </c>
      <c r="F142" s="317"/>
      <c r="G142" s="317"/>
      <c r="H142" s="317"/>
      <c r="I142" s="1402"/>
      <c r="J142" s="1403">
        <f>SUM(K142:R142)</f>
        <v>0</v>
      </c>
      <c r="K142" s="360"/>
      <c r="L142" s="360"/>
      <c r="M142" s="360"/>
      <c r="N142" s="360"/>
      <c r="O142" s="360"/>
      <c r="P142" s="360"/>
      <c r="Q142" s="360"/>
      <c r="R142" s="361"/>
      <c r="S142" s="155"/>
      <c r="T142" s="155"/>
      <c r="U142" s="155"/>
      <c r="V142" s="155"/>
      <c r="W142" s="155"/>
      <c r="X142" s="155"/>
      <c r="Y142" s="155"/>
      <c r="Z142" s="155"/>
      <c r="AA142" s="155"/>
      <c r="AB142" s="155"/>
      <c r="AC142" s="155"/>
      <c r="AD142" s="155"/>
      <c r="AE142" s="155"/>
    </row>
    <row r="143" spans="1:31" s="59" customFormat="1" ht="18" customHeight="1" x14ac:dyDescent="0.3">
      <c r="A143" s="130">
        <v>134</v>
      </c>
      <c r="B143" s="357"/>
      <c r="C143" s="1420"/>
      <c r="D143" s="1420"/>
      <c r="E143" s="1421" t="s">
        <v>1151</v>
      </c>
      <c r="F143" s="1422"/>
      <c r="G143" s="1422"/>
      <c r="H143" s="1422"/>
      <c r="I143" s="1746"/>
      <c r="J143" s="364">
        <f>SUM(K143:R143)</f>
        <v>0</v>
      </c>
      <c r="K143" s="1423">
        <f>SUM(K141:K142)</f>
        <v>0</v>
      </c>
      <c r="L143" s="1423">
        <f>SUM(L141:L142)</f>
        <v>0</v>
      </c>
      <c r="M143" s="1423"/>
      <c r="N143" s="1423"/>
      <c r="O143" s="1423"/>
      <c r="P143" s="1423"/>
      <c r="Q143" s="1423"/>
      <c r="R143" s="1424"/>
      <c r="S143" s="358"/>
      <c r="T143" s="358"/>
      <c r="U143" s="358"/>
      <c r="V143" s="358"/>
      <c r="W143" s="358"/>
      <c r="X143" s="358"/>
      <c r="Y143" s="358"/>
      <c r="Z143" s="358"/>
      <c r="AA143" s="358"/>
      <c r="AB143" s="358"/>
      <c r="AC143" s="358"/>
      <c r="AD143" s="358"/>
      <c r="AE143" s="358"/>
    </row>
    <row r="144" spans="1:31" s="55" customFormat="1" ht="22.5" customHeight="1" x14ac:dyDescent="0.3">
      <c r="A144" s="130">
        <v>135</v>
      </c>
      <c r="B144" s="310">
        <v>12</v>
      </c>
      <c r="C144" s="705"/>
      <c r="D144" s="346" t="s">
        <v>25</v>
      </c>
      <c r="E144" s="346"/>
      <c r="F144" s="455" t="s">
        <v>23</v>
      </c>
      <c r="G144" s="121">
        <v>444070</v>
      </c>
      <c r="H144" s="121">
        <v>403206</v>
      </c>
      <c r="I144" s="354">
        <v>440640</v>
      </c>
      <c r="J144" s="364"/>
      <c r="K144" s="121"/>
      <c r="L144" s="121"/>
      <c r="M144" s="121"/>
      <c r="N144" s="121"/>
      <c r="O144" s="121"/>
      <c r="P144" s="121"/>
      <c r="Q144" s="121"/>
      <c r="R144" s="135"/>
      <c r="S144" s="155"/>
      <c r="T144" s="155"/>
      <c r="U144" s="155"/>
      <c r="V144" s="155"/>
      <c r="W144" s="155"/>
      <c r="X144" s="155"/>
      <c r="Y144" s="155"/>
      <c r="Z144" s="155"/>
      <c r="AA144" s="155"/>
      <c r="AB144" s="155"/>
      <c r="AC144" s="155"/>
      <c r="AD144" s="155"/>
      <c r="AE144" s="155"/>
    </row>
    <row r="145" spans="1:31" s="870" customFormat="1" ht="18" customHeight="1" x14ac:dyDescent="0.3">
      <c r="A145" s="130">
        <v>136</v>
      </c>
      <c r="B145" s="807"/>
      <c r="C145" s="851"/>
      <c r="D145" s="851"/>
      <c r="E145" s="852" t="s">
        <v>311</v>
      </c>
      <c r="F145" s="829"/>
      <c r="G145" s="829"/>
      <c r="H145" s="829"/>
      <c r="I145" s="853"/>
      <c r="J145" s="854">
        <f t="shared" ref="J145:J152" si="35">SUM(K145:R145)</f>
        <v>411904</v>
      </c>
      <c r="K145" s="855">
        <f>171809-11583+11583</f>
        <v>171809</v>
      </c>
      <c r="L145" s="855">
        <f>30653-2027+2027</f>
        <v>30653</v>
      </c>
      <c r="M145" s="855">
        <v>193442</v>
      </c>
      <c r="N145" s="855"/>
      <c r="O145" s="855"/>
      <c r="P145" s="855">
        <v>16000</v>
      </c>
      <c r="Q145" s="855"/>
      <c r="R145" s="856"/>
      <c r="S145" s="869"/>
      <c r="T145" s="869"/>
      <c r="U145" s="869"/>
      <c r="V145" s="869"/>
      <c r="W145" s="869"/>
      <c r="X145" s="869"/>
      <c r="Y145" s="869"/>
      <c r="Z145" s="869"/>
      <c r="AA145" s="869"/>
      <c r="AB145" s="869"/>
      <c r="AC145" s="869"/>
      <c r="AD145" s="869"/>
      <c r="AE145" s="869"/>
    </row>
    <row r="146" spans="1:31" s="870" customFormat="1" ht="18" customHeight="1" x14ac:dyDescent="0.3">
      <c r="A146" s="130">
        <v>137</v>
      </c>
      <c r="B146" s="807"/>
      <c r="C146" s="851"/>
      <c r="D146" s="851"/>
      <c r="E146" s="692" t="s">
        <v>1072</v>
      </c>
      <c r="F146" s="829"/>
      <c r="G146" s="829"/>
      <c r="H146" s="829"/>
      <c r="I146" s="853"/>
      <c r="J146" s="356">
        <f t="shared" si="35"/>
        <v>442624</v>
      </c>
      <c r="K146" s="1407">
        <v>182329</v>
      </c>
      <c r="L146" s="1407">
        <v>32572</v>
      </c>
      <c r="M146" s="1407">
        <v>157720</v>
      </c>
      <c r="N146" s="1407"/>
      <c r="O146" s="1407"/>
      <c r="P146" s="1407">
        <v>70003</v>
      </c>
      <c r="Q146" s="855"/>
      <c r="R146" s="856"/>
      <c r="S146" s="869"/>
      <c r="T146" s="869"/>
      <c r="U146" s="869"/>
      <c r="V146" s="869"/>
      <c r="W146" s="869"/>
      <c r="X146" s="869"/>
      <c r="Y146" s="869"/>
      <c r="Z146" s="869"/>
      <c r="AA146" s="869"/>
      <c r="AB146" s="869"/>
      <c r="AC146" s="869"/>
      <c r="AD146" s="869"/>
      <c r="AE146" s="869"/>
    </row>
    <row r="147" spans="1:31" s="55" customFormat="1" ht="18" customHeight="1" x14ac:dyDescent="0.3">
      <c r="A147" s="130">
        <v>138</v>
      </c>
      <c r="B147" s="1373"/>
      <c r="C147" s="1400"/>
      <c r="D147" s="1400"/>
      <c r="E147" s="1375" t="s">
        <v>1216</v>
      </c>
      <c r="F147" s="317"/>
      <c r="G147" s="317"/>
      <c r="H147" s="317"/>
      <c r="I147" s="1402"/>
      <c r="J147" s="1403">
        <f t="shared" si="35"/>
        <v>24</v>
      </c>
      <c r="K147" s="360">
        <v>21</v>
      </c>
      <c r="L147" s="360">
        <v>3</v>
      </c>
      <c r="M147" s="360"/>
      <c r="N147" s="360"/>
      <c r="O147" s="360"/>
      <c r="P147" s="360"/>
      <c r="Q147" s="360"/>
      <c r="R147" s="361"/>
      <c r="S147" s="155"/>
      <c r="T147" s="155"/>
      <c r="U147" s="155"/>
      <c r="V147" s="155"/>
      <c r="W147" s="155"/>
      <c r="X147" s="155"/>
      <c r="Y147" s="155"/>
      <c r="Z147" s="155"/>
      <c r="AA147" s="155"/>
      <c r="AB147" s="155"/>
      <c r="AC147" s="155"/>
      <c r="AD147" s="155"/>
      <c r="AE147" s="155"/>
    </row>
    <row r="148" spans="1:31" s="55" customFormat="1" ht="18" customHeight="1" x14ac:dyDescent="0.3">
      <c r="A148" s="130">
        <v>139</v>
      </c>
      <c r="B148" s="1373"/>
      <c r="C148" s="1400"/>
      <c r="D148" s="1400"/>
      <c r="E148" s="1375" t="s">
        <v>1217</v>
      </c>
      <c r="F148" s="317"/>
      <c r="G148" s="317"/>
      <c r="H148" s="317"/>
      <c r="I148" s="1402"/>
      <c r="J148" s="1403">
        <f t="shared" si="35"/>
        <v>1255</v>
      </c>
      <c r="K148" s="360">
        <v>1086</v>
      </c>
      <c r="L148" s="360">
        <v>169</v>
      </c>
      <c r="M148" s="360"/>
      <c r="N148" s="360"/>
      <c r="O148" s="360"/>
      <c r="P148" s="360"/>
      <c r="Q148" s="360"/>
      <c r="R148" s="361"/>
      <c r="S148" s="155"/>
      <c r="T148" s="155"/>
      <c r="U148" s="155"/>
      <c r="V148" s="155"/>
      <c r="W148" s="155"/>
      <c r="X148" s="155"/>
      <c r="Y148" s="155"/>
      <c r="Z148" s="155"/>
      <c r="AA148" s="155"/>
      <c r="AB148" s="155"/>
      <c r="AC148" s="155"/>
      <c r="AD148" s="155"/>
      <c r="AE148" s="155"/>
    </row>
    <row r="149" spans="1:31" s="55" customFormat="1" ht="18" customHeight="1" x14ac:dyDescent="0.3">
      <c r="A149" s="130">
        <v>140</v>
      </c>
      <c r="B149" s="1373"/>
      <c r="C149" s="1400"/>
      <c r="D149" s="1400"/>
      <c r="E149" s="1401" t="s">
        <v>1177</v>
      </c>
      <c r="F149" s="317"/>
      <c r="G149" s="317"/>
      <c r="H149" s="317"/>
      <c r="I149" s="1402"/>
      <c r="J149" s="1403">
        <f t="shared" si="35"/>
        <v>486</v>
      </c>
      <c r="K149" s="360">
        <v>421</v>
      </c>
      <c r="L149" s="360">
        <v>65</v>
      </c>
      <c r="M149" s="360"/>
      <c r="N149" s="360"/>
      <c r="O149" s="360"/>
      <c r="P149" s="360"/>
      <c r="Q149" s="360"/>
      <c r="R149" s="361"/>
      <c r="S149" s="155"/>
      <c r="T149" s="155"/>
      <c r="U149" s="155"/>
      <c r="V149" s="155"/>
      <c r="W149" s="155"/>
      <c r="X149" s="155"/>
      <c r="Y149" s="155"/>
      <c r="Z149" s="155"/>
      <c r="AA149" s="155"/>
      <c r="AB149" s="155"/>
      <c r="AC149" s="155"/>
      <c r="AD149" s="155"/>
      <c r="AE149" s="155"/>
    </row>
    <row r="150" spans="1:31" s="55" customFormat="1" ht="18" customHeight="1" x14ac:dyDescent="0.3">
      <c r="A150" s="130">
        <v>141</v>
      </c>
      <c r="B150" s="1373"/>
      <c r="C150" s="1400"/>
      <c r="D150" s="1400"/>
      <c r="E150" s="1401" t="s">
        <v>1201</v>
      </c>
      <c r="F150" s="317"/>
      <c r="G150" s="317"/>
      <c r="H150" s="317"/>
      <c r="I150" s="1402"/>
      <c r="J150" s="1403">
        <f t="shared" si="35"/>
        <v>0</v>
      </c>
      <c r="K150" s="360">
        <f>2060+2000</f>
        <v>4060</v>
      </c>
      <c r="L150" s="360">
        <f>500+309</f>
        <v>809</v>
      </c>
      <c r="M150" s="360">
        <f>-2060-2000-500-309</f>
        <v>-4869</v>
      </c>
      <c r="N150" s="360"/>
      <c r="O150" s="360"/>
      <c r="P150" s="360"/>
      <c r="Q150" s="360"/>
      <c r="R150" s="361"/>
      <c r="S150" s="155"/>
      <c r="T150" s="155"/>
      <c r="U150" s="155"/>
      <c r="V150" s="155"/>
      <c r="W150" s="155"/>
      <c r="X150" s="155"/>
      <c r="Y150" s="155"/>
      <c r="Z150" s="155"/>
      <c r="AA150" s="155"/>
      <c r="AB150" s="155"/>
      <c r="AC150" s="155"/>
      <c r="AD150" s="155"/>
      <c r="AE150" s="155"/>
    </row>
    <row r="151" spans="1:31" s="55" customFormat="1" ht="18" customHeight="1" x14ac:dyDescent="0.3">
      <c r="A151" s="130">
        <v>142</v>
      </c>
      <c r="B151" s="1373"/>
      <c r="C151" s="1400"/>
      <c r="D151" s="1400"/>
      <c r="E151" s="1401" t="s">
        <v>1202</v>
      </c>
      <c r="F151" s="317"/>
      <c r="G151" s="317"/>
      <c r="H151" s="317"/>
      <c r="I151" s="1402"/>
      <c r="J151" s="1403">
        <f t="shared" si="35"/>
        <v>7201</v>
      </c>
      <c r="K151" s="360"/>
      <c r="L151" s="360"/>
      <c r="M151" s="360">
        <v>-2050</v>
      </c>
      <c r="N151" s="360"/>
      <c r="O151" s="360"/>
      <c r="P151" s="360">
        <v>9251</v>
      </c>
      <c r="Q151" s="360"/>
      <c r="R151" s="361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</row>
    <row r="152" spans="1:31" s="58" customFormat="1" ht="18" customHeight="1" x14ac:dyDescent="0.3">
      <c r="A152" s="130">
        <v>143</v>
      </c>
      <c r="B152" s="462"/>
      <c r="C152" s="1404"/>
      <c r="D152" s="1404"/>
      <c r="E152" s="346" t="s">
        <v>1151</v>
      </c>
      <c r="F152" s="1405"/>
      <c r="G152" s="1405"/>
      <c r="H152" s="1405"/>
      <c r="I152" s="1406"/>
      <c r="J152" s="356">
        <f t="shared" si="35"/>
        <v>451590</v>
      </c>
      <c r="K152" s="1407">
        <f>SUM(K146:K151)</f>
        <v>187917</v>
      </c>
      <c r="L152" s="1407">
        <f t="shared" ref="L152:P152" si="36">SUM(L146:L151)</f>
        <v>33618</v>
      </c>
      <c r="M152" s="1407">
        <f t="shared" si="36"/>
        <v>150801</v>
      </c>
      <c r="N152" s="1407"/>
      <c r="O152" s="1407"/>
      <c r="P152" s="1407">
        <f t="shared" si="36"/>
        <v>79254</v>
      </c>
      <c r="Q152" s="1407"/>
      <c r="R152" s="1408"/>
      <c r="S152" s="293"/>
      <c r="T152" s="293"/>
      <c r="U152" s="293"/>
      <c r="V152" s="293"/>
      <c r="W152" s="293"/>
      <c r="X152" s="293"/>
      <c r="Y152" s="293"/>
      <c r="Z152" s="293"/>
      <c r="AA152" s="293"/>
      <c r="AB152" s="293"/>
      <c r="AC152" s="293"/>
      <c r="AD152" s="293"/>
      <c r="AE152" s="293"/>
    </row>
    <row r="153" spans="1:31" s="55" customFormat="1" ht="18" customHeight="1" x14ac:dyDescent="0.3">
      <c r="A153" s="130">
        <v>144</v>
      </c>
      <c r="B153" s="1256"/>
      <c r="C153" s="1257"/>
      <c r="D153" s="1258" t="s">
        <v>910</v>
      </c>
      <c r="E153" s="1259"/>
      <c r="F153" s="1260"/>
      <c r="G153" s="158"/>
      <c r="H153" s="158"/>
      <c r="I153" s="1744"/>
      <c r="J153" s="364"/>
      <c r="K153" s="360"/>
      <c r="L153" s="360"/>
      <c r="M153" s="360"/>
      <c r="N153" s="360"/>
      <c r="O153" s="360"/>
      <c r="P153" s="360"/>
      <c r="Q153" s="360"/>
      <c r="R153" s="361"/>
      <c r="S153" s="155"/>
      <c r="T153" s="155"/>
      <c r="U153" s="155"/>
      <c r="V153" s="155"/>
      <c r="W153" s="155"/>
      <c r="X153" s="155"/>
      <c r="Y153" s="155"/>
      <c r="Z153" s="155"/>
      <c r="AA153" s="155"/>
      <c r="AB153" s="155"/>
      <c r="AC153" s="155"/>
      <c r="AD153" s="155"/>
      <c r="AE153" s="155"/>
    </row>
    <row r="154" spans="1:31" s="870" customFormat="1" ht="18" customHeight="1" x14ac:dyDescent="0.3">
      <c r="A154" s="130">
        <v>145</v>
      </c>
      <c r="B154" s="1194"/>
      <c r="C154" s="1196"/>
      <c r="D154" s="1196"/>
      <c r="E154" s="1261" t="s">
        <v>311</v>
      </c>
      <c r="F154" s="1262"/>
      <c r="G154" s="830"/>
      <c r="H154" s="830"/>
      <c r="I154" s="1745"/>
      <c r="J154" s="1198">
        <f>SUM(K154:R154)</f>
        <v>13610</v>
      </c>
      <c r="K154" s="1199">
        <v>11583</v>
      </c>
      <c r="L154" s="1199">
        <v>2027</v>
      </c>
      <c r="M154" s="1199"/>
      <c r="N154" s="1199"/>
      <c r="O154" s="1199"/>
      <c r="P154" s="1199"/>
      <c r="Q154" s="1199"/>
      <c r="R154" s="1200"/>
      <c r="S154" s="869"/>
      <c r="T154" s="869"/>
      <c r="U154" s="869"/>
      <c r="V154" s="869"/>
      <c r="W154" s="869"/>
      <c r="X154" s="869"/>
      <c r="Y154" s="869"/>
      <c r="Z154" s="869"/>
      <c r="AA154" s="869"/>
      <c r="AB154" s="869"/>
      <c r="AC154" s="869"/>
      <c r="AD154" s="869"/>
      <c r="AE154" s="869"/>
    </row>
    <row r="155" spans="1:31" s="870" customFormat="1" ht="18" customHeight="1" x14ac:dyDescent="0.3">
      <c r="A155" s="130">
        <v>146</v>
      </c>
      <c r="B155" s="1194"/>
      <c r="C155" s="1196"/>
      <c r="D155" s="1196"/>
      <c r="E155" s="1421" t="s">
        <v>1072</v>
      </c>
      <c r="F155" s="1262"/>
      <c r="G155" s="830"/>
      <c r="H155" s="830"/>
      <c r="I155" s="1745"/>
      <c r="J155" s="364">
        <f>SUM(K155:R155)</f>
        <v>0</v>
      </c>
      <c r="K155" s="1423">
        <v>0</v>
      </c>
      <c r="L155" s="1423">
        <v>0</v>
      </c>
      <c r="M155" s="1199"/>
      <c r="N155" s="1199"/>
      <c r="O155" s="1199"/>
      <c r="P155" s="1199"/>
      <c r="Q155" s="1199"/>
      <c r="R155" s="1200"/>
      <c r="S155" s="869"/>
      <c r="T155" s="869"/>
      <c r="U155" s="869"/>
      <c r="V155" s="869"/>
      <c r="W155" s="869"/>
      <c r="X155" s="869"/>
      <c r="Y155" s="869"/>
      <c r="Z155" s="869"/>
      <c r="AA155" s="869"/>
      <c r="AB155" s="869"/>
      <c r="AC155" s="869"/>
      <c r="AD155" s="869"/>
      <c r="AE155" s="869"/>
    </row>
    <row r="156" spans="1:31" s="55" customFormat="1" ht="18" customHeight="1" x14ac:dyDescent="0.3">
      <c r="A156" s="130">
        <v>147</v>
      </c>
      <c r="B156" s="1373"/>
      <c r="C156" s="1400"/>
      <c r="D156" s="1400"/>
      <c r="E156" s="1419" t="s">
        <v>986</v>
      </c>
      <c r="F156" s="317"/>
      <c r="G156" s="317"/>
      <c r="H156" s="317"/>
      <c r="I156" s="1402"/>
      <c r="J156" s="1403">
        <f>SUM(K156:R156)</f>
        <v>0</v>
      </c>
      <c r="K156" s="360"/>
      <c r="L156" s="360"/>
      <c r="M156" s="360"/>
      <c r="N156" s="360"/>
      <c r="O156" s="360"/>
      <c r="P156" s="360"/>
      <c r="Q156" s="360"/>
      <c r="R156" s="361"/>
      <c r="S156" s="155"/>
      <c r="T156" s="155"/>
      <c r="U156" s="155"/>
      <c r="V156" s="155"/>
      <c r="W156" s="155"/>
      <c r="X156" s="155"/>
      <c r="Y156" s="155"/>
      <c r="Z156" s="155"/>
      <c r="AA156" s="155"/>
      <c r="AB156" s="155"/>
      <c r="AC156" s="155"/>
      <c r="AD156" s="155"/>
      <c r="AE156" s="155"/>
    </row>
    <row r="157" spans="1:31" s="59" customFormat="1" ht="18" customHeight="1" x14ac:dyDescent="0.3">
      <c r="A157" s="130">
        <v>148</v>
      </c>
      <c r="B157" s="357"/>
      <c r="C157" s="1420"/>
      <c r="D157" s="1420"/>
      <c r="E157" s="1421" t="s">
        <v>1151</v>
      </c>
      <c r="F157" s="1422"/>
      <c r="G157" s="1422"/>
      <c r="H157" s="1422"/>
      <c r="I157" s="1746"/>
      <c r="J157" s="364">
        <f>SUM(K157:R157)</f>
        <v>0</v>
      </c>
      <c r="K157" s="1423">
        <f>SUM(K155:K156)</f>
        <v>0</v>
      </c>
      <c r="L157" s="1423">
        <f>SUM(L155:L156)</f>
        <v>0</v>
      </c>
      <c r="M157" s="1423"/>
      <c r="N157" s="1423"/>
      <c r="O157" s="1423"/>
      <c r="P157" s="1423"/>
      <c r="Q157" s="1423"/>
      <c r="R157" s="1424"/>
      <c r="S157" s="358"/>
      <c r="T157" s="358"/>
      <c r="U157" s="358"/>
      <c r="V157" s="358"/>
      <c r="W157" s="358"/>
      <c r="X157" s="358"/>
      <c r="Y157" s="358"/>
      <c r="Z157" s="358"/>
      <c r="AA157" s="358"/>
      <c r="AB157" s="358"/>
      <c r="AC157" s="358"/>
      <c r="AD157" s="358"/>
      <c r="AE157" s="358"/>
    </row>
    <row r="158" spans="1:31" s="51" customFormat="1" ht="18" customHeight="1" x14ac:dyDescent="0.3">
      <c r="A158" s="130">
        <v>149</v>
      </c>
      <c r="B158" s="314"/>
      <c r="C158" s="705">
        <v>1</v>
      </c>
      <c r="D158" s="1056" t="s">
        <v>152</v>
      </c>
      <c r="E158" s="1056"/>
      <c r="F158" s="458"/>
      <c r="G158" s="121">
        <v>657</v>
      </c>
      <c r="H158" s="121"/>
      <c r="I158" s="1747"/>
      <c r="J158" s="364"/>
      <c r="K158" s="349"/>
      <c r="L158" s="349"/>
      <c r="M158" s="349"/>
      <c r="N158" s="360"/>
      <c r="O158" s="360"/>
      <c r="P158" s="360"/>
      <c r="Q158" s="360"/>
      <c r="R158" s="361"/>
      <c r="S158" s="60"/>
      <c r="T158" s="60"/>
      <c r="U158" s="60"/>
      <c r="V158" s="60"/>
      <c r="W158" s="60"/>
      <c r="X158" s="60"/>
      <c r="Y158" s="60"/>
      <c r="Z158" s="60"/>
      <c r="AA158" s="60"/>
      <c r="AB158" s="60"/>
      <c r="AC158" s="60"/>
      <c r="AD158" s="60"/>
      <c r="AE158" s="60"/>
    </row>
    <row r="159" spans="1:31" s="51" customFormat="1" ht="18" customHeight="1" x14ac:dyDescent="0.3">
      <c r="A159" s="130">
        <v>150</v>
      </c>
      <c r="B159" s="314"/>
      <c r="C159" s="705">
        <v>2</v>
      </c>
      <c r="D159" s="1056" t="s">
        <v>651</v>
      </c>
      <c r="E159" s="1056"/>
      <c r="F159" s="458"/>
      <c r="G159" s="121"/>
      <c r="H159" s="121"/>
      <c r="I159" s="1747">
        <v>2096</v>
      </c>
      <c r="J159" s="364"/>
      <c r="K159" s="349"/>
      <c r="L159" s="349"/>
      <c r="M159" s="349"/>
      <c r="N159" s="360"/>
      <c r="O159" s="360"/>
      <c r="P159" s="360"/>
      <c r="Q159" s="360"/>
      <c r="R159" s="361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0"/>
      <c r="AD159" s="60"/>
      <c r="AE159" s="60"/>
    </row>
    <row r="160" spans="1:31" s="870" customFormat="1" ht="18" customHeight="1" x14ac:dyDescent="0.3">
      <c r="A160" s="130">
        <v>151</v>
      </c>
      <c r="B160" s="807"/>
      <c r="C160" s="851"/>
      <c r="D160" s="851"/>
      <c r="E160" s="866" t="s">
        <v>311</v>
      </c>
      <c r="F160" s="867"/>
      <c r="G160" s="829"/>
      <c r="H160" s="829"/>
      <c r="I160" s="853"/>
      <c r="J160" s="854">
        <f>SUM(K160:R160)</f>
        <v>55574</v>
      </c>
      <c r="K160" s="855">
        <v>13419</v>
      </c>
      <c r="L160" s="855">
        <v>2395</v>
      </c>
      <c r="M160" s="855">
        <v>37360</v>
      </c>
      <c r="N160" s="855"/>
      <c r="O160" s="855"/>
      <c r="P160" s="855">
        <v>2400</v>
      </c>
      <c r="Q160" s="855"/>
      <c r="R160" s="856"/>
      <c r="S160" s="869"/>
      <c r="T160" s="869"/>
      <c r="U160" s="869"/>
      <c r="V160" s="869"/>
      <c r="W160" s="869"/>
      <c r="X160" s="869"/>
      <c r="Y160" s="869"/>
      <c r="Z160" s="869"/>
      <c r="AA160" s="869"/>
      <c r="AB160" s="869"/>
      <c r="AC160" s="869"/>
      <c r="AD160" s="869"/>
      <c r="AE160" s="869"/>
    </row>
    <row r="161" spans="1:31" s="870" customFormat="1" ht="18" customHeight="1" x14ac:dyDescent="0.3">
      <c r="A161" s="130">
        <v>152</v>
      </c>
      <c r="B161" s="807"/>
      <c r="C161" s="851"/>
      <c r="D161" s="851"/>
      <c r="E161" s="346" t="s">
        <v>1072</v>
      </c>
      <c r="F161" s="867"/>
      <c r="G161" s="829"/>
      <c r="H161" s="829"/>
      <c r="I161" s="853"/>
      <c r="J161" s="356">
        <f>SUM(K161:R161)</f>
        <v>55491</v>
      </c>
      <c r="K161" s="1407">
        <v>13365</v>
      </c>
      <c r="L161" s="1407">
        <v>2366</v>
      </c>
      <c r="M161" s="1407">
        <v>37360</v>
      </c>
      <c r="N161" s="1407"/>
      <c r="O161" s="1407"/>
      <c r="P161" s="1407">
        <v>2400</v>
      </c>
      <c r="Q161" s="855"/>
      <c r="R161" s="856"/>
      <c r="S161" s="869"/>
      <c r="T161" s="869"/>
      <c r="U161" s="869"/>
      <c r="V161" s="869"/>
      <c r="W161" s="869"/>
      <c r="X161" s="869"/>
      <c r="Y161" s="869"/>
      <c r="Z161" s="869"/>
      <c r="AA161" s="869"/>
      <c r="AB161" s="869"/>
      <c r="AC161" s="869"/>
      <c r="AD161" s="869"/>
      <c r="AE161" s="869"/>
    </row>
    <row r="162" spans="1:31" s="55" customFormat="1" ht="18" customHeight="1" x14ac:dyDescent="0.3">
      <c r="A162" s="130">
        <v>153</v>
      </c>
      <c r="B162" s="1373"/>
      <c r="C162" s="1400"/>
      <c r="D162" s="1400"/>
      <c r="E162" s="1401" t="s">
        <v>986</v>
      </c>
      <c r="F162" s="317"/>
      <c r="G162" s="317"/>
      <c r="H162" s="317"/>
      <c r="I162" s="1402"/>
      <c r="J162" s="1403">
        <f>SUM(K162:R162)</f>
        <v>0</v>
      </c>
      <c r="K162" s="360"/>
      <c r="L162" s="360"/>
      <c r="M162" s="360"/>
      <c r="N162" s="360"/>
      <c r="O162" s="360"/>
      <c r="P162" s="360"/>
      <c r="Q162" s="360"/>
      <c r="R162" s="361"/>
      <c r="S162" s="155"/>
      <c r="T162" s="155"/>
      <c r="U162" s="155"/>
      <c r="V162" s="155"/>
      <c r="W162" s="155"/>
      <c r="X162" s="155"/>
      <c r="Y162" s="155"/>
      <c r="Z162" s="155"/>
      <c r="AA162" s="155"/>
      <c r="AB162" s="155"/>
      <c r="AC162" s="155"/>
      <c r="AD162" s="155"/>
      <c r="AE162" s="155"/>
    </row>
    <row r="163" spans="1:31" s="58" customFormat="1" ht="18" customHeight="1" x14ac:dyDescent="0.3">
      <c r="A163" s="130">
        <v>154</v>
      </c>
      <c r="B163" s="462"/>
      <c r="C163" s="1404"/>
      <c r="D163" s="1404"/>
      <c r="E163" s="346" t="s">
        <v>1151</v>
      </c>
      <c r="F163" s="1405"/>
      <c r="G163" s="1405"/>
      <c r="H163" s="1405"/>
      <c r="I163" s="1406"/>
      <c r="J163" s="356">
        <f>SUM(K163:R163)</f>
        <v>55491</v>
      </c>
      <c r="K163" s="1407">
        <f>SUM(K161:K162)</f>
        <v>13365</v>
      </c>
      <c r="L163" s="1407">
        <f t="shared" ref="L163:P163" si="37">SUM(L161:L162)</f>
        <v>2366</v>
      </c>
      <c r="M163" s="1407">
        <f t="shared" si="37"/>
        <v>37360</v>
      </c>
      <c r="N163" s="1407"/>
      <c r="O163" s="1407"/>
      <c r="P163" s="1407">
        <f t="shared" si="37"/>
        <v>2400</v>
      </c>
      <c r="Q163" s="1407"/>
      <c r="R163" s="1408"/>
      <c r="S163" s="293"/>
      <c r="T163" s="293"/>
      <c r="U163" s="293"/>
      <c r="V163" s="293"/>
      <c r="W163" s="293"/>
      <c r="X163" s="293"/>
      <c r="Y163" s="293"/>
      <c r="Z163" s="293"/>
      <c r="AA163" s="293"/>
      <c r="AB163" s="293"/>
      <c r="AC163" s="293"/>
      <c r="AD163" s="293"/>
      <c r="AE163" s="293"/>
    </row>
    <row r="164" spans="1:31" s="51" customFormat="1" ht="22.5" customHeight="1" x14ac:dyDescent="0.3">
      <c r="A164" s="130">
        <v>155</v>
      </c>
      <c r="B164" s="310">
        <v>13</v>
      </c>
      <c r="C164" s="705"/>
      <c r="D164" s="346" t="s">
        <v>34</v>
      </c>
      <c r="E164" s="346"/>
      <c r="F164" s="455" t="s">
        <v>23</v>
      </c>
      <c r="G164" s="121">
        <v>323649</v>
      </c>
      <c r="H164" s="121">
        <v>332350</v>
      </c>
      <c r="I164" s="354">
        <v>433574</v>
      </c>
      <c r="J164" s="364"/>
      <c r="K164" s="121"/>
      <c r="L164" s="121"/>
      <c r="M164" s="121"/>
      <c r="N164" s="121"/>
      <c r="O164" s="121"/>
      <c r="P164" s="121"/>
      <c r="Q164" s="121"/>
      <c r="R164" s="135"/>
      <c r="S164" s="60"/>
      <c r="T164" s="60"/>
      <c r="U164" s="60"/>
      <c r="V164" s="60"/>
      <c r="W164" s="60"/>
      <c r="X164" s="60"/>
      <c r="Y164" s="60"/>
      <c r="Z164" s="60"/>
      <c r="AA164" s="60"/>
      <c r="AB164" s="60"/>
      <c r="AC164" s="60"/>
      <c r="AD164" s="60"/>
      <c r="AE164" s="60"/>
    </row>
    <row r="165" spans="1:31" s="870" customFormat="1" ht="18" customHeight="1" x14ac:dyDescent="0.3">
      <c r="A165" s="130">
        <v>156</v>
      </c>
      <c r="B165" s="807"/>
      <c r="C165" s="851"/>
      <c r="D165" s="851"/>
      <c r="E165" s="852" t="s">
        <v>311</v>
      </c>
      <c r="F165" s="829"/>
      <c r="G165" s="829"/>
      <c r="H165" s="829"/>
      <c r="I165" s="853"/>
      <c r="J165" s="854">
        <f t="shared" ref="J165:J170" si="38">SUM(K165:R165)</f>
        <v>406719</v>
      </c>
      <c r="K165" s="855">
        <f>189840-11583+11583</f>
        <v>189840</v>
      </c>
      <c r="L165" s="855">
        <f>38341-2027+2027</f>
        <v>38341</v>
      </c>
      <c r="M165" s="855">
        <v>177160</v>
      </c>
      <c r="N165" s="855"/>
      <c r="O165" s="855">
        <v>178</v>
      </c>
      <c r="P165" s="855">
        <v>1200</v>
      </c>
      <c r="Q165" s="855"/>
      <c r="R165" s="856"/>
      <c r="S165" s="869"/>
      <c r="T165" s="869"/>
      <c r="U165" s="869"/>
      <c r="V165" s="869"/>
      <c r="W165" s="869"/>
      <c r="X165" s="869"/>
      <c r="Y165" s="869"/>
      <c r="Z165" s="869"/>
      <c r="AA165" s="869"/>
      <c r="AB165" s="869"/>
      <c r="AC165" s="869"/>
      <c r="AD165" s="869"/>
      <c r="AE165" s="869"/>
    </row>
    <row r="166" spans="1:31" s="870" customFormat="1" ht="18" customHeight="1" x14ac:dyDescent="0.3">
      <c r="A166" s="130">
        <v>157</v>
      </c>
      <c r="B166" s="807"/>
      <c r="C166" s="851"/>
      <c r="D166" s="851"/>
      <c r="E166" s="692" t="s">
        <v>1072</v>
      </c>
      <c r="F166" s="829"/>
      <c r="G166" s="829"/>
      <c r="H166" s="829"/>
      <c r="I166" s="853"/>
      <c r="J166" s="356">
        <f t="shared" si="38"/>
        <v>453166</v>
      </c>
      <c r="K166" s="1407">
        <v>197866</v>
      </c>
      <c r="L166" s="1407">
        <v>39686</v>
      </c>
      <c r="M166" s="1407">
        <v>207157</v>
      </c>
      <c r="N166" s="1407"/>
      <c r="O166" s="1407">
        <v>178</v>
      </c>
      <c r="P166" s="1407">
        <v>8279</v>
      </c>
      <c r="Q166" s="855"/>
      <c r="R166" s="856"/>
      <c r="S166" s="869"/>
      <c r="T166" s="869"/>
      <c r="U166" s="869"/>
      <c r="V166" s="869"/>
      <c r="W166" s="869"/>
      <c r="X166" s="869"/>
      <c r="Y166" s="869"/>
      <c r="Z166" s="869"/>
      <c r="AA166" s="869"/>
      <c r="AB166" s="869"/>
      <c r="AC166" s="869"/>
      <c r="AD166" s="869"/>
      <c r="AE166" s="869"/>
    </row>
    <row r="167" spans="1:31" s="55" customFormat="1" ht="18" customHeight="1" x14ac:dyDescent="0.3">
      <c r="A167" s="130">
        <v>158</v>
      </c>
      <c r="B167" s="1373"/>
      <c r="C167" s="1400"/>
      <c r="D167" s="1400"/>
      <c r="E167" s="1375" t="s">
        <v>1217</v>
      </c>
      <c r="F167" s="317"/>
      <c r="G167" s="317"/>
      <c r="H167" s="317"/>
      <c r="I167" s="1402"/>
      <c r="J167" s="1403">
        <f t="shared" si="38"/>
        <v>1118</v>
      </c>
      <c r="K167" s="360">
        <v>968</v>
      </c>
      <c r="L167" s="360">
        <v>150</v>
      </c>
      <c r="M167" s="360"/>
      <c r="N167" s="360"/>
      <c r="O167" s="360"/>
      <c r="P167" s="360"/>
      <c r="Q167" s="360"/>
      <c r="R167" s="361"/>
      <c r="S167" s="155"/>
      <c r="T167" s="155"/>
      <c r="U167" s="155"/>
      <c r="V167" s="155"/>
      <c r="W167" s="155"/>
      <c r="X167" s="155"/>
      <c r="Y167" s="155"/>
      <c r="Z167" s="155"/>
      <c r="AA167" s="155"/>
      <c r="AB167" s="155"/>
      <c r="AC167" s="155"/>
      <c r="AD167" s="155"/>
      <c r="AE167" s="155"/>
    </row>
    <row r="168" spans="1:31" s="55" customFormat="1" ht="18" customHeight="1" x14ac:dyDescent="0.3">
      <c r="A168" s="130">
        <v>159</v>
      </c>
      <c r="B168" s="1373"/>
      <c r="C168" s="1400"/>
      <c r="D168" s="1400"/>
      <c r="E168" s="1375" t="s">
        <v>1159</v>
      </c>
      <c r="F168" s="317"/>
      <c r="G168" s="317"/>
      <c r="H168" s="317"/>
      <c r="I168" s="1402"/>
      <c r="J168" s="1403">
        <f t="shared" si="38"/>
        <v>0</v>
      </c>
      <c r="K168" s="360">
        <f>794+6000</f>
        <v>6794</v>
      </c>
      <c r="L168" s="360">
        <f>123+930</f>
        <v>1053</v>
      </c>
      <c r="M168" s="360">
        <f>-917-6930</f>
        <v>-7847</v>
      </c>
      <c r="N168" s="360"/>
      <c r="O168" s="360"/>
      <c r="P168" s="360"/>
      <c r="Q168" s="360"/>
      <c r="R168" s="361"/>
      <c r="S168" s="155"/>
      <c r="T168" s="155"/>
      <c r="U168" s="155"/>
      <c r="V168" s="155"/>
      <c r="W168" s="155"/>
      <c r="X168" s="155"/>
      <c r="Y168" s="155"/>
      <c r="Z168" s="155"/>
      <c r="AA168" s="155"/>
      <c r="AB168" s="155"/>
      <c r="AC168" s="155"/>
      <c r="AD168" s="155"/>
      <c r="AE168" s="155"/>
    </row>
    <row r="169" spans="1:31" s="55" customFormat="1" ht="18" customHeight="1" x14ac:dyDescent="0.3">
      <c r="A169" s="130">
        <v>160</v>
      </c>
      <c r="B169" s="1373"/>
      <c r="C169" s="1400"/>
      <c r="D169" s="1400"/>
      <c r="E169" s="1375" t="s">
        <v>1187</v>
      </c>
      <c r="F169" s="317"/>
      <c r="G169" s="317"/>
      <c r="H169" s="317"/>
      <c r="I169" s="1402"/>
      <c r="J169" s="1403">
        <f t="shared" si="38"/>
        <v>1947</v>
      </c>
      <c r="K169" s="360">
        <v>1686</v>
      </c>
      <c r="L169" s="360">
        <v>261</v>
      </c>
      <c r="M169" s="360"/>
      <c r="N169" s="360"/>
      <c r="O169" s="360"/>
      <c r="P169" s="360"/>
      <c r="Q169" s="360"/>
      <c r="R169" s="361"/>
      <c r="S169" s="155"/>
      <c r="T169" s="155"/>
      <c r="U169" s="155"/>
      <c r="V169" s="155"/>
      <c r="W169" s="155"/>
      <c r="X169" s="155"/>
      <c r="Y169" s="155"/>
      <c r="Z169" s="155"/>
      <c r="AA169" s="155"/>
      <c r="AB169" s="155"/>
      <c r="AC169" s="155"/>
      <c r="AD169" s="155"/>
      <c r="AE169" s="155"/>
    </row>
    <row r="170" spans="1:31" s="58" customFormat="1" ht="18" customHeight="1" x14ac:dyDescent="0.3">
      <c r="A170" s="130">
        <v>161</v>
      </c>
      <c r="B170" s="462"/>
      <c r="C170" s="1404"/>
      <c r="D170" s="1404"/>
      <c r="E170" s="346" t="s">
        <v>1151</v>
      </c>
      <c r="F170" s="1405"/>
      <c r="G170" s="1405"/>
      <c r="H170" s="1405"/>
      <c r="I170" s="1406"/>
      <c r="J170" s="356">
        <f t="shared" si="38"/>
        <v>456231</v>
      </c>
      <c r="K170" s="1407">
        <f>SUM(K166:K169)</f>
        <v>207314</v>
      </c>
      <c r="L170" s="1407">
        <f t="shared" ref="L170:P170" si="39">SUM(L166:L169)</f>
        <v>41150</v>
      </c>
      <c r="M170" s="1407">
        <f t="shared" si="39"/>
        <v>199310</v>
      </c>
      <c r="N170" s="1407"/>
      <c r="O170" s="1407">
        <f t="shared" si="39"/>
        <v>178</v>
      </c>
      <c r="P170" s="1407">
        <f t="shared" si="39"/>
        <v>8279</v>
      </c>
      <c r="Q170" s="1407"/>
      <c r="R170" s="1408"/>
      <c r="S170" s="293"/>
      <c r="T170" s="293"/>
      <c r="U170" s="293"/>
      <c r="V170" s="293"/>
      <c r="W170" s="293"/>
      <c r="X170" s="293"/>
      <c r="Y170" s="293"/>
      <c r="Z170" s="293"/>
      <c r="AA170" s="293"/>
      <c r="AB170" s="293"/>
      <c r="AC170" s="293"/>
      <c r="AD170" s="293"/>
      <c r="AE170" s="293"/>
    </row>
    <row r="171" spans="1:31" s="55" customFormat="1" ht="18" customHeight="1" x14ac:dyDescent="0.3">
      <c r="A171" s="130">
        <v>162</v>
      </c>
      <c r="B171" s="1256"/>
      <c r="C171" s="1257"/>
      <c r="D171" s="1258" t="s">
        <v>910</v>
      </c>
      <c r="E171" s="1259"/>
      <c r="F171" s="1260"/>
      <c r="G171" s="158"/>
      <c r="H171" s="158"/>
      <c r="I171" s="1744"/>
      <c r="J171" s="364"/>
      <c r="K171" s="360"/>
      <c r="L171" s="360"/>
      <c r="M171" s="360"/>
      <c r="N171" s="360"/>
      <c r="O171" s="360"/>
      <c r="P171" s="360"/>
      <c r="Q171" s="360"/>
      <c r="R171" s="361"/>
      <c r="S171" s="155"/>
      <c r="T171" s="155"/>
      <c r="U171" s="155"/>
      <c r="V171" s="155"/>
      <c r="W171" s="155"/>
      <c r="X171" s="155"/>
      <c r="Y171" s="155"/>
      <c r="Z171" s="155"/>
      <c r="AA171" s="155"/>
      <c r="AB171" s="155"/>
      <c r="AC171" s="155"/>
      <c r="AD171" s="155"/>
      <c r="AE171" s="155"/>
    </row>
    <row r="172" spans="1:31" s="870" customFormat="1" ht="18" customHeight="1" x14ac:dyDescent="0.3">
      <c r="A172" s="130">
        <v>163</v>
      </c>
      <c r="B172" s="1194"/>
      <c r="C172" s="1196"/>
      <c r="D172" s="1196"/>
      <c r="E172" s="1261" t="s">
        <v>311</v>
      </c>
      <c r="F172" s="1262"/>
      <c r="G172" s="830"/>
      <c r="H172" s="830"/>
      <c r="I172" s="1745"/>
      <c r="J172" s="1198">
        <f>SUM(K172:R172)</f>
        <v>13610</v>
      </c>
      <c r="K172" s="1199">
        <v>11583</v>
      </c>
      <c r="L172" s="1199">
        <v>2027</v>
      </c>
      <c r="M172" s="1199"/>
      <c r="N172" s="1199"/>
      <c r="O172" s="1199"/>
      <c r="P172" s="1199"/>
      <c r="Q172" s="1199"/>
      <c r="R172" s="1200"/>
      <c r="S172" s="869"/>
      <c r="T172" s="869"/>
      <c r="U172" s="869"/>
      <c r="V172" s="869"/>
      <c r="W172" s="869"/>
      <c r="X172" s="869"/>
      <c r="Y172" s="869"/>
      <c r="Z172" s="869"/>
      <c r="AA172" s="869"/>
      <c r="AB172" s="869"/>
      <c r="AC172" s="869"/>
      <c r="AD172" s="869"/>
      <c r="AE172" s="869"/>
    </row>
    <row r="173" spans="1:31" s="870" customFormat="1" ht="18" customHeight="1" x14ac:dyDescent="0.3">
      <c r="A173" s="130">
        <v>164</v>
      </c>
      <c r="B173" s="1194"/>
      <c r="C173" s="1196"/>
      <c r="D173" s="1196"/>
      <c r="E173" s="1421" t="s">
        <v>1072</v>
      </c>
      <c r="F173" s="1262"/>
      <c r="G173" s="830"/>
      <c r="H173" s="830"/>
      <c r="I173" s="1745"/>
      <c r="J173" s="364">
        <f>SUM(K173:R173)</f>
        <v>0</v>
      </c>
      <c r="K173" s="1423">
        <v>0</v>
      </c>
      <c r="L173" s="1423">
        <v>0</v>
      </c>
      <c r="M173" s="1199"/>
      <c r="N173" s="1199"/>
      <c r="O173" s="1199"/>
      <c r="P173" s="1199"/>
      <c r="Q173" s="1199"/>
      <c r="R173" s="1200"/>
      <c r="S173" s="869"/>
      <c r="T173" s="869"/>
      <c r="U173" s="869"/>
      <c r="V173" s="869"/>
      <c r="W173" s="869"/>
      <c r="X173" s="869"/>
      <c r="Y173" s="869"/>
      <c r="Z173" s="869"/>
      <c r="AA173" s="869"/>
      <c r="AB173" s="869"/>
      <c r="AC173" s="869"/>
      <c r="AD173" s="869"/>
      <c r="AE173" s="869"/>
    </row>
    <row r="174" spans="1:31" s="55" customFormat="1" ht="18" customHeight="1" x14ac:dyDescent="0.3">
      <c r="A174" s="130">
        <v>165</v>
      </c>
      <c r="B174" s="1373"/>
      <c r="C174" s="1400"/>
      <c r="D174" s="1400"/>
      <c r="E174" s="1419" t="s">
        <v>963</v>
      </c>
      <c r="F174" s="317"/>
      <c r="G174" s="317"/>
      <c r="H174" s="317"/>
      <c r="I174" s="1402"/>
      <c r="J174" s="1403">
        <f>SUM(K174:R174)</f>
        <v>0</v>
      </c>
      <c r="K174" s="360"/>
      <c r="L174" s="360"/>
      <c r="M174" s="360"/>
      <c r="N174" s="360"/>
      <c r="O174" s="360"/>
      <c r="P174" s="360"/>
      <c r="Q174" s="360"/>
      <c r="R174" s="361"/>
      <c r="S174" s="155"/>
      <c r="T174" s="155"/>
      <c r="U174" s="155"/>
      <c r="V174" s="155"/>
      <c r="W174" s="155"/>
      <c r="X174" s="155"/>
      <c r="Y174" s="155"/>
      <c r="Z174" s="155"/>
      <c r="AA174" s="155"/>
      <c r="AB174" s="155"/>
      <c r="AC174" s="155"/>
      <c r="AD174" s="155"/>
      <c r="AE174" s="155"/>
    </row>
    <row r="175" spans="1:31" s="59" customFormat="1" ht="18" customHeight="1" x14ac:dyDescent="0.3">
      <c r="A175" s="130">
        <v>166</v>
      </c>
      <c r="B175" s="357"/>
      <c r="C175" s="1420"/>
      <c r="D175" s="1420"/>
      <c r="E175" s="1421" t="s">
        <v>1151</v>
      </c>
      <c r="F175" s="1422"/>
      <c r="G175" s="1422"/>
      <c r="H175" s="1422"/>
      <c r="I175" s="1746"/>
      <c r="J175" s="364">
        <f>SUM(K175:R175)</f>
        <v>0</v>
      </c>
      <c r="K175" s="1423">
        <f>SUM(K173:K174)</f>
        <v>0</v>
      </c>
      <c r="L175" s="1423">
        <f>SUM(L173:L174)</f>
        <v>0</v>
      </c>
      <c r="M175" s="1423"/>
      <c r="N175" s="1423"/>
      <c r="O175" s="1423"/>
      <c r="P175" s="1423"/>
      <c r="Q175" s="1423"/>
      <c r="R175" s="1424"/>
      <c r="S175" s="358"/>
      <c r="T175" s="358"/>
      <c r="U175" s="358"/>
      <c r="V175" s="358"/>
      <c r="W175" s="358"/>
      <c r="X175" s="358"/>
      <c r="Y175" s="358"/>
      <c r="Z175" s="358"/>
      <c r="AA175" s="358"/>
      <c r="AB175" s="358"/>
      <c r="AC175" s="358"/>
      <c r="AD175" s="358"/>
      <c r="AE175" s="358"/>
    </row>
    <row r="176" spans="1:31" s="51" customFormat="1" ht="18" customHeight="1" x14ac:dyDescent="0.3">
      <c r="A176" s="130">
        <v>167</v>
      </c>
      <c r="B176" s="314"/>
      <c r="C176" s="705">
        <v>1</v>
      </c>
      <c r="D176" s="1056" t="s">
        <v>152</v>
      </c>
      <c r="E176" s="1056"/>
      <c r="F176" s="458"/>
      <c r="G176" s="121">
        <v>4820</v>
      </c>
      <c r="H176" s="121"/>
      <c r="I176" s="1747"/>
      <c r="J176" s="364"/>
      <c r="K176" s="349"/>
      <c r="L176" s="349"/>
      <c r="M176" s="349"/>
      <c r="N176" s="360"/>
      <c r="O176" s="360"/>
      <c r="P176" s="360"/>
      <c r="Q176" s="360"/>
      <c r="R176" s="361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</row>
    <row r="177" spans="1:31" s="51" customFormat="1" ht="45.75" customHeight="1" x14ac:dyDescent="0.3">
      <c r="A177" s="130">
        <v>168</v>
      </c>
      <c r="B177" s="314"/>
      <c r="C177" s="706">
        <v>2</v>
      </c>
      <c r="D177" s="2094" t="s">
        <v>531</v>
      </c>
      <c r="E177" s="2095"/>
      <c r="F177" s="621"/>
      <c r="G177" s="121">
        <v>1969</v>
      </c>
      <c r="H177" s="121">
        <v>55328</v>
      </c>
      <c r="I177" s="354">
        <v>55925</v>
      </c>
      <c r="J177" s="364"/>
      <c r="K177" s="349"/>
      <c r="L177" s="349"/>
      <c r="M177" s="349"/>
      <c r="N177" s="360"/>
      <c r="O177" s="360"/>
      <c r="P177" s="360"/>
      <c r="Q177" s="360"/>
      <c r="R177" s="361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0"/>
      <c r="AD177" s="60"/>
      <c r="AE177" s="60"/>
    </row>
    <row r="178" spans="1:31" s="51" customFormat="1" ht="22.5" customHeight="1" x14ac:dyDescent="0.3">
      <c r="A178" s="130">
        <v>169</v>
      </c>
      <c r="B178" s="310">
        <v>14</v>
      </c>
      <c r="C178" s="705"/>
      <c r="D178" s="346" t="s">
        <v>529</v>
      </c>
      <c r="E178" s="346"/>
      <c r="F178" s="455" t="s">
        <v>24</v>
      </c>
      <c r="G178" s="121">
        <v>137258</v>
      </c>
      <c r="H178" s="121">
        <v>131489</v>
      </c>
      <c r="I178" s="354">
        <v>141430</v>
      </c>
      <c r="J178" s="364"/>
      <c r="K178" s="121"/>
      <c r="L178" s="121"/>
      <c r="M178" s="121"/>
      <c r="N178" s="121"/>
      <c r="O178" s="121"/>
      <c r="P178" s="121"/>
      <c r="Q178" s="121"/>
      <c r="R178" s="135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</row>
    <row r="179" spans="1:31" s="858" customFormat="1" ht="18" customHeight="1" x14ac:dyDescent="0.3">
      <c r="A179" s="130">
        <v>170</v>
      </c>
      <c r="B179" s="807"/>
      <c r="C179" s="851"/>
      <c r="D179" s="851"/>
      <c r="E179" s="852" t="s">
        <v>311</v>
      </c>
      <c r="F179" s="829"/>
      <c r="G179" s="829"/>
      <c r="H179" s="829"/>
      <c r="I179" s="853"/>
      <c r="J179" s="854">
        <f>SUM(K179:R179)</f>
        <v>129562</v>
      </c>
      <c r="K179" s="855">
        <v>61704</v>
      </c>
      <c r="L179" s="855">
        <v>12023</v>
      </c>
      <c r="M179" s="855">
        <v>55835</v>
      </c>
      <c r="N179" s="855"/>
      <c r="O179" s="855"/>
      <c r="P179" s="855"/>
      <c r="Q179" s="855"/>
      <c r="R179" s="856"/>
      <c r="S179" s="857"/>
      <c r="T179" s="857"/>
      <c r="U179" s="857"/>
      <c r="V179" s="857"/>
      <c r="W179" s="857"/>
      <c r="X179" s="857"/>
      <c r="Y179" s="857"/>
      <c r="Z179" s="857"/>
      <c r="AA179" s="857"/>
      <c r="AB179" s="857"/>
      <c r="AC179" s="857"/>
      <c r="AD179" s="857"/>
      <c r="AE179" s="857"/>
    </row>
    <row r="180" spans="1:31" s="858" customFormat="1" ht="18" customHeight="1" x14ac:dyDescent="0.3">
      <c r="A180" s="130">
        <v>171</v>
      </c>
      <c r="B180" s="807"/>
      <c r="C180" s="851"/>
      <c r="D180" s="851"/>
      <c r="E180" s="692" t="s">
        <v>1072</v>
      </c>
      <c r="F180" s="829"/>
      <c r="G180" s="829"/>
      <c r="H180" s="829"/>
      <c r="I180" s="853"/>
      <c r="J180" s="356">
        <f>SUM(K180:R180)</f>
        <v>145188</v>
      </c>
      <c r="K180" s="1407">
        <v>70657</v>
      </c>
      <c r="L180" s="1407">
        <v>13451</v>
      </c>
      <c r="M180" s="1407">
        <v>57907</v>
      </c>
      <c r="N180" s="1407"/>
      <c r="O180" s="1407"/>
      <c r="P180" s="1407">
        <v>3173</v>
      </c>
      <c r="Q180" s="855"/>
      <c r="R180" s="856"/>
      <c r="S180" s="857"/>
      <c r="T180" s="857"/>
      <c r="U180" s="857"/>
      <c r="V180" s="857"/>
      <c r="W180" s="857"/>
      <c r="X180" s="857"/>
      <c r="Y180" s="857"/>
      <c r="Z180" s="857"/>
      <c r="AA180" s="857"/>
      <c r="AB180" s="857"/>
      <c r="AC180" s="857"/>
      <c r="AD180" s="857"/>
      <c r="AE180" s="857"/>
    </row>
    <row r="181" spans="1:31" s="55" customFormat="1" ht="18" customHeight="1" x14ac:dyDescent="0.3">
      <c r="A181" s="130">
        <v>172</v>
      </c>
      <c r="B181" s="1373"/>
      <c r="C181" s="1400"/>
      <c r="D181" s="1400"/>
      <c r="E181" s="1375" t="s">
        <v>1217</v>
      </c>
      <c r="F181" s="317"/>
      <c r="G181" s="317"/>
      <c r="H181" s="317"/>
      <c r="I181" s="1402"/>
      <c r="J181" s="1403">
        <f>SUM(K181:R181)</f>
        <v>383</v>
      </c>
      <c r="K181" s="360">
        <v>332</v>
      </c>
      <c r="L181" s="360">
        <v>51</v>
      </c>
      <c r="M181" s="360"/>
      <c r="N181" s="360"/>
      <c r="O181" s="360"/>
      <c r="P181" s="360"/>
      <c r="Q181" s="360"/>
      <c r="R181" s="361"/>
      <c r="S181" s="155"/>
      <c r="T181" s="155"/>
      <c r="U181" s="155"/>
      <c r="V181" s="155"/>
      <c r="W181" s="155"/>
      <c r="X181" s="155"/>
      <c r="Y181" s="155"/>
      <c r="Z181" s="155"/>
      <c r="AA181" s="155"/>
      <c r="AB181" s="155"/>
      <c r="AC181" s="155"/>
      <c r="AD181" s="155"/>
      <c r="AE181" s="155"/>
    </row>
    <row r="182" spans="1:31" s="55" customFormat="1" ht="18" customHeight="1" x14ac:dyDescent="0.3">
      <c r="A182" s="130">
        <v>173</v>
      </c>
      <c r="B182" s="1373"/>
      <c r="C182" s="1400"/>
      <c r="D182" s="1400"/>
      <c r="E182" s="1375" t="s">
        <v>1159</v>
      </c>
      <c r="F182" s="317"/>
      <c r="G182" s="317"/>
      <c r="H182" s="317"/>
      <c r="I182" s="1402"/>
      <c r="J182" s="1403">
        <f>SUM(K182:R182)</f>
        <v>0</v>
      </c>
      <c r="K182" s="360">
        <v>12000</v>
      </c>
      <c r="L182" s="360"/>
      <c r="M182" s="360">
        <v>-12000</v>
      </c>
      <c r="N182" s="360"/>
      <c r="O182" s="360"/>
      <c r="P182" s="360"/>
      <c r="Q182" s="360"/>
      <c r="R182" s="361"/>
      <c r="S182" s="155"/>
      <c r="T182" s="155"/>
      <c r="U182" s="155"/>
      <c r="V182" s="155"/>
      <c r="W182" s="155"/>
      <c r="X182" s="155"/>
      <c r="Y182" s="155"/>
      <c r="Z182" s="155"/>
      <c r="AA182" s="155"/>
      <c r="AB182" s="155"/>
      <c r="AC182" s="155"/>
      <c r="AD182" s="155"/>
      <c r="AE182" s="155"/>
    </row>
    <row r="183" spans="1:31" s="58" customFormat="1" ht="18" customHeight="1" x14ac:dyDescent="0.3">
      <c r="A183" s="130">
        <v>174</v>
      </c>
      <c r="B183" s="462"/>
      <c r="C183" s="1404"/>
      <c r="D183" s="1404"/>
      <c r="E183" s="346" t="s">
        <v>1151</v>
      </c>
      <c r="F183" s="1405"/>
      <c r="G183" s="1405"/>
      <c r="H183" s="1405"/>
      <c r="I183" s="1406"/>
      <c r="J183" s="356">
        <f>SUM(K183:R183)</f>
        <v>145571</v>
      </c>
      <c r="K183" s="1407">
        <f>SUM(K180:K182)</f>
        <v>82989</v>
      </c>
      <c r="L183" s="1407">
        <f>SUM(L180:L182)</f>
        <v>13502</v>
      </c>
      <c r="M183" s="1407">
        <f>SUM(M180:M182)</f>
        <v>45907</v>
      </c>
      <c r="N183" s="1407"/>
      <c r="O183" s="1407"/>
      <c r="P183" s="1407">
        <f>SUM(P180:P182)</f>
        <v>3173</v>
      </c>
      <c r="Q183" s="1407"/>
      <c r="R183" s="1408"/>
      <c r="S183" s="293"/>
      <c r="T183" s="293"/>
      <c r="U183" s="293"/>
      <c r="V183" s="293"/>
      <c r="W183" s="293"/>
      <c r="X183" s="293"/>
      <c r="Y183" s="293"/>
      <c r="Z183" s="293"/>
      <c r="AA183" s="293"/>
      <c r="AB183" s="293"/>
      <c r="AC183" s="293"/>
      <c r="AD183" s="293"/>
      <c r="AE183" s="293"/>
    </row>
    <row r="184" spans="1:31" s="56" customFormat="1" ht="18" customHeight="1" x14ac:dyDescent="0.3">
      <c r="A184" s="130">
        <v>175</v>
      </c>
      <c r="B184" s="314"/>
      <c r="C184" s="705">
        <v>1</v>
      </c>
      <c r="D184" s="1056" t="s">
        <v>152</v>
      </c>
      <c r="E184" s="1056"/>
      <c r="F184" s="458"/>
      <c r="G184" s="319">
        <v>1407</v>
      </c>
      <c r="H184" s="319">
        <v>2477</v>
      </c>
      <c r="I184" s="1747">
        <v>2124</v>
      </c>
      <c r="J184" s="364"/>
      <c r="K184" s="349"/>
      <c r="L184" s="349"/>
      <c r="M184" s="349"/>
      <c r="N184" s="360"/>
      <c r="O184" s="360"/>
      <c r="P184" s="360"/>
      <c r="Q184" s="360"/>
      <c r="R184" s="361"/>
      <c r="S184" s="294"/>
      <c r="T184" s="294"/>
      <c r="U184" s="294"/>
      <c r="V184" s="294"/>
      <c r="W184" s="294"/>
      <c r="X184" s="294"/>
      <c r="Y184" s="294"/>
      <c r="Z184" s="294"/>
      <c r="AA184" s="294"/>
      <c r="AB184" s="294"/>
      <c r="AC184" s="294"/>
      <c r="AD184" s="294"/>
      <c r="AE184" s="294"/>
    </row>
    <row r="185" spans="1:31" s="858" customFormat="1" ht="18" customHeight="1" x14ac:dyDescent="0.3">
      <c r="A185" s="130">
        <v>176</v>
      </c>
      <c r="B185" s="807"/>
      <c r="C185" s="851"/>
      <c r="D185" s="851"/>
      <c r="E185" s="866" t="s">
        <v>311</v>
      </c>
      <c r="F185" s="867"/>
      <c r="G185" s="829"/>
      <c r="H185" s="829"/>
      <c r="I185" s="853"/>
      <c r="J185" s="854">
        <f>SUM(K185:R185)</f>
        <v>2455</v>
      </c>
      <c r="K185" s="855">
        <v>2257</v>
      </c>
      <c r="L185" s="855">
        <v>198</v>
      </c>
      <c r="M185" s="855"/>
      <c r="N185" s="855"/>
      <c r="O185" s="855"/>
      <c r="P185" s="855"/>
      <c r="Q185" s="855"/>
      <c r="R185" s="856"/>
      <c r="S185" s="857"/>
      <c r="T185" s="857"/>
      <c r="U185" s="857"/>
      <c r="V185" s="857"/>
      <c r="W185" s="857"/>
      <c r="X185" s="857"/>
      <c r="Y185" s="857"/>
      <c r="Z185" s="857"/>
      <c r="AA185" s="857"/>
      <c r="AB185" s="857"/>
      <c r="AC185" s="857"/>
      <c r="AD185" s="857"/>
      <c r="AE185" s="857"/>
    </row>
    <row r="186" spans="1:31" s="858" customFormat="1" ht="18" customHeight="1" x14ac:dyDescent="0.3">
      <c r="A186" s="130">
        <v>177</v>
      </c>
      <c r="B186" s="807"/>
      <c r="C186" s="851"/>
      <c r="D186" s="851"/>
      <c r="E186" s="692" t="s">
        <v>1072</v>
      </c>
      <c r="F186" s="867"/>
      <c r="G186" s="829"/>
      <c r="H186" s="829"/>
      <c r="I186" s="853"/>
      <c r="J186" s="356">
        <f>SUM(K186:R186)</f>
        <v>1064</v>
      </c>
      <c r="K186" s="1407">
        <v>978</v>
      </c>
      <c r="L186" s="1407">
        <v>86</v>
      </c>
      <c r="M186" s="855"/>
      <c r="N186" s="855"/>
      <c r="O186" s="855"/>
      <c r="P186" s="855"/>
      <c r="Q186" s="855"/>
      <c r="R186" s="856"/>
      <c r="S186" s="857"/>
      <c r="T186" s="857"/>
      <c r="U186" s="857"/>
      <c r="V186" s="857"/>
      <c r="W186" s="857"/>
      <c r="X186" s="857"/>
      <c r="Y186" s="857"/>
      <c r="Z186" s="857"/>
      <c r="AA186" s="857"/>
      <c r="AB186" s="857"/>
      <c r="AC186" s="857"/>
      <c r="AD186" s="857"/>
      <c r="AE186" s="857"/>
    </row>
    <row r="187" spans="1:31" s="55" customFormat="1" ht="18" customHeight="1" x14ac:dyDescent="0.3">
      <c r="A187" s="130">
        <v>178</v>
      </c>
      <c r="B187" s="1373"/>
      <c r="C187" s="1400"/>
      <c r="D187" s="1400"/>
      <c r="E187" s="1401" t="s">
        <v>986</v>
      </c>
      <c r="F187" s="317"/>
      <c r="G187" s="317"/>
      <c r="H187" s="317"/>
      <c r="I187" s="1402"/>
      <c r="J187" s="1403">
        <f>SUM(K187:R187)</f>
        <v>0</v>
      </c>
      <c r="K187" s="360"/>
      <c r="L187" s="360"/>
      <c r="M187" s="360"/>
      <c r="N187" s="360"/>
      <c r="O187" s="360"/>
      <c r="P187" s="360"/>
      <c r="Q187" s="360"/>
      <c r="R187" s="361"/>
      <c r="S187" s="155"/>
      <c r="T187" s="155"/>
      <c r="U187" s="155"/>
      <c r="V187" s="155"/>
      <c r="W187" s="155"/>
      <c r="X187" s="155"/>
      <c r="Y187" s="155"/>
      <c r="Z187" s="155"/>
      <c r="AA187" s="155"/>
      <c r="AB187" s="155"/>
      <c r="AC187" s="155"/>
      <c r="AD187" s="155"/>
      <c r="AE187" s="155"/>
    </row>
    <row r="188" spans="1:31" s="58" customFormat="1" ht="18" customHeight="1" x14ac:dyDescent="0.3">
      <c r="A188" s="130">
        <v>179</v>
      </c>
      <c r="B188" s="462"/>
      <c r="C188" s="1404"/>
      <c r="D188" s="1404"/>
      <c r="E188" s="346" t="s">
        <v>1151</v>
      </c>
      <c r="F188" s="1405"/>
      <c r="G188" s="1405"/>
      <c r="H188" s="1405"/>
      <c r="I188" s="1406"/>
      <c r="J188" s="356">
        <f>SUM(K188:R188)</f>
        <v>1064</v>
      </c>
      <c r="K188" s="1407">
        <f>SUM(K186:K187)</f>
        <v>978</v>
      </c>
      <c r="L188" s="1407">
        <f>SUM(L186:L187)</f>
        <v>86</v>
      </c>
      <c r="M188" s="1407"/>
      <c r="N188" s="1407"/>
      <c r="O188" s="1407"/>
      <c r="P188" s="1407"/>
      <c r="Q188" s="1407"/>
      <c r="R188" s="1408"/>
      <c r="S188" s="293"/>
      <c r="T188" s="293"/>
      <c r="U188" s="293"/>
      <c r="V188" s="293"/>
      <c r="W188" s="293"/>
      <c r="X188" s="293"/>
      <c r="Y188" s="293"/>
      <c r="Z188" s="293"/>
      <c r="AA188" s="293"/>
      <c r="AB188" s="293"/>
      <c r="AC188" s="293"/>
      <c r="AD188" s="293"/>
      <c r="AE188" s="293"/>
    </row>
    <row r="189" spans="1:31" s="56" customFormat="1" ht="33" customHeight="1" x14ac:dyDescent="0.3">
      <c r="A189" s="130">
        <v>180</v>
      </c>
      <c r="B189" s="314"/>
      <c r="C189" s="706">
        <v>2</v>
      </c>
      <c r="D189" s="2094" t="s">
        <v>532</v>
      </c>
      <c r="E189" s="2161"/>
      <c r="F189" s="709"/>
      <c r="G189" s="121">
        <v>4679</v>
      </c>
      <c r="H189" s="121">
        <v>23787</v>
      </c>
      <c r="I189" s="354">
        <v>19384</v>
      </c>
      <c r="J189" s="364"/>
      <c r="K189" s="349"/>
      <c r="L189" s="349"/>
      <c r="M189" s="349"/>
      <c r="N189" s="360"/>
      <c r="O189" s="360"/>
      <c r="P189" s="360"/>
      <c r="Q189" s="360"/>
      <c r="R189" s="361"/>
      <c r="S189" s="294"/>
      <c r="T189" s="294"/>
      <c r="U189" s="294"/>
      <c r="V189" s="294"/>
      <c r="W189" s="294"/>
      <c r="X189" s="294"/>
      <c r="Y189" s="294"/>
      <c r="Z189" s="294"/>
      <c r="AA189" s="294"/>
      <c r="AB189" s="294"/>
      <c r="AC189" s="294"/>
      <c r="AD189" s="294"/>
      <c r="AE189" s="294"/>
    </row>
    <row r="190" spans="1:31" s="858" customFormat="1" ht="18" customHeight="1" x14ac:dyDescent="0.3">
      <c r="A190" s="130">
        <v>181</v>
      </c>
      <c r="B190" s="807"/>
      <c r="C190" s="851"/>
      <c r="D190" s="851"/>
      <c r="E190" s="866" t="s">
        <v>311</v>
      </c>
      <c r="F190" s="867"/>
      <c r="G190" s="829"/>
      <c r="H190" s="829"/>
      <c r="I190" s="853"/>
      <c r="J190" s="854">
        <f>SUM(K190:R190)</f>
        <v>5725</v>
      </c>
      <c r="K190" s="855">
        <v>1640</v>
      </c>
      <c r="L190" s="855"/>
      <c r="M190" s="855">
        <v>1254</v>
      </c>
      <c r="N190" s="855"/>
      <c r="O190" s="855"/>
      <c r="P190" s="855">
        <v>2831</v>
      </c>
      <c r="Q190" s="855"/>
      <c r="R190" s="856"/>
      <c r="S190" s="857"/>
      <c r="T190" s="857"/>
      <c r="U190" s="857"/>
      <c r="V190" s="857"/>
      <c r="W190" s="857"/>
      <c r="X190" s="857"/>
      <c r="Y190" s="857"/>
      <c r="Z190" s="857"/>
      <c r="AA190" s="857"/>
      <c r="AB190" s="857"/>
      <c r="AC190" s="857"/>
      <c r="AD190" s="857"/>
      <c r="AE190" s="857"/>
    </row>
    <row r="191" spans="1:31" s="858" customFormat="1" ht="18" customHeight="1" x14ac:dyDescent="0.3">
      <c r="A191" s="130">
        <v>182</v>
      </c>
      <c r="B191" s="807"/>
      <c r="C191" s="851"/>
      <c r="D191" s="851"/>
      <c r="E191" s="692" t="s">
        <v>1072</v>
      </c>
      <c r="F191" s="867"/>
      <c r="G191" s="829"/>
      <c r="H191" s="829"/>
      <c r="I191" s="853"/>
      <c r="J191" s="356">
        <f>SUM(K191:R191)</f>
        <v>5352</v>
      </c>
      <c r="K191" s="1407">
        <v>964</v>
      </c>
      <c r="L191" s="1407"/>
      <c r="M191" s="1407">
        <v>3519</v>
      </c>
      <c r="N191" s="1407"/>
      <c r="O191" s="1407"/>
      <c r="P191" s="1407">
        <v>869</v>
      </c>
      <c r="Q191" s="855"/>
      <c r="R191" s="856"/>
      <c r="S191" s="857"/>
      <c r="T191" s="857"/>
      <c r="U191" s="857"/>
      <c r="V191" s="857"/>
      <c r="W191" s="857"/>
      <c r="X191" s="857"/>
      <c r="Y191" s="857"/>
      <c r="Z191" s="857"/>
      <c r="AA191" s="857"/>
      <c r="AB191" s="857"/>
      <c r="AC191" s="857"/>
      <c r="AD191" s="857"/>
      <c r="AE191" s="857"/>
    </row>
    <row r="192" spans="1:31" s="55" customFormat="1" ht="18" customHeight="1" x14ac:dyDescent="0.3">
      <c r="A192" s="130">
        <v>183</v>
      </c>
      <c r="B192" s="1373"/>
      <c r="C192" s="1400"/>
      <c r="D192" s="1400"/>
      <c r="E192" s="1401" t="s">
        <v>986</v>
      </c>
      <c r="F192" s="317"/>
      <c r="G192" s="317"/>
      <c r="H192" s="317"/>
      <c r="I192" s="1402"/>
      <c r="J192" s="1403">
        <f>SUM(K192:R192)</f>
        <v>0</v>
      </c>
      <c r="K192" s="360"/>
      <c r="L192" s="360"/>
      <c r="M192" s="360"/>
      <c r="N192" s="360"/>
      <c r="O192" s="360"/>
      <c r="P192" s="360"/>
      <c r="Q192" s="360"/>
      <c r="R192" s="361"/>
      <c r="S192" s="155"/>
      <c r="T192" s="155"/>
      <c r="U192" s="155"/>
      <c r="V192" s="155"/>
      <c r="W192" s="155"/>
      <c r="X192" s="155"/>
      <c r="Y192" s="155"/>
      <c r="Z192" s="155"/>
      <c r="AA192" s="155"/>
      <c r="AB192" s="155"/>
      <c r="AC192" s="155"/>
      <c r="AD192" s="155"/>
      <c r="AE192" s="155"/>
    </row>
    <row r="193" spans="1:31" s="58" customFormat="1" ht="18" customHeight="1" x14ac:dyDescent="0.3">
      <c r="A193" s="130">
        <v>184</v>
      </c>
      <c r="B193" s="462"/>
      <c r="C193" s="1404"/>
      <c r="D193" s="1404"/>
      <c r="E193" s="346" t="s">
        <v>1151</v>
      </c>
      <c r="F193" s="1405"/>
      <c r="G193" s="1405"/>
      <c r="H193" s="1405"/>
      <c r="I193" s="1406"/>
      <c r="J193" s="356">
        <f>SUM(K193:R193)</f>
        <v>5352</v>
      </c>
      <c r="K193" s="1407">
        <f>SUM(K191:K192)</f>
        <v>964</v>
      </c>
      <c r="L193" s="1407"/>
      <c r="M193" s="1407">
        <f t="shared" ref="M193:P193" si="40">SUM(M191:M192)</f>
        <v>3519</v>
      </c>
      <c r="N193" s="1407"/>
      <c r="O193" s="1407"/>
      <c r="P193" s="1407">
        <f t="shared" si="40"/>
        <v>869</v>
      </c>
      <c r="Q193" s="1407"/>
      <c r="R193" s="1408"/>
      <c r="S193" s="293"/>
      <c r="T193" s="293"/>
      <c r="U193" s="293"/>
      <c r="V193" s="293"/>
      <c r="W193" s="293"/>
      <c r="X193" s="293"/>
      <c r="Y193" s="293"/>
      <c r="Z193" s="293"/>
      <c r="AA193" s="293"/>
      <c r="AB193" s="293"/>
      <c r="AC193" s="293"/>
      <c r="AD193" s="293"/>
      <c r="AE193" s="293"/>
    </row>
    <row r="194" spans="1:31" s="53" customFormat="1" ht="22.5" customHeight="1" x14ac:dyDescent="0.3">
      <c r="A194" s="130">
        <v>185</v>
      </c>
      <c r="B194" s="310">
        <v>15</v>
      </c>
      <c r="C194" s="705"/>
      <c r="D194" s="346" t="s">
        <v>157</v>
      </c>
      <c r="E194" s="346"/>
      <c r="F194" s="455" t="s">
        <v>24</v>
      </c>
      <c r="G194" s="121">
        <v>918236</v>
      </c>
      <c r="H194" s="121">
        <v>717112</v>
      </c>
      <c r="I194" s="354">
        <v>851369</v>
      </c>
      <c r="J194" s="364"/>
      <c r="K194" s="121"/>
      <c r="L194" s="121"/>
      <c r="M194" s="121"/>
      <c r="N194" s="121"/>
      <c r="O194" s="121"/>
      <c r="P194" s="121"/>
      <c r="Q194" s="121"/>
      <c r="R194" s="135"/>
      <c r="S194" s="291"/>
      <c r="T194" s="291"/>
      <c r="U194" s="291"/>
      <c r="V194" s="291"/>
      <c r="W194" s="291"/>
      <c r="X194" s="291"/>
      <c r="Y194" s="291"/>
      <c r="Z194" s="291"/>
      <c r="AA194" s="291"/>
      <c r="AB194" s="291"/>
      <c r="AC194" s="291"/>
      <c r="AD194" s="291"/>
      <c r="AE194" s="291"/>
    </row>
    <row r="195" spans="1:31" s="858" customFormat="1" ht="18" customHeight="1" x14ac:dyDescent="0.3">
      <c r="A195" s="130">
        <v>186</v>
      </c>
      <c r="B195" s="807"/>
      <c r="C195" s="861"/>
      <c r="D195" s="861"/>
      <c r="E195" s="844" t="s">
        <v>311</v>
      </c>
      <c r="F195" s="837"/>
      <c r="G195" s="837"/>
      <c r="H195" s="837"/>
      <c r="I195" s="862"/>
      <c r="J195" s="863">
        <f t="shared" ref="J195:J200" si="41">SUM(K195:R195)</f>
        <v>742553</v>
      </c>
      <c r="K195" s="864">
        <v>353612</v>
      </c>
      <c r="L195" s="864">
        <v>67795</v>
      </c>
      <c r="M195" s="864">
        <v>319146</v>
      </c>
      <c r="N195" s="864"/>
      <c r="O195" s="864"/>
      <c r="P195" s="864">
        <v>2000</v>
      </c>
      <c r="Q195" s="864"/>
      <c r="R195" s="865"/>
      <c r="S195" s="857"/>
      <c r="T195" s="857"/>
      <c r="U195" s="857"/>
      <c r="V195" s="857"/>
      <c r="W195" s="857"/>
      <c r="X195" s="857"/>
      <c r="Y195" s="857"/>
      <c r="Z195" s="857"/>
      <c r="AA195" s="857"/>
      <c r="AB195" s="857"/>
      <c r="AC195" s="857"/>
      <c r="AD195" s="857"/>
      <c r="AE195" s="857"/>
    </row>
    <row r="196" spans="1:31" s="858" customFormat="1" ht="18" customHeight="1" x14ac:dyDescent="0.3">
      <c r="A196" s="130">
        <v>187</v>
      </c>
      <c r="B196" s="807"/>
      <c r="C196" s="861"/>
      <c r="D196" s="861"/>
      <c r="E196" s="692" t="s">
        <v>1072</v>
      </c>
      <c r="F196" s="837"/>
      <c r="G196" s="837"/>
      <c r="H196" s="837"/>
      <c r="I196" s="862"/>
      <c r="J196" s="356">
        <f t="shared" si="41"/>
        <v>929188</v>
      </c>
      <c r="K196" s="1445">
        <v>388992</v>
      </c>
      <c r="L196" s="1445">
        <v>70949</v>
      </c>
      <c r="M196" s="1445">
        <v>448044</v>
      </c>
      <c r="N196" s="1445"/>
      <c r="O196" s="1445"/>
      <c r="P196" s="1445">
        <v>21203</v>
      </c>
      <c r="Q196" s="864"/>
      <c r="R196" s="865"/>
      <c r="S196" s="857"/>
      <c r="T196" s="857"/>
      <c r="U196" s="857"/>
      <c r="V196" s="857"/>
      <c r="W196" s="857"/>
      <c r="X196" s="857"/>
      <c r="Y196" s="857"/>
      <c r="Z196" s="857"/>
      <c r="AA196" s="857"/>
      <c r="AB196" s="857"/>
      <c r="AC196" s="857"/>
      <c r="AD196" s="857"/>
      <c r="AE196" s="857"/>
    </row>
    <row r="197" spans="1:31" s="55" customFormat="1" ht="18" customHeight="1" x14ac:dyDescent="0.3">
      <c r="A197" s="130">
        <v>188</v>
      </c>
      <c r="B197" s="1373"/>
      <c r="C197" s="1400"/>
      <c r="D197" s="1400"/>
      <c r="E197" s="1375" t="s">
        <v>1217</v>
      </c>
      <c r="F197" s="317"/>
      <c r="G197" s="317"/>
      <c r="H197" s="317"/>
      <c r="I197" s="1402"/>
      <c r="J197" s="1403">
        <f t="shared" si="41"/>
        <v>1566</v>
      </c>
      <c r="K197" s="360">
        <v>1356</v>
      </c>
      <c r="L197" s="360">
        <v>210</v>
      </c>
      <c r="M197" s="360"/>
      <c r="N197" s="360"/>
      <c r="O197" s="360"/>
      <c r="P197" s="360"/>
      <c r="Q197" s="360"/>
      <c r="R197" s="361"/>
      <c r="S197" s="155"/>
      <c r="T197" s="155"/>
      <c r="U197" s="155"/>
      <c r="V197" s="155"/>
      <c r="W197" s="155"/>
      <c r="X197" s="155"/>
      <c r="Y197" s="155"/>
      <c r="Z197" s="155"/>
      <c r="AA197" s="155"/>
      <c r="AB197" s="155"/>
      <c r="AC197" s="155"/>
      <c r="AD197" s="155"/>
      <c r="AE197" s="155"/>
    </row>
    <row r="198" spans="1:31" s="55" customFormat="1" ht="18" customHeight="1" x14ac:dyDescent="0.3">
      <c r="A198" s="130">
        <v>189</v>
      </c>
      <c r="B198" s="1373"/>
      <c r="C198" s="1400"/>
      <c r="D198" s="1400"/>
      <c r="E198" s="1375" t="s">
        <v>1177</v>
      </c>
      <c r="F198" s="317"/>
      <c r="G198" s="317"/>
      <c r="H198" s="317"/>
      <c r="I198" s="1402"/>
      <c r="J198" s="1403">
        <f t="shared" si="41"/>
        <v>2474</v>
      </c>
      <c r="K198" s="360">
        <v>2311</v>
      </c>
      <c r="L198" s="360">
        <v>163</v>
      </c>
      <c r="M198" s="360"/>
      <c r="N198" s="360"/>
      <c r="O198" s="360"/>
      <c r="P198" s="360"/>
      <c r="Q198" s="360"/>
      <c r="R198" s="361"/>
      <c r="S198" s="155"/>
      <c r="T198" s="155"/>
      <c r="U198" s="155"/>
      <c r="V198" s="155"/>
      <c r="W198" s="155"/>
      <c r="X198" s="155"/>
      <c r="Y198" s="155"/>
      <c r="Z198" s="155"/>
      <c r="AA198" s="155"/>
      <c r="AB198" s="155"/>
      <c r="AC198" s="155"/>
      <c r="AD198" s="155"/>
      <c r="AE198" s="155"/>
    </row>
    <row r="199" spans="1:31" s="55" customFormat="1" ht="18" customHeight="1" x14ac:dyDescent="0.3">
      <c r="A199" s="130">
        <v>190</v>
      </c>
      <c r="B199" s="1373"/>
      <c r="C199" s="1400"/>
      <c r="D199" s="1400"/>
      <c r="E199" s="1375" t="s">
        <v>1159</v>
      </c>
      <c r="F199" s="317"/>
      <c r="G199" s="317"/>
      <c r="H199" s="317"/>
      <c r="I199" s="1402"/>
      <c r="J199" s="1403">
        <f t="shared" si="41"/>
        <v>0</v>
      </c>
      <c r="K199" s="360">
        <v>37000</v>
      </c>
      <c r="L199" s="360">
        <v>3000</v>
      </c>
      <c r="M199" s="360">
        <f>-37000-3000-3900</f>
        <v>-43900</v>
      </c>
      <c r="N199" s="360"/>
      <c r="O199" s="360"/>
      <c r="P199" s="360">
        <v>3900</v>
      </c>
      <c r="Q199" s="360"/>
      <c r="R199" s="361"/>
      <c r="S199" s="155"/>
      <c r="T199" s="155"/>
      <c r="U199" s="155"/>
      <c r="V199" s="155"/>
      <c r="W199" s="155"/>
      <c r="X199" s="155"/>
      <c r="Y199" s="155"/>
      <c r="Z199" s="155"/>
      <c r="AA199" s="155"/>
      <c r="AB199" s="155"/>
      <c r="AC199" s="155"/>
      <c r="AD199" s="155"/>
      <c r="AE199" s="155"/>
    </row>
    <row r="200" spans="1:31" s="58" customFormat="1" ht="18" customHeight="1" thickBot="1" x14ac:dyDescent="0.35">
      <c r="A200" s="130">
        <v>191</v>
      </c>
      <c r="B200" s="462"/>
      <c r="C200" s="1404"/>
      <c r="D200" s="1404"/>
      <c r="E200" s="346" t="s">
        <v>1151</v>
      </c>
      <c r="F200" s="1405"/>
      <c r="G200" s="1405"/>
      <c r="H200" s="1405"/>
      <c r="I200" s="1406"/>
      <c r="J200" s="356">
        <f t="shared" si="41"/>
        <v>933228</v>
      </c>
      <c r="K200" s="1407">
        <f>SUM(K196:K199)</f>
        <v>429659</v>
      </c>
      <c r="L200" s="1407">
        <f>SUM(L196:L199)</f>
        <v>74322</v>
      </c>
      <c r="M200" s="1407">
        <f>SUM(M196:M199)</f>
        <v>404144</v>
      </c>
      <c r="N200" s="1407"/>
      <c r="O200" s="1407"/>
      <c r="P200" s="1407">
        <f>SUM(P196:P199)</f>
        <v>25103</v>
      </c>
      <c r="Q200" s="1407"/>
      <c r="R200" s="1408"/>
      <c r="S200" s="293"/>
      <c r="T200" s="293"/>
      <c r="U200" s="293"/>
      <c r="V200" s="293"/>
      <c r="W200" s="293"/>
      <c r="X200" s="293"/>
      <c r="Y200" s="293"/>
      <c r="Z200" s="293"/>
      <c r="AA200" s="293"/>
      <c r="AB200" s="293"/>
      <c r="AC200" s="293"/>
      <c r="AD200" s="293"/>
      <c r="AE200" s="293"/>
    </row>
    <row r="201" spans="1:31" s="200" customFormat="1" ht="22.5" customHeight="1" thickTop="1" x14ac:dyDescent="0.2">
      <c r="A201" s="130">
        <v>192</v>
      </c>
      <c r="B201" s="357"/>
      <c r="C201" s="2149" t="s">
        <v>662</v>
      </c>
      <c r="D201" s="2150"/>
      <c r="E201" s="2151"/>
      <c r="F201" s="739"/>
      <c r="G201" s="732">
        <f>SUM(G115:G195)</f>
        <v>2216492</v>
      </c>
      <c r="H201" s="732">
        <f>SUM(H115:H195)</f>
        <v>2005779</v>
      </c>
      <c r="I201" s="1748">
        <f>SUM(I115:I195)</f>
        <v>2347852</v>
      </c>
      <c r="J201" s="740"/>
      <c r="K201" s="737"/>
      <c r="L201" s="737"/>
      <c r="M201" s="737"/>
      <c r="N201" s="737"/>
      <c r="O201" s="737"/>
      <c r="P201" s="737"/>
      <c r="Q201" s="737"/>
      <c r="R201" s="738"/>
      <c r="S201" s="363"/>
      <c r="T201" s="363"/>
      <c r="U201" s="363"/>
      <c r="V201" s="363"/>
      <c r="W201" s="363"/>
      <c r="X201" s="363"/>
      <c r="Y201" s="363"/>
      <c r="Z201" s="363"/>
      <c r="AA201" s="363"/>
      <c r="AB201" s="363"/>
      <c r="AC201" s="363"/>
      <c r="AD201" s="363"/>
      <c r="AE201" s="363"/>
    </row>
    <row r="202" spans="1:31" s="858" customFormat="1" ht="18" customHeight="1" x14ac:dyDescent="0.3">
      <c r="A202" s="130">
        <v>193</v>
      </c>
      <c r="B202" s="807"/>
      <c r="C202" s="1409"/>
      <c r="D202" s="861"/>
      <c r="E202" s="844" t="s">
        <v>311</v>
      </c>
      <c r="F202" s="837"/>
      <c r="G202" s="837"/>
      <c r="H202" s="837"/>
      <c r="I202" s="862"/>
      <c r="J202" s="863">
        <f>SUM(K202:R202)</f>
        <v>2182328</v>
      </c>
      <c r="K202" s="864">
        <f t="shared" ref="K202:R203" si="42">SUM(K116,K127,K132,K145,K160,K165,K179,K185,K190,K195)</f>
        <v>981370</v>
      </c>
      <c r="L202" s="864">
        <f t="shared" si="42"/>
        <v>185540</v>
      </c>
      <c r="M202" s="864">
        <f t="shared" si="42"/>
        <v>986759</v>
      </c>
      <c r="N202" s="864">
        <f t="shared" si="42"/>
        <v>0</v>
      </c>
      <c r="O202" s="864">
        <f t="shared" si="42"/>
        <v>178</v>
      </c>
      <c r="P202" s="864">
        <f t="shared" si="42"/>
        <v>28481</v>
      </c>
      <c r="Q202" s="864">
        <f t="shared" si="42"/>
        <v>0</v>
      </c>
      <c r="R202" s="865">
        <f t="shared" si="42"/>
        <v>0</v>
      </c>
      <c r="S202" s="857">
        <f>+J202-'[1]4.Inbe'!O59</f>
        <v>0</v>
      </c>
      <c r="T202" s="857"/>
      <c r="U202" s="857"/>
      <c r="V202" s="857"/>
      <c r="W202" s="857"/>
      <c r="X202" s="857"/>
      <c r="Y202" s="857"/>
      <c r="Z202" s="857"/>
      <c r="AA202" s="857"/>
      <c r="AB202" s="857"/>
      <c r="AC202" s="857"/>
      <c r="AD202" s="857"/>
      <c r="AE202" s="857"/>
    </row>
    <row r="203" spans="1:31" s="858" customFormat="1" ht="18" customHeight="1" x14ac:dyDescent="0.3">
      <c r="A203" s="130">
        <v>194</v>
      </c>
      <c r="B203" s="807"/>
      <c r="C203" s="1409"/>
      <c r="D203" s="861"/>
      <c r="E203" s="692" t="s">
        <v>1072</v>
      </c>
      <c r="F203" s="837"/>
      <c r="G203" s="837"/>
      <c r="H203" s="837"/>
      <c r="I203" s="862"/>
      <c r="J203" s="356">
        <f>SUM(K203:R203)</f>
        <v>2510893</v>
      </c>
      <c r="K203" s="1445">
        <f t="shared" si="42"/>
        <v>1056272</v>
      </c>
      <c r="L203" s="1445">
        <f t="shared" si="42"/>
        <v>196620</v>
      </c>
      <c r="M203" s="1445">
        <f t="shared" si="42"/>
        <v>1143496</v>
      </c>
      <c r="N203" s="1445">
        <f t="shared" si="42"/>
        <v>0</v>
      </c>
      <c r="O203" s="1445">
        <f t="shared" si="42"/>
        <v>178</v>
      </c>
      <c r="P203" s="1445">
        <f t="shared" si="42"/>
        <v>114327</v>
      </c>
      <c r="Q203" s="1445">
        <f t="shared" si="42"/>
        <v>0</v>
      </c>
      <c r="R203" s="1446">
        <f t="shared" si="42"/>
        <v>0</v>
      </c>
      <c r="S203" s="857"/>
      <c r="T203" s="857"/>
      <c r="U203" s="857"/>
      <c r="V203" s="857"/>
      <c r="W203" s="857"/>
      <c r="X203" s="857"/>
      <c r="Y203" s="857"/>
      <c r="Z203" s="857"/>
      <c r="AA203" s="857"/>
      <c r="AB203" s="857"/>
      <c r="AC203" s="857"/>
      <c r="AD203" s="857"/>
      <c r="AE203" s="857"/>
    </row>
    <row r="204" spans="1:31" s="55" customFormat="1" ht="18" customHeight="1" x14ac:dyDescent="0.3">
      <c r="A204" s="130">
        <v>195</v>
      </c>
      <c r="B204" s="1373"/>
      <c r="C204" s="1410"/>
      <c r="D204" s="1400"/>
      <c r="E204" s="1401" t="s">
        <v>986</v>
      </c>
      <c r="F204" s="317"/>
      <c r="G204" s="317"/>
      <c r="H204" s="317"/>
      <c r="I204" s="1402"/>
      <c r="J204" s="1403">
        <f>SUM(K204:R204)</f>
        <v>23064</v>
      </c>
      <c r="K204" s="360">
        <f>SUM(K118:K119,K129,K134:K137,K147:K151,K162,K167:K169,K181:K182,K187,K192,K197:K199)</f>
        <v>75606</v>
      </c>
      <c r="L204" s="360">
        <f t="shared" ref="L204:R204" si="43">SUM(L118:L119,L129,L134:L137,L147:L151,L162,L167:L169,L181:L182,L187,L192,L197:L199)</f>
        <v>7191</v>
      </c>
      <c r="M204" s="360">
        <f t="shared" si="43"/>
        <v>-72884</v>
      </c>
      <c r="N204" s="360">
        <f t="shared" si="43"/>
        <v>0</v>
      </c>
      <c r="O204" s="360">
        <f t="shared" si="43"/>
        <v>0</v>
      </c>
      <c r="P204" s="360">
        <f t="shared" si="43"/>
        <v>13151</v>
      </c>
      <c r="Q204" s="360">
        <f t="shared" si="43"/>
        <v>0</v>
      </c>
      <c r="R204" s="361">
        <f t="shared" si="43"/>
        <v>0</v>
      </c>
      <c r="S204" s="155"/>
      <c r="T204" s="155"/>
      <c r="U204" s="155"/>
      <c r="V204" s="155"/>
      <c r="W204" s="155"/>
      <c r="X204" s="155"/>
      <c r="Y204" s="155"/>
      <c r="Z204" s="155"/>
      <c r="AA204" s="155"/>
      <c r="AB204" s="155"/>
      <c r="AC204" s="155"/>
      <c r="AD204" s="155"/>
      <c r="AE204" s="155"/>
    </row>
    <row r="205" spans="1:31" s="58" customFormat="1" ht="18" customHeight="1" thickBot="1" x14ac:dyDescent="0.35">
      <c r="A205" s="130">
        <v>196</v>
      </c>
      <c r="B205" s="462"/>
      <c r="C205" s="1411"/>
      <c r="D205" s="1412"/>
      <c r="E205" s="1413" t="s">
        <v>1151</v>
      </c>
      <c r="F205" s="1414"/>
      <c r="G205" s="1414"/>
      <c r="H205" s="1414"/>
      <c r="I205" s="1415"/>
      <c r="J205" s="1416">
        <f>SUM(K205:R205)</f>
        <v>2533957</v>
      </c>
      <c r="K205" s="1417">
        <f>SUM(K203:K204)</f>
        <v>1131878</v>
      </c>
      <c r="L205" s="1417">
        <f t="shared" ref="L205:P205" si="44">SUM(L203:L204)</f>
        <v>203811</v>
      </c>
      <c r="M205" s="1417">
        <f t="shared" si="44"/>
        <v>1070612</v>
      </c>
      <c r="N205" s="1417">
        <f t="shared" si="44"/>
        <v>0</v>
      </c>
      <c r="O205" s="1417">
        <f t="shared" si="44"/>
        <v>178</v>
      </c>
      <c r="P205" s="1417">
        <f t="shared" si="44"/>
        <v>127478</v>
      </c>
      <c r="Q205" s="1417">
        <f t="shared" ref="Q205" si="45">SUM(Q203:Q204)</f>
        <v>0</v>
      </c>
      <c r="R205" s="1418">
        <f t="shared" ref="R205" si="46">SUM(R203:R204)</f>
        <v>0</v>
      </c>
      <c r="S205" s="293"/>
      <c r="T205" s="293"/>
      <c r="U205" s="293"/>
      <c r="V205" s="293"/>
      <c r="W205" s="293"/>
      <c r="X205" s="293"/>
      <c r="Y205" s="293"/>
      <c r="Z205" s="293"/>
      <c r="AA205" s="293"/>
      <c r="AB205" s="293"/>
      <c r="AC205" s="293"/>
      <c r="AD205" s="293"/>
      <c r="AE205" s="293"/>
    </row>
    <row r="206" spans="1:31" s="57" customFormat="1" ht="22.5" customHeight="1" thickTop="1" x14ac:dyDescent="0.3">
      <c r="A206" s="130">
        <v>197</v>
      </c>
      <c r="B206" s="324">
        <v>16</v>
      </c>
      <c r="C206" s="707"/>
      <c r="D206" s="459" t="s">
        <v>271</v>
      </c>
      <c r="E206" s="459"/>
      <c r="F206" s="456" t="s">
        <v>23</v>
      </c>
      <c r="G206" s="335">
        <v>903541</v>
      </c>
      <c r="H206" s="335">
        <v>1012076</v>
      </c>
      <c r="I206" s="457">
        <v>965302</v>
      </c>
      <c r="J206" s="439"/>
      <c r="K206" s="335"/>
      <c r="L206" s="335"/>
      <c r="M206" s="335"/>
      <c r="N206" s="335"/>
      <c r="O206" s="335"/>
      <c r="P206" s="335"/>
      <c r="Q206" s="335"/>
      <c r="R206" s="359"/>
      <c r="S206" s="289"/>
      <c r="T206" s="289"/>
      <c r="U206" s="289"/>
      <c r="V206" s="289"/>
      <c r="W206" s="289"/>
      <c r="X206" s="289"/>
      <c r="Y206" s="289"/>
      <c r="Z206" s="289"/>
      <c r="AA206" s="289"/>
      <c r="AB206" s="289"/>
      <c r="AC206" s="289"/>
      <c r="AD206" s="289"/>
      <c r="AE206" s="289"/>
    </row>
    <row r="207" spans="1:31" s="817" customFormat="1" ht="18" customHeight="1" x14ac:dyDescent="0.3">
      <c r="A207" s="130">
        <v>198</v>
      </c>
      <c r="B207" s="843"/>
      <c r="C207" s="861"/>
      <c r="D207" s="861"/>
      <c r="E207" s="844" t="s">
        <v>311</v>
      </c>
      <c r="F207" s="837"/>
      <c r="G207" s="837"/>
      <c r="H207" s="837"/>
      <c r="I207" s="862"/>
      <c r="J207" s="863">
        <f>SUM(K207:R207)</f>
        <v>1025459</v>
      </c>
      <c r="K207" s="864">
        <v>180690</v>
      </c>
      <c r="L207" s="864">
        <v>36122</v>
      </c>
      <c r="M207" s="864">
        <v>808647</v>
      </c>
      <c r="N207" s="864"/>
      <c r="O207" s="864"/>
      <c r="P207" s="864"/>
      <c r="Q207" s="864"/>
      <c r="R207" s="865"/>
      <c r="S207" s="868"/>
      <c r="T207" s="868"/>
      <c r="U207" s="868"/>
      <c r="V207" s="868"/>
      <c r="W207" s="868"/>
      <c r="X207" s="868"/>
      <c r="Y207" s="868"/>
      <c r="Z207" s="868"/>
      <c r="AA207" s="868"/>
      <c r="AB207" s="868"/>
      <c r="AC207" s="868"/>
      <c r="AD207" s="868"/>
      <c r="AE207" s="868"/>
    </row>
    <row r="208" spans="1:31" s="817" customFormat="1" ht="18" customHeight="1" x14ac:dyDescent="0.3">
      <c r="A208" s="130">
        <v>199</v>
      </c>
      <c r="B208" s="843"/>
      <c r="C208" s="861"/>
      <c r="D208" s="861"/>
      <c r="E208" s="692" t="s">
        <v>1072</v>
      </c>
      <c r="F208" s="837"/>
      <c r="G208" s="837"/>
      <c r="H208" s="837"/>
      <c r="I208" s="862"/>
      <c r="J208" s="356">
        <f>SUM(K208:R208)</f>
        <v>1137601</v>
      </c>
      <c r="K208" s="1445">
        <v>186367</v>
      </c>
      <c r="L208" s="1445">
        <v>37899</v>
      </c>
      <c r="M208" s="1445">
        <v>913335</v>
      </c>
      <c r="N208" s="864"/>
      <c r="O208" s="864"/>
      <c r="P208" s="864"/>
      <c r="Q208" s="864"/>
      <c r="R208" s="865"/>
      <c r="S208" s="868"/>
      <c r="T208" s="868"/>
      <c r="U208" s="868"/>
      <c r="V208" s="868"/>
      <c r="W208" s="868"/>
      <c r="X208" s="868"/>
      <c r="Y208" s="868"/>
      <c r="Z208" s="868"/>
      <c r="AA208" s="868"/>
      <c r="AB208" s="868"/>
      <c r="AC208" s="868"/>
      <c r="AD208" s="868"/>
      <c r="AE208" s="868"/>
    </row>
    <row r="209" spans="1:31" s="55" customFormat="1" ht="18" customHeight="1" x14ac:dyDescent="0.3">
      <c r="A209" s="130">
        <v>200</v>
      </c>
      <c r="B209" s="1373"/>
      <c r="C209" s="1400"/>
      <c r="D209" s="1400"/>
      <c r="E209" s="1375" t="s">
        <v>1245</v>
      </c>
      <c r="F209" s="317"/>
      <c r="G209" s="317"/>
      <c r="H209" s="317"/>
      <c r="I209" s="1402"/>
      <c r="J209" s="1403">
        <f>SUM(K209:R209)</f>
        <v>-115000</v>
      </c>
      <c r="K209" s="360"/>
      <c r="L209" s="360"/>
      <c r="M209" s="360">
        <f>-121158+5000+1158</f>
        <v>-115000</v>
      </c>
      <c r="N209" s="360"/>
      <c r="O209" s="360"/>
      <c r="P209" s="360"/>
      <c r="Q209" s="360"/>
      <c r="R209" s="361"/>
      <c r="S209" s="155"/>
      <c r="T209" s="155"/>
      <c r="U209" s="155"/>
      <c r="V209" s="155"/>
      <c r="W209" s="155"/>
      <c r="X209" s="155"/>
      <c r="Y209" s="155"/>
      <c r="Z209" s="155"/>
      <c r="AA209" s="155"/>
      <c r="AB209" s="155"/>
      <c r="AC209" s="155"/>
      <c r="AD209" s="155"/>
      <c r="AE209" s="155"/>
    </row>
    <row r="210" spans="1:31" s="55" customFormat="1" ht="18" customHeight="1" x14ac:dyDescent="0.3">
      <c r="A210" s="130">
        <v>201</v>
      </c>
      <c r="B210" s="1373"/>
      <c r="C210" s="1400"/>
      <c r="D210" s="1400"/>
      <c r="E210" s="1375" t="s">
        <v>1159</v>
      </c>
      <c r="F210" s="317"/>
      <c r="G210" s="317"/>
      <c r="H210" s="317"/>
      <c r="I210" s="1402"/>
      <c r="J210" s="1403">
        <f t="shared" ref="J210" si="47">SUM(K210:R210)</f>
        <v>0</v>
      </c>
      <c r="K210" s="360">
        <v>29000</v>
      </c>
      <c r="L210" s="360">
        <v>9000</v>
      </c>
      <c r="M210" s="360">
        <v>-40000</v>
      </c>
      <c r="N210" s="360"/>
      <c r="O210" s="360"/>
      <c r="P210" s="360">
        <v>2000</v>
      </c>
      <c r="Q210" s="360"/>
      <c r="R210" s="361"/>
      <c r="S210" s="155"/>
      <c r="T210" s="155"/>
      <c r="U210" s="155"/>
      <c r="V210" s="155"/>
      <c r="W210" s="155"/>
      <c r="X210" s="155"/>
      <c r="Y210" s="155"/>
      <c r="Z210" s="155"/>
      <c r="AA210" s="155"/>
      <c r="AB210" s="155"/>
      <c r="AC210" s="155"/>
      <c r="AD210" s="155"/>
      <c r="AE210" s="155"/>
    </row>
    <row r="211" spans="1:31" s="58" customFormat="1" ht="18" customHeight="1" thickBot="1" x14ac:dyDescent="0.35">
      <c r="A211" s="130">
        <v>202</v>
      </c>
      <c r="B211" s="462"/>
      <c r="C211" s="1404"/>
      <c r="D211" s="1404"/>
      <c r="E211" s="346" t="s">
        <v>1151</v>
      </c>
      <c r="F211" s="1405"/>
      <c r="G211" s="1405"/>
      <c r="H211" s="1405"/>
      <c r="I211" s="1406"/>
      <c r="J211" s="356">
        <f>SUM(K211:R211)</f>
        <v>1022601</v>
      </c>
      <c r="K211" s="1407">
        <f>SUM(K208:K210)</f>
        <v>215367</v>
      </c>
      <c r="L211" s="1407">
        <f>SUM(L208:L210)</f>
        <v>46899</v>
      </c>
      <c r="M211" s="1407">
        <f>SUM(M208:M210)</f>
        <v>758335</v>
      </c>
      <c r="N211" s="1407"/>
      <c r="O211" s="1407"/>
      <c r="P211" s="1407">
        <f>SUM(P208:P210)</f>
        <v>2000</v>
      </c>
      <c r="Q211" s="1407"/>
      <c r="R211" s="1408"/>
      <c r="S211" s="293"/>
      <c r="T211" s="293"/>
      <c r="U211" s="293"/>
      <c r="V211" s="293"/>
      <c r="W211" s="293"/>
      <c r="X211" s="293"/>
      <c r="Y211" s="293"/>
      <c r="Z211" s="293"/>
      <c r="AA211" s="293"/>
      <c r="AB211" s="293"/>
      <c r="AC211" s="293"/>
      <c r="AD211" s="293"/>
      <c r="AE211" s="293"/>
    </row>
    <row r="212" spans="1:31" s="151" customFormat="1" ht="36" customHeight="1" x14ac:dyDescent="0.3">
      <c r="A212" s="130">
        <v>203</v>
      </c>
      <c r="B212" s="2102" t="s">
        <v>158</v>
      </c>
      <c r="C212" s="2103"/>
      <c r="D212" s="2103"/>
      <c r="E212" s="2104"/>
      <c r="F212" s="460"/>
      <c r="G212" s="461">
        <f>SUM(G206,G201,G110,G75)</f>
        <v>5894344</v>
      </c>
      <c r="H212" s="461">
        <f>SUM(H206,H201,H110,H75)</f>
        <v>6023194</v>
      </c>
      <c r="I212" s="1749">
        <f>SUM(I206,I201,I110,I75)</f>
        <v>6471307</v>
      </c>
      <c r="J212" s="871"/>
      <c r="K212" s="367"/>
      <c r="L212" s="367"/>
      <c r="M212" s="367"/>
      <c r="N212" s="367"/>
      <c r="O212" s="367"/>
      <c r="P212" s="367"/>
      <c r="Q212" s="367"/>
      <c r="R212" s="368"/>
      <c r="S212" s="296"/>
      <c r="T212" s="296"/>
      <c r="U212" s="296"/>
      <c r="V212" s="296"/>
      <c r="W212" s="296"/>
      <c r="X212" s="296"/>
      <c r="Y212" s="296"/>
      <c r="Z212" s="296"/>
      <c r="AA212" s="296"/>
      <c r="AB212" s="296"/>
      <c r="AC212" s="296"/>
      <c r="AD212" s="296"/>
      <c r="AE212" s="296"/>
    </row>
    <row r="213" spans="1:31" s="858" customFormat="1" ht="18" customHeight="1" x14ac:dyDescent="0.3">
      <c r="A213" s="130">
        <v>204</v>
      </c>
      <c r="B213" s="843"/>
      <c r="C213" s="861"/>
      <c r="D213" s="861"/>
      <c r="E213" s="844" t="s">
        <v>311</v>
      </c>
      <c r="F213" s="837"/>
      <c r="G213" s="837"/>
      <c r="H213" s="837"/>
      <c r="I213" s="862"/>
      <c r="J213" s="863">
        <f>SUM(K213:R213)</f>
        <v>6363012</v>
      </c>
      <c r="K213" s="864">
        <f t="shared" ref="K213:R214" si="48">SUM(K207,K202,K111,K76)</f>
        <v>3301895</v>
      </c>
      <c r="L213" s="864">
        <f t="shared" si="48"/>
        <v>645834</v>
      </c>
      <c r="M213" s="864">
        <f t="shared" si="48"/>
        <v>2382434</v>
      </c>
      <c r="N213" s="864">
        <f t="shared" si="48"/>
        <v>0</v>
      </c>
      <c r="O213" s="864">
        <f t="shared" si="48"/>
        <v>178</v>
      </c>
      <c r="P213" s="864">
        <f t="shared" si="48"/>
        <v>32671</v>
      </c>
      <c r="Q213" s="864">
        <f t="shared" si="48"/>
        <v>0</v>
      </c>
      <c r="R213" s="865">
        <f t="shared" si="48"/>
        <v>0</v>
      </c>
      <c r="S213" s="857">
        <f>+J213-'[1]4.Inbe'!O63</f>
        <v>0</v>
      </c>
      <c r="T213" s="857"/>
      <c r="U213" s="857"/>
      <c r="V213" s="857"/>
      <c r="W213" s="857"/>
      <c r="X213" s="857"/>
      <c r="Y213" s="857"/>
      <c r="Z213" s="857"/>
      <c r="AA213" s="857"/>
      <c r="AB213" s="857"/>
      <c r="AC213" s="857"/>
      <c r="AD213" s="857"/>
      <c r="AE213" s="857"/>
    </row>
    <row r="214" spans="1:31" s="858" customFormat="1" ht="18" customHeight="1" x14ac:dyDescent="0.3">
      <c r="A214" s="130">
        <v>205</v>
      </c>
      <c r="B214" s="843"/>
      <c r="C214" s="861"/>
      <c r="D214" s="861"/>
      <c r="E214" s="692" t="s">
        <v>1072</v>
      </c>
      <c r="F214" s="837"/>
      <c r="G214" s="837"/>
      <c r="H214" s="837"/>
      <c r="I214" s="862"/>
      <c r="J214" s="356">
        <f>SUM(K214:R214)</f>
        <v>7098173</v>
      </c>
      <c r="K214" s="1445">
        <f t="shared" si="48"/>
        <v>3498338</v>
      </c>
      <c r="L214" s="1445">
        <f t="shared" si="48"/>
        <v>678398</v>
      </c>
      <c r="M214" s="1445">
        <f t="shared" si="48"/>
        <v>2781812</v>
      </c>
      <c r="N214" s="1445">
        <f t="shared" si="48"/>
        <v>0</v>
      </c>
      <c r="O214" s="1445">
        <f t="shared" si="48"/>
        <v>357</v>
      </c>
      <c r="P214" s="1445">
        <f t="shared" si="48"/>
        <v>136113</v>
      </c>
      <c r="Q214" s="1445">
        <f t="shared" si="48"/>
        <v>3155</v>
      </c>
      <c r="R214" s="1446">
        <f t="shared" si="48"/>
        <v>0</v>
      </c>
      <c r="S214" s="857"/>
      <c r="T214" s="857"/>
      <c r="U214" s="857"/>
      <c r="V214" s="857"/>
      <c r="W214" s="857"/>
      <c r="X214" s="857"/>
      <c r="Y214" s="857"/>
      <c r="Z214" s="857"/>
      <c r="AA214" s="857"/>
      <c r="AB214" s="857"/>
      <c r="AC214" s="857"/>
      <c r="AD214" s="857"/>
      <c r="AE214" s="857"/>
    </row>
    <row r="215" spans="1:31" s="55" customFormat="1" ht="18" customHeight="1" x14ac:dyDescent="0.3">
      <c r="A215" s="130">
        <v>206</v>
      </c>
      <c r="B215" s="1373"/>
      <c r="C215" s="1410"/>
      <c r="D215" s="1400"/>
      <c r="E215" s="1401" t="s">
        <v>963</v>
      </c>
      <c r="F215" s="317"/>
      <c r="G215" s="317"/>
      <c r="H215" s="317"/>
      <c r="I215" s="1402"/>
      <c r="J215" s="1403">
        <f>SUM(K215:R215)</f>
        <v>-61838</v>
      </c>
      <c r="K215" s="360">
        <f t="shared" ref="K215:R215" si="49">SUM(K78,K113,K204,K209:K210)</f>
        <v>203579</v>
      </c>
      <c r="L215" s="360">
        <f t="shared" si="49"/>
        <v>31467</v>
      </c>
      <c r="M215" s="360">
        <f t="shared" si="49"/>
        <v>-316826</v>
      </c>
      <c r="N215" s="360">
        <f t="shared" si="49"/>
        <v>0</v>
      </c>
      <c r="O215" s="360">
        <f t="shared" si="49"/>
        <v>0</v>
      </c>
      <c r="P215" s="360">
        <f t="shared" si="49"/>
        <v>19980</v>
      </c>
      <c r="Q215" s="360">
        <f t="shared" si="49"/>
        <v>-38</v>
      </c>
      <c r="R215" s="361">
        <f t="shared" si="49"/>
        <v>0</v>
      </c>
      <c r="S215" s="155"/>
      <c r="T215" s="155"/>
      <c r="U215" s="155"/>
      <c r="V215" s="155"/>
      <c r="W215" s="155"/>
      <c r="X215" s="155"/>
      <c r="Y215" s="155"/>
      <c r="Z215" s="155"/>
      <c r="AA215" s="155"/>
      <c r="AB215" s="155"/>
      <c r="AC215" s="155"/>
      <c r="AD215" s="155"/>
      <c r="AE215" s="155"/>
    </row>
    <row r="216" spans="1:31" s="58" customFormat="1" ht="18" customHeight="1" thickBot="1" x14ac:dyDescent="0.35">
      <c r="A216" s="130">
        <v>207</v>
      </c>
      <c r="B216" s="1385"/>
      <c r="C216" s="1425"/>
      <c r="D216" s="1426"/>
      <c r="E216" s="1427" t="s">
        <v>1151</v>
      </c>
      <c r="F216" s="1428"/>
      <c r="G216" s="1428"/>
      <c r="H216" s="1428"/>
      <c r="I216" s="1750"/>
      <c r="J216" s="1429">
        <f>SUM(K216:R216)</f>
        <v>7036335</v>
      </c>
      <c r="K216" s="1430">
        <f>SUM(K214:K215)</f>
        <v>3701917</v>
      </c>
      <c r="L216" s="1430">
        <f t="shared" ref="L216:R216" si="50">SUM(L214:L215)</f>
        <v>709865</v>
      </c>
      <c r="M216" s="1430">
        <f t="shared" si="50"/>
        <v>2464986</v>
      </c>
      <c r="N216" s="1430">
        <f t="shared" si="50"/>
        <v>0</v>
      </c>
      <c r="O216" s="1430">
        <f t="shared" si="50"/>
        <v>357</v>
      </c>
      <c r="P216" s="1430">
        <f t="shared" si="50"/>
        <v>156093</v>
      </c>
      <c r="Q216" s="1430">
        <f t="shared" si="50"/>
        <v>3117</v>
      </c>
      <c r="R216" s="1943">
        <f t="shared" si="50"/>
        <v>0</v>
      </c>
      <c r="S216" s="293"/>
      <c r="T216" s="293"/>
      <c r="U216" s="293"/>
      <c r="V216" s="293"/>
      <c r="W216" s="293"/>
      <c r="X216" s="293"/>
      <c r="Y216" s="293"/>
      <c r="Z216" s="293"/>
      <c r="AA216" s="293"/>
      <c r="AB216" s="293"/>
      <c r="AC216" s="293"/>
      <c r="AD216" s="293"/>
      <c r="AE216" s="293"/>
    </row>
    <row r="217" spans="1:31" s="57" customFormat="1" ht="22.5" customHeight="1" x14ac:dyDescent="0.3">
      <c r="A217" s="130">
        <v>208</v>
      </c>
      <c r="B217" s="324">
        <v>17</v>
      </c>
      <c r="C217" s="707"/>
      <c r="D217" s="1431" t="s">
        <v>26</v>
      </c>
      <c r="E217" s="1884"/>
      <c r="F217" s="325" t="s">
        <v>23</v>
      </c>
      <c r="G217" s="1432"/>
      <c r="H217" s="1432"/>
      <c r="I217" s="1751"/>
      <c r="J217" s="1433"/>
      <c r="K217" s="1432"/>
      <c r="L217" s="1432"/>
      <c r="M217" s="1432"/>
      <c r="N217" s="1432"/>
      <c r="O217" s="1432"/>
      <c r="P217" s="1432"/>
      <c r="Q217" s="1432"/>
      <c r="R217" s="1434"/>
      <c r="S217" s="289"/>
      <c r="T217" s="289"/>
      <c r="U217" s="289"/>
      <c r="V217" s="289"/>
      <c r="W217" s="289"/>
      <c r="X217" s="289"/>
      <c r="Y217" s="289"/>
      <c r="Z217" s="289"/>
      <c r="AA217" s="289"/>
      <c r="AB217" s="289"/>
      <c r="AC217" s="289"/>
      <c r="AD217" s="289"/>
      <c r="AE217" s="289"/>
    </row>
    <row r="218" spans="1:31" s="154" customFormat="1" ht="19.5" customHeight="1" x14ac:dyDescent="0.3">
      <c r="A218" s="130">
        <v>209</v>
      </c>
      <c r="B218" s="310"/>
      <c r="C218" s="311">
        <v>1</v>
      </c>
      <c r="D218" s="710" t="s">
        <v>165</v>
      </c>
      <c r="E218" s="710"/>
      <c r="F218" s="455"/>
      <c r="G218" s="121">
        <v>1220396</v>
      </c>
      <c r="H218" s="121">
        <v>1291184</v>
      </c>
      <c r="I218" s="354">
        <v>1287824</v>
      </c>
      <c r="J218" s="364"/>
      <c r="K218" s="121"/>
      <c r="L218" s="121"/>
      <c r="M218" s="121"/>
      <c r="N218" s="121"/>
      <c r="O218" s="121"/>
      <c r="P218" s="121"/>
      <c r="Q218" s="121"/>
      <c r="R218" s="135"/>
      <c r="S218" s="291"/>
      <c r="T218" s="156"/>
      <c r="U218" s="156"/>
      <c r="V218" s="156"/>
      <c r="W218" s="156"/>
      <c r="X218" s="156"/>
      <c r="Y218" s="156"/>
      <c r="Z218" s="156"/>
      <c r="AA218" s="156"/>
      <c r="AB218" s="156"/>
      <c r="AC218" s="156"/>
      <c r="AD218" s="156"/>
      <c r="AE218" s="156"/>
    </row>
    <row r="219" spans="1:31" s="817" customFormat="1" ht="18" customHeight="1" x14ac:dyDescent="0.3">
      <c r="A219" s="130">
        <v>210</v>
      </c>
      <c r="B219" s="807"/>
      <c r="C219" s="808"/>
      <c r="D219" s="851"/>
      <c r="E219" s="878" t="s">
        <v>311</v>
      </c>
      <c r="F219" s="811"/>
      <c r="G219" s="829"/>
      <c r="H219" s="829"/>
      <c r="I219" s="853"/>
      <c r="J219" s="854">
        <f t="shared" ref="J219:J222" si="51">SUM(K219:R219)</f>
        <v>1326424</v>
      </c>
      <c r="K219" s="855">
        <f>903672+1923+174945</f>
        <v>1080540</v>
      </c>
      <c r="L219" s="855">
        <f>163052+338+30615</f>
        <v>194005</v>
      </c>
      <c r="M219" s="855">
        <v>51879</v>
      </c>
      <c r="N219" s="855"/>
      <c r="O219" s="855"/>
      <c r="P219" s="855"/>
      <c r="Q219" s="855"/>
      <c r="R219" s="856"/>
      <c r="S219" s="868"/>
      <c r="T219" s="868"/>
      <c r="U219" s="868"/>
      <c r="V219" s="868"/>
      <c r="W219" s="868"/>
      <c r="X219" s="868"/>
      <c r="Y219" s="868"/>
      <c r="Z219" s="868"/>
      <c r="AA219" s="868"/>
      <c r="AB219" s="868"/>
      <c r="AC219" s="868"/>
      <c r="AD219" s="868"/>
      <c r="AE219" s="868"/>
    </row>
    <row r="220" spans="1:31" s="817" customFormat="1" ht="18" customHeight="1" x14ac:dyDescent="0.3">
      <c r="A220" s="130">
        <v>211</v>
      </c>
      <c r="B220" s="807"/>
      <c r="C220" s="1846"/>
      <c r="D220" s="851"/>
      <c r="E220" s="692" t="s">
        <v>1072</v>
      </c>
      <c r="F220" s="811"/>
      <c r="G220" s="829"/>
      <c r="H220" s="829"/>
      <c r="I220" s="853"/>
      <c r="J220" s="356">
        <f t="shared" si="51"/>
        <v>1424607</v>
      </c>
      <c r="K220" s="1407">
        <v>1137618</v>
      </c>
      <c r="L220" s="1407">
        <v>225706</v>
      </c>
      <c r="M220" s="1407">
        <v>61283</v>
      </c>
      <c r="N220" s="855"/>
      <c r="O220" s="855"/>
      <c r="P220" s="855"/>
      <c r="Q220" s="855"/>
      <c r="R220" s="856"/>
      <c r="S220" s="868"/>
      <c r="T220" s="868"/>
      <c r="U220" s="868"/>
      <c r="V220" s="868"/>
      <c r="W220" s="868"/>
      <c r="X220" s="868"/>
      <c r="Y220" s="868"/>
      <c r="Z220" s="868"/>
      <c r="AA220" s="868"/>
      <c r="AB220" s="868"/>
      <c r="AC220" s="868"/>
      <c r="AD220" s="868"/>
      <c r="AE220" s="868"/>
    </row>
    <row r="221" spans="1:31" s="55" customFormat="1" ht="18" customHeight="1" x14ac:dyDescent="0.3">
      <c r="A221" s="130">
        <v>212</v>
      </c>
      <c r="B221" s="1373"/>
      <c r="C221" s="1400"/>
      <c r="D221" s="1400"/>
      <c r="E221" s="1375" t="s">
        <v>1216</v>
      </c>
      <c r="F221" s="317"/>
      <c r="G221" s="317"/>
      <c r="H221" s="317"/>
      <c r="I221" s="1402"/>
      <c r="J221" s="1403">
        <f t="shared" si="51"/>
        <v>70</v>
      </c>
      <c r="K221" s="360">
        <v>61</v>
      </c>
      <c r="L221" s="360">
        <v>9</v>
      </c>
      <c r="M221" s="360"/>
      <c r="N221" s="360"/>
      <c r="O221" s="360"/>
      <c r="P221" s="360"/>
      <c r="Q221" s="360"/>
      <c r="R221" s="361"/>
      <c r="S221" s="155"/>
      <c r="T221" s="155"/>
      <c r="U221" s="155"/>
      <c r="V221" s="155"/>
      <c r="W221" s="155"/>
      <c r="X221" s="155"/>
      <c r="Y221" s="155"/>
      <c r="Z221" s="155"/>
      <c r="AA221" s="155"/>
      <c r="AB221" s="155"/>
      <c r="AC221" s="155"/>
      <c r="AD221" s="155"/>
      <c r="AE221" s="155"/>
    </row>
    <row r="222" spans="1:31" s="58" customFormat="1" ht="18" customHeight="1" x14ac:dyDescent="0.3">
      <c r="A222" s="130">
        <v>213</v>
      </c>
      <c r="B222" s="462"/>
      <c r="C222" s="1404"/>
      <c r="D222" s="1404"/>
      <c r="E222" s="346" t="s">
        <v>1151</v>
      </c>
      <c r="F222" s="1405"/>
      <c r="G222" s="1405"/>
      <c r="H222" s="1405"/>
      <c r="I222" s="1406"/>
      <c r="J222" s="356">
        <f t="shared" si="51"/>
        <v>1424677</v>
      </c>
      <c r="K222" s="1407">
        <f>SUM(K220:K221)</f>
        <v>1137679</v>
      </c>
      <c r="L222" s="1407">
        <f>SUM(L220:L221)</f>
        <v>225715</v>
      </c>
      <c r="M222" s="1407">
        <f>SUM(M220:M221)</f>
        <v>61283</v>
      </c>
      <c r="N222" s="1407"/>
      <c r="O222" s="1407"/>
      <c r="P222" s="1407"/>
      <c r="Q222" s="1407"/>
      <c r="R222" s="1408"/>
      <c r="S222" s="293"/>
      <c r="T222" s="293"/>
      <c r="U222" s="293"/>
      <c r="V222" s="293"/>
      <c r="W222" s="293"/>
      <c r="X222" s="293"/>
      <c r="Y222" s="293"/>
      <c r="Z222" s="293"/>
      <c r="AA222" s="293"/>
      <c r="AB222" s="293"/>
      <c r="AC222" s="293"/>
      <c r="AD222" s="293"/>
      <c r="AE222" s="293"/>
    </row>
    <row r="223" spans="1:31" s="1193" customFormat="1" ht="19.5" customHeight="1" x14ac:dyDescent="0.3">
      <c r="A223" s="130">
        <v>214</v>
      </c>
      <c r="B223" s="1188"/>
      <c r="C223" s="1189"/>
      <c r="D223" s="1187" t="s">
        <v>904</v>
      </c>
      <c r="E223" s="1187"/>
      <c r="F223" s="1190"/>
      <c r="G223" s="158"/>
      <c r="H223" s="158"/>
      <c r="I223" s="1752">
        <v>10996</v>
      </c>
      <c r="J223" s="364"/>
      <c r="K223" s="158"/>
      <c r="L223" s="158"/>
      <c r="M223" s="158"/>
      <c r="N223" s="158"/>
      <c r="O223" s="158"/>
      <c r="P223" s="158"/>
      <c r="Q223" s="158"/>
      <c r="R223" s="1191"/>
      <c r="S223" s="1294"/>
      <c r="T223" s="1192"/>
      <c r="U223" s="1192"/>
      <c r="V223" s="1192"/>
      <c r="W223" s="1192"/>
      <c r="X223" s="1192"/>
      <c r="Y223" s="1192"/>
      <c r="Z223" s="1192"/>
      <c r="AA223" s="1192"/>
      <c r="AB223" s="1192"/>
      <c r="AC223" s="1192"/>
      <c r="AD223" s="1192"/>
      <c r="AE223" s="1192"/>
    </row>
    <row r="224" spans="1:31" s="1202" customFormat="1" ht="18" customHeight="1" x14ac:dyDescent="0.3">
      <c r="A224" s="130">
        <v>215</v>
      </c>
      <c r="B224" s="1194"/>
      <c r="C224" s="1195"/>
      <c r="D224" s="1196"/>
      <c r="E224" s="1197" t="s">
        <v>311</v>
      </c>
      <c r="F224" s="812"/>
      <c r="G224" s="830"/>
      <c r="H224" s="830"/>
      <c r="I224" s="1745"/>
      <c r="J224" s="1198">
        <f>SUM(K224:R224)</f>
        <v>2261</v>
      </c>
      <c r="K224" s="1199">
        <v>1923</v>
      </c>
      <c r="L224" s="1199">
        <v>338</v>
      </c>
      <c r="M224" s="1199"/>
      <c r="N224" s="1199"/>
      <c r="O224" s="1199"/>
      <c r="P224" s="1199"/>
      <c r="Q224" s="1199"/>
      <c r="R224" s="1200"/>
      <c r="S224" s="1201"/>
      <c r="T224" s="1201"/>
      <c r="U224" s="1201"/>
      <c r="V224" s="1201"/>
      <c r="W224" s="1201"/>
      <c r="X224" s="1201"/>
      <c r="Y224" s="1201"/>
      <c r="Z224" s="1201"/>
      <c r="AA224" s="1201"/>
      <c r="AB224" s="1201"/>
      <c r="AC224" s="1201"/>
      <c r="AD224" s="1201"/>
      <c r="AE224" s="1201"/>
    </row>
    <row r="225" spans="1:31" s="1202" customFormat="1" ht="18" customHeight="1" x14ac:dyDescent="0.3">
      <c r="A225" s="130">
        <v>216</v>
      </c>
      <c r="B225" s="1194"/>
      <c r="C225" s="1847"/>
      <c r="D225" s="1196"/>
      <c r="E225" s="1421" t="s">
        <v>1072</v>
      </c>
      <c r="F225" s="812"/>
      <c r="G225" s="830"/>
      <c r="H225" s="830"/>
      <c r="I225" s="1745"/>
      <c r="J225" s="364">
        <f>SUM(K225:R225)</f>
        <v>2261</v>
      </c>
      <c r="K225" s="1423">
        <v>1923</v>
      </c>
      <c r="L225" s="1423">
        <v>338</v>
      </c>
      <c r="M225" s="1199"/>
      <c r="N225" s="1199"/>
      <c r="O225" s="1199"/>
      <c r="P225" s="1199"/>
      <c r="Q225" s="1199"/>
      <c r="R225" s="1200"/>
      <c r="S225" s="1201"/>
      <c r="T225" s="1201"/>
      <c r="U225" s="1201"/>
      <c r="V225" s="1201"/>
      <c r="W225" s="1201"/>
      <c r="X225" s="1201"/>
      <c r="Y225" s="1201"/>
      <c r="Z225" s="1201"/>
      <c r="AA225" s="1201"/>
      <c r="AB225" s="1201"/>
      <c r="AC225" s="1201"/>
      <c r="AD225" s="1201"/>
      <c r="AE225" s="1201"/>
    </row>
    <row r="226" spans="1:31" s="55" customFormat="1" ht="18" customHeight="1" x14ac:dyDescent="0.3">
      <c r="A226" s="130">
        <v>217</v>
      </c>
      <c r="B226" s="1373"/>
      <c r="C226" s="1400"/>
      <c r="D226" s="1400"/>
      <c r="E226" s="1419" t="s">
        <v>986</v>
      </c>
      <c r="F226" s="317"/>
      <c r="G226" s="317"/>
      <c r="H226" s="317"/>
      <c r="I226" s="1402"/>
      <c r="J226" s="1403">
        <f>SUM(K226:R226)</f>
        <v>0</v>
      </c>
      <c r="K226" s="360"/>
      <c r="L226" s="360"/>
      <c r="M226" s="360"/>
      <c r="N226" s="360"/>
      <c r="O226" s="360"/>
      <c r="P226" s="360"/>
      <c r="Q226" s="360"/>
      <c r="R226" s="361"/>
      <c r="S226" s="155"/>
      <c r="T226" s="155"/>
      <c r="U226" s="155"/>
      <c r="V226" s="155"/>
      <c r="W226" s="155"/>
      <c r="X226" s="155"/>
      <c r="Y226" s="155"/>
      <c r="Z226" s="155"/>
      <c r="AA226" s="155"/>
      <c r="AB226" s="155"/>
      <c r="AC226" s="155"/>
      <c r="AD226" s="155"/>
      <c r="AE226" s="155"/>
    </row>
    <row r="227" spans="1:31" s="59" customFormat="1" ht="18" customHeight="1" x14ac:dyDescent="0.3">
      <c r="A227" s="130">
        <v>218</v>
      </c>
      <c r="B227" s="357"/>
      <c r="C227" s="1420"/>
      <c r="D227" s="1420"/>
      <c r="E227" s="1421" t="s">
        <v>1151</v>
      </c>
      <c r="F227" s="1422"/>
      <c r="G227" s="1422"/>
      <c r="H227" s="1422"/>
      <c r="I227" s="1746"/>
      <c r="J227" s="364">
        <f>SUM(K227:R227)</f>
        <v>2261</v>
      </c>
      <c r="K227" s="1423">
        <f>SUM(K225:K226)</f>
        <v>1923</v>
      </c>
      <c r="L227" s="1423">
        <f>SUM(L225:L226)</f>
        <v>338</v>
      </c>
      <c r="M227" s="1423"/>
      <c r="N227" s="1423"/>
      <c r="O227" s="1423"/>
      <c r="P227" s="1423"/>
      <c r="Q227" s="1423"/>
      <c r="R227" s="1424"/>
      <c r="S227" s="358"/>
      <c r="T227" s="358"/>
      <c r="U227" s="358"/>
      <c r="V227" s="358"/>
      <c r="W227" s="358"/>
      <c r="X227" s="358"/>
      <c r="Y227" s="358"/>
      <c r="Z227" s="358"/>
      <c r="AA227" s="358"/>
      <c r="AB227" s="358"/>
      <c r="AC227" s="358"/>
      <c r="AD227" s="358"/>
      <c r="AE227" s="358"/>
    </row>
    <row r="228" spans="1:31" s="1193" customFormat="1" ht="19.5" customHeight="1" x14ac:dyDescent="0.3">
      <c r="A228" s="130">
        <v>219</v>
      </c>
      <c r="B228" s="1188"/>
      <c r="C228" s="1189"/>
      <c r="D228" s="1187" t="s">
        <v>905</v>
      </c>
      <c r="E228" s="1187"/>
      <c r="F228" s="1190"/>
      <c r="G228" s="158"/>
      <c r="H228" s="158"/>
      <c r="I228" s="1752"/>
      <c r="J228" s="364"/>
      <c r="K228" s="158"/>
      <c r="L228" s="158"/>
      <c r="M228" s="158"/>
      <c r="N228" s="158"/>
      <c r="O228" s="158"/>
      <c r="P228" s="158"/>
      <c r="Q228" s="158"/>
      <c r="R228" s="1191"/>
      <c r="S228" s="1294"/>
      <c r="T228" s="1192"/>
      <c r="U228" s="1192"/>
      <c r="V228" s="1192"/>
      <c r="W228" s="1192"/>
      <c r="X228" s="1192"/>
      <c r="Y228" s="1192"/>
      <c r="Z228" s="1192"/>
      <c r="AA228" s="1192"/>
      <c r="AB228" s="1192"/>
      <c r="AC228" s="1192"/>
      <c r="AD228" s="1192"/>
      <c r="AE228" s="1192"/>
    </row>
    <row r="229" spans="1:31" s="1202" customFormat="1" ht="18" customHeight="1" x14ac:dyDescent="0.3">
      <c r="A229" s="130">
        <v>220</v>
      </c>
      <c r="B229" s="1194"/>
      <c r="C229" s="1195"/>
      <c r="D229" s="1196"/>
      <c r="E229" s="1197" t="s">
        <v>311</v>
      </c>
      <c r="F229" s="812"/>
      <c r="G229" s="830"/>
      <c r="H229" s="830"/>
      <c r="I229" s="1745"/>
      <c r="J229" s="1198">
        <f>SUM(K229:R229)</f>
        <v>205560</v>
      </c>
      <c r="K229" s="1199">
        <v>174945</v>
      </c>
      <c r="L229" s="1199">
        <v>30615</v>
      </c>
      <c r="M229" s="1199"/>
      <c r="N229" s="1199"/>
      <c r="O229" s="1199"/>
      <c r="P229" s="1199"/>
      <c r="Q229" s="1199"/>
      <c r="R229" s="1200"/>
      <c r="S229" s="1201"/>
      <c r="T229" s="1201"/>
      <c r="U229" s="1201"/>
      <c r="V229" s="1201"/>
      <c r="W229" s="1201"/>
      <c r="X229" s="1201"/>
      <c r="Y229" s="1201"/>
      <c r="Z229" s="1201"/>
      <c r="AA229" s="1201"/>
      <c r="AB229" s="1201"/>
      <c r="AC229" s="1201"/>
      <c r="AD229" s="1201"/>
      <c r="AE229" s="1201"/>
    </row>
    <row r="230" spans="1:31" s="1202" customFormat="1" ht="18" customHeight="1" x14ac:dyDescent="0.3">
      <c r="A230" s="130">
        <v>221</v>
      </c>
      <c r="B230" s="1194"/>
      <c r="C230" s="1847"/>
      <c r="D230" s="1196"/>
      <c r="E230" s="1421" t="s">
        <v>1072</v>
      </c>
      <c r="F230" s="812"/>
      <c r="G230" s="830"/>
      <c r="H230" s="830"/>
      <c r="I230" s="1745"/>
      <c r="J230" s="364">
        <f>SUM(K230:R230)</f>
        <v>17479</v>
      </c>
      <c r="K230" s="1423">
        <v>14876</v>
      </c>
      <c r="L230" s="1423">
        <v>2603</v>
      </c>
      <c r="M230" s="1199"/>
      <c r="N230" s="1199"/>
      <c r="O230" s="1199"/>
      <c r="P230" s="1199"/>
      <c r="Q230" s="1199"/>
      <c r="R230" s="1200"/>
      <c r="S230" s="1201"/>
      <c r="T230" s="1201"/>
      <c r="U230" s="1201"/>
      <c r="V230" s="1201"/>
      <c r="W230" s="1201"/>
      <c r="X230" s="1201"/>
      <c r="Y230" s="1201"/>
      <c r="Z230" s="1201"/>
      <c r="AA230" s="1201"/>
      <c r="AB230" s="1201"/>
      <c r="AC230" s="1201"/>
      <c r="AD230" s="1201"/>
      <c r="AE230" s="1201"/>
    </row>
    <row r="231" spans="1:31" s="55" customFormat="1" ht="18" customHeight="1" x14ac:dyDescent="0.3">
      <c r="A231" s="130">
        <v>222</v>
      </c>
      <c r="B231" s="1373"/>
      <c r="C231" s="1400"/>
      <c r="D231" s="1400"/>
      <c r="E231" s="1419" t="s">
        <v>986</v>
      </c>
      <c r="F231" s="317"/>
      <c r="G231" s="317"/>
      <c r="H231" s="317"/>
      <c r="I231" s="1402"/>
      <c r="J231" s="1403">
        <f>SUM(K231:R231)</f>
        <v>0</v>
      </c>
      <c r="K231" s="360"/>
      <c r="L231" s="360"/>
      <c r="M231" s="360"/>
      <c r="N231" s="360"/>
      <c r="O231" s="360"/>
      <c r="P231" s="360"/>
      <c r="Q231" s="360"/>
      <c r="R231" s="361"/>
      <c r="S231" s="155"/>
      <c r="T231" s="155"/>
      <c r="U231" s="155"/>
      <c r="V231" s="155"/>
      <c r="W231" s="155"/>
      <c r="X231" s="155"/>
      <c r="Y231" s="155"/>
      <c r="Z231" s="155"/>
      <c r="AA231" s="155"/>
      <c r="AB231" s="155"/>
      <c r="AC231" s="155"/>
      <c r="AD231" s="155"/>
      <c r="AE231" s="155"/>
    </row>
    <row r="232" spans="1:31" s="59" customFormat="1" ht="18" customHeight="1" x14ac:dyDescent="0.3">
      <c r="A232" s="130">
        <v>223</v>
      </c>
      <c r="B232" s="357"/>
      <c r="C232" s="1420"/>
      <c r="D232" s="1420"/>
      <c r="E232" s="1421" t="s">
        <v>1151</v>
      </c>
      <c r="F232" s="1422"/>
      <c r="G232" s="1422"/>
      <c r="H232" s="1422"/>
      <c r="I232" s="1746"/>
      <c r="J232" s="364">
        <f>SUM(K232:R232)</f>
        <v>17479</v>
      </c>
      <c r="K232" s="1423">
        <f>SUM(K230:K231)</f>
        <v>14876</v>
      </c>
      <c r="L232" s="1423">
        <f>SUM(L230:L231)</f>
        <v>2603</v>
      </c>
      <c r="M232" s="1423"/>
      <c r="N232" s="1423"/>
      <c r="O232" s="1423"/>
      <c r="P232" s="1423"/>
      <c r="Q232" s="1423"/>
      <c r="R232" s="1424"/>
      <c r="S232" s="358"/>
      <c r="T232" s="358"/>
      <c r="U232" s="358"/>
      <c r="V232" s="358"/>
      <c r="W232" s="358"/>
      <c r="X232" s="358"/>
      <c r="Y232" s="358"/>
      <c r="Z232" s="358"/>
      <c r="AA232" s="358"/>
      <c r="AB232" s="358"/>
      <c r="AC232" s="358"/>
      <c r="AD232" s="358"/>
      <c r="AE232" s="358"/>
    </row>
    <row r="233" spans="1:31" s="58" customFormat="1" ht="20.100000000000001" customHeight="1" x14ac:dyDescent="0.3">
      <c r="A233" s="130">
        <v>224</v>
      </c>
      <c r="B233" s="310"/>
      <c r="C233" s="311">
        <v>2</v>
      </c>
      <c r="D233" s="710" t="s">
        <v>166</v>
      </c>
      <c r="E233" s="710"/>
      <c r="F233" s="455"/>
      <c r="G233" s="121">
        <v>121346</v>
      </c>
      <c r="H233" s="121">
        <v>164570</v>
      </c>
      <c r="I233" s="354">
        <v>129126</v>
      </c>
      <c r="J233" s="364"/>
      <c r="K233" s="121"/>
      <c r="L233" s="121"/>
      <c r="M233" s="121"/>
      <c r="N233" s="121"/>
      <c r="O233" s="121"/>
      <c r="P233" s="121"/>
      <c r="Q233" s="121"/>
      <c r="R233" s="135"/>
      <c r="S233" s="293"/>
      <c r="T233" s="293"/>
      <c r="U233" s="293"/>
      <c r="V233" s="293"/>
      <c r="W233" s="293"/>
      <c r="X233" s="293"/>
      <c r="Y233" s="293"/>
      <c r="Z233" s="293"/>
      <c r="AA233" s="293"/>
      <c r="AB233" s="293"/>
      <c r="AC233" s="293"/>
      <c r="AD233" s="293"/>
      <c r="AE233" s="293"/>
    </row>
    <row r="234" spans="1:31" s="817" customFormat="1" ht="18" customHeight="1" x14ac:dyDescent="0.3">
      <c r="A234" s="130">
        <v>225</v>
      </c>
      <c r="B234" s="807"/>
      <c r="C234" s="808"/>
      <c r="D234" s="851"/>
      <c r="E234" s="878" t="s">
        <v>311</v>
      </c>
      <c r="F234" s="811"/>
      <c r="G234" s="829"/>
      <c r="H234" s="829"/>
      <c r="I234" s="853"/>
      <c r="J234" s="854">
        <f t="shared" ref="J234:J237" si="52">SUM(K234:R234)</f>
        <v>185553</v>
      </c>
      <c r="K234" s="855">
        <v>3200</v>
      </c>
      <c r="L234" s="855">
        <v>1471</v>
      </c>
      <c r="M234" s="855">
        <v>164897</v>
      </c>
      <c r="N234" s="855"/>
      <c r="O234" s="855"/>
      <c r="P234" s="855">
        <v>15985</v>
      </c>
      <c r="Q234" s="855"/>
      <c r="R234" s="856"/>
      <c r="S234" s="868"/>
      <c r="T234" s="868"/>
      <c r="U234" s="868"/>
      <c r="V234" s="868"/>
      <c r="W234" s="868"/>
      <c r="X234" s="868"/>
      <c r="Y234" s="868"/>
      <c r="Z234" s="868"/>
      <c r="AA234" s="868"/>
      <c r="AB234" s="868"/>
      <c r="AC234" s="868"/>
      <c r="AD234" s="868"/>
      <c r="AE234" s="868"/>
    </row>
    <row r="235" spans="1:31" s="817" customFormat="1" ht="18" customHeight="1" x14ac:dyDescent="0.3">
      <c r="A235" s="130">
        <v>226</v>
      </c>
      <c r="B235" s="807"/>
      <c r="C235" s="1846"/>
      <c r="D235" s="851"/>
      <c r="E235" s="692" t="s">
        <v>1072</v>
      </c>
      <c r="F235" s="811"/>
      <c r="G235" s="829"/>
      <c r="H235" s="829"/>
      <c r="I235" s="853"/>
      <c r="J235" s="356">
        <f t="shared" si="52"/>
        <v>282698</v>
      </c>
      <c r="K235" s="1407">
        <v>3311</v>
      </c>
      <c r="L235" s="1407">
        <v>1971</v>
      </c>
      <c r="M235" s="1407">
        <v>268933</v>
      </c>
      <c r="N235" s="1407"/>
      <c r="O235" s="1407"/>
      <c r="P235" s="1407">
        <v>8483</v>
      </c>
      <c r="Q235" s="855"/>
      <c r="R235" s="856"/>
      <c r="S235" s="868"/>
      <c r="T235" s="868"/>
      <c r="U235" s="868"/>
      <c r="V235" s="868"/>
      <c r="W235" s="868"/>
      <c r="X235" s="868"/>
      <c r="Y235" s="868"/>
      <c r="Z235" s="868"/>
      <c r="AA235" s="868"/>
      <c r="AB235" s="868"/>
      <c r="AC235" s="868"/>
      <c r="AD235" s="868"/>
      <c r="AE235" s="868"/>
    </row>
    <row r="236" spans="1:31" s="55" customFormat="1" ht="18" customHeight="1" x14ac:dyDescent="0.3">
      <c r="A236" s="130">
        <v>227</v>
      </c>
      <c r="B236" s="1373"/>
      <c r="C236" s="1400"/>
      <c r="D236" s="1400"/>
      <c r="E236" s="1401" t="s">
        <v>986</v>
      </c>
      <c r="F236" s="317"/>
      <c r="G236" s="317"/>
      <c r="H236" s="317"/>
      <c r="I236" s="1402"/>
      <c r="J236" s="1403">
        <f t="shared" si="52"/>
        <v>0</v>
      </c>
      <c r="K236" s="360"/>
      <c r="L236" s="360"/>
      <c r="M236" s="360"/>
      <c r="N236" s="360"/>
      <c r="O236" s="360"/>
      <c r="P236" s="360"/>
      <c r="Q236" s="360"/>
      <c r="R236" s="361"/>
      <c r="S236" s="155"/>
      <c r="T236" s="155"/>
      <c r="U236" s="155"/>
      <c r="V236" s="155"/>
      <c r="W236" s="155"/>
      <c r="X236" s="155"/>
      <c r="Y236" s="155"/>
      <c r="Z236" s="155"/>
      <c r="AA236" s="155"/>
      <c r="AB236" s="155"/>
      <c r="AC236" s="155"/>
      <c r="AD236" s="155"/>
      <c r="AE236" s="155"/>
    </row>
    <row r="237" spans="1:31" s="58" customFormat="1" ht="18" customHeight="1" x14ac:dyDescent="0.3">
      <c r="A237" s="130">
        <v>228</v>
      </c>
      <c r="B237" s="462"/>
      <c r="C237" s="1404"/>
      <c r="D237" s="1404"/>
      <c r="E237" s="346" t="s">
        <v>1151</v>
      </c>
      <c r="F237" s="1405"/>
      <c r="G237" s="1405"/>
      <c r="H237" s="1405"/>
      <c r="I237" s="1406"/>
      <c r="J237" s="356">
        <f t="shared" si="52"/>
        <v>282698</v>
      </c>
      <c r="K237" s="1407">
        <f>SUM(K235:K236)</f>
        <v>3311</v>
      </c>
      <c r="L237" s="1407">
        <f>SUM(L235:L236)</f>
        <v>1971</v>
      </c>
      <c r="M237" s="1407">
        <f>SUM(M235:M236)</f>
        <v>268933</v>
      </c>
      <c r="N237" s="1407"/>
      <c r="O237" s="1407"/>
      <c r="P237" s="1407">
        <f>SUM(P235:P236)</f>
        <v>8483</v>
      </c>
      <c r="Q237" s="1407"/>
      <c r="R237" s="1408"/>
      <c r="S237" s="293"/>
      <c r="T237" s="293"/>
      <c r="U237" s="293"/>
      <c r="V237" s="293"/>
      <c r="W237" s="293"/>
      <c r="X237" s="293"/>
      <c r="Y237" s="293"/>
      <c r="Z237" s="293"/>
      <c r="AA237" s="293"/>
      <c r="AB237" s="293"/>
      <c r="AC237" s="293"/>
      <c r="AD237" s="293"/>
      <c r="AE237" s="293"/>
    </row>
    <row r="238" spans="1:31" s="58" customFormat="1" ht="20.100000000000001" customHeight="1" x14ac:dyDescent="0.3">
      <c r="A238" s="130">
        <v>229</v>
      </c>
      <c r="B238" s="310"/>
      <c r="C238" s="311">
        <v>3</v>
      </c>
      <c r="D238" s="710" t="s">
        <v>35</v>
      </c>
      <c r="E238" s="710"/>
      <c r="F238" s="455"/>
      <c r="G238" s="121">
        <v>81896</v>
      </c>
      <c r="H238" s="121">
        <v>96571</v>
      </c>
      <c r="I238" s="354">
        <v>96889</v>
      </c>
      <c r="J238" s="364"/>
      <c r="K238" s="121"/>
      <c r="L238" s="121"/>
      <c r="M238" s="121"/>
      <c r="N238" s="121"/>
      <c r="O238" s="121"/>
      <c r="P238" s="121"/>
      <c r="Q238" s="121"/>
      <c r="R238" s="135"/>
      <c r="S238" s="293"/>
      <c r="T238" s="293"/>
      <c r="U238" s="293"/>
      <c r="V238" s="293"/>
      <c r="W238" s="293"/>
      <c r="X238" s="293"/>
      <c r="Y238" s="293"/>
      <c r="Z238" s="293"/>
      <c r="AA238" s="293"/>
      <c r="AB238" s="293"/>
      <c r="AC238" s="293"/>
      <c r="AD238" s="293"/>
      <c r="AE238" s="293"/>
    </row>
    <row r="239" spans="1:31" s="817" customFormat="1" ht="18" customHeight="1" x14ac:dyDescent="0.3">
      <c r="A239" s="130">
        <v>230</v>
      </c>
      <c r="B239" s="807"/>
      <c r="C239" s="808"/>
      <c r="D239" s="851"/>
      <c r="E239" s="878" t="s">
        <v>311</v>
      </c>
      <c r="F239" s="811"/>
      <c r="G239" s="829"/>
      <c r="H239" s="829"/>
      <c r="I239" s="853"/>
      <c r="J239" s="854">
        <f>SUM(K239:R239)</f>
        <v>91571</v>
      </c>
      <c r="K239" s="855"/>
      <c r="L239" s="855"/>
      <c r="M239" s="855">
        <v>73191</v>
      </c>
      <c r="N239" s="855"/>
      <c r="O239" s="855"/>
      <c r="P239" s="855">
        <v>18380</v>
      </c>
      <c r="Q239" s="855"/>
      <c r="R239" s="856"/>
      <c r="S239" s="868"/>
      <c r="T239" s="868"/>
      <c r="U239" s="868"/>
      <c r="V239" s="868"/>
      <c r="W239" s="868"/>
      <c r="X239" s="868"/>
      <c r="Y239" s="868"/>
      <c r="Z239" s="868"/>
      <c r="AA239" s="868"/>
      <c r="AB239" s="868"/>
      <c r="AC239" s="868"/>
      <c r="AD239" s="868"/>
      <c r="AE239" s="868"/>
    </row>
    <row r="240" spans="1:31" s="817" customFormat="1" ht="18" customHeight="1" x14ac:dyDescent="0.3">
      <c r="A240" s="130">
        <v>231</v>
      </c>
      <c r="B240" s="807"/>
      <c r="C240" s="1846"/>
      <c r="D240" s="851"/>
      <c r="E240" s="692" t="s">
        <v>1072</v>
      </c>
      <c r="F240" s="811"/>
      <c r="G240" s="829"/>
      <c r="H240" s="829"/>
      <c r="I240" s="853"/>
      <c r="J240" s="356">
        <f>SUM(K240:R240)</f>
        <v>117796</v>
      </c>
      <c r="K240" s="855"/>
      <c r="L240" s="855"/>
      <c r="M240" s="1407">
        <v>93722</v>
      </c>
      <c r="N240" s="1407"/>
      <c r="O240" s="1407"/>
      <c r="P240" s="1407">
        <v>24074</v>
      </c>
      <c r="Q240" s="855"/>
      <c r="R240" s="856"/>
      <c r="S240" s="868"/>
      <c r="T240" s="868"/>
      <c r="U240" s="868"/>
      <c r="V240" s="868"/>
      <c r="W240" s="868"/>
      <c r="X240" s="868"/>
      <c r="Y240" s="868"/>
      <c r="Z240" s="868"/>
      <c r="AA240" s="868"/>
      <c r="AB240" s="868"/>
      <c r="AC240" s="868"/>
      <c r="AD240" s="868"/>
      <c r="AE240" s="868"/>
    </row>
    <row r="241" spans="1:31" s="55" customFormat="1" ht="18" customHeight="1" x14ac:dyDescent="0.3">
      <c r="A241" s="130">
        <v>232</v>
      </c>
      <c r="B241" s="1373"/>
      <c r="C241" s="1400"/>
      <c r="D241" s="1400"/>
      <c r="E241" s="1401" t="s">
        <v>963</v>
      </c>
      <c r="F241" s="317"/>
      <c r="G241" s="317"/>
      <c r="H241" s="317"/>
      <c r="I241" s="1402"/>
      <c r="J241" s="1403">
        <f>SUM(K241:R241)</f>
        <v>0</v>
      </c>
      <c r="K241" s="360"/>
      <c r="L241" s="360"/>
      <c r="M241" s="360"/>
      <c r="N241" s="360"/>
      <c r="O241" s="360"/>
      <c r="P241" s="360"/>
      <c r="Q241" s="360"/>
      <c r="R241" s="361"/>
      <c r="S241" s="155"/>
      <c r="T241" s="155"/>
      <c r="U241" s="155"/>
      <c r="V241" s="155"/>
      <c r="W241" s="155"/>
      <c r="X241" s="155"/>
      <c r="Y241" s="155"/>
      <c r="Z241" s="155"/>
      <c r="AA241" s="155"/>
      <c r="AB241" s="155"/>
      <c r="AC241" s="155"/>
      <c r="AD241" s="155"/>
      <c r="AE241" s="155"/>
    </row>
    <row r="242" spans="1:31" s="58" customFormat="1" ht="18" customHeight="1" x14ac:dyDescent="0.3">
      <c r="A242" s="130">
        <v>233</v>
      </c>
      <c r="B242" s="462"/>
      <c r="C242" s="1404"/>
      <c r="D242" s="1404"/>
      <c r="E242" s="346" t="s">
        <v>1151</v>
      </c>
      <c r="F242" s="1405"/>
      <c r="G242" s="1405"/>
      <c r="H242" s="1405"/>
      <c r="I242" s="1406"/>
      <c r="J242" s="356">
        <f>SUM(K242:R242)</f>
        <v>117796</v>
      </c>
      <c r="K242" s="1407"/>
      <c r="L242" s="1407"/>
      <c r="M242" s="1407">
        <f>SUM(M240:M241)</f>
        <v>93722</v>
      </c>
      <c r="N242" s="1407"/>
      <c r="O242" s="1407"/>
      <c r="P242" s="1407">
        <f t="shared" ref="P242" si="53">SUM(P240:P241)</f>
        <v>24074</v>
      </c>
      <c r="Q242" s="1407"/>
      <c r="R242" s="1408"/>
      <c r="S242" s="293"/>
      <c r="T242" s="293"/>
      <c r="U242" s="293"/>
      <c r="V242" s="293"/>
      <c r="W242" s="293"/>
      <c r="X242" s="293"/>
      <c r="Y242" s="293"/>
      <c r="Z242" s="293"/>
      <c r="AA242" s="293"/>
      <c r="AB242" s="293"/>
      <c r="AC242" s="293"/>
      <c r="AD242" s="293"/>
      <c r="AE242" s="293"/>
    </row>
    <row r="243" spans="1:31" s="58" customFormat="1" ht="20.100000000000001" customHeight="1" x14ac:dyDescent="0.3">
      <c r="A243" s="130">
        <v>234</v>
      </c>
      <c r="B243" s="310"/>
      <c r="C243" s="311">
        <v>4</v>
      </c>
      <c r="D243" s="710" t="s">
        <v>167</v>
      </c>
      <c r="E243" s="710"/>
      <c r="F243" s="455"/>
      <c r="G243" s="121">
        <v>2690</v>
      </c>
      <c r="H243" s="121">
        <v>6350</v>
      </c>
      <c r="I243" s="354">
        <v>2385</v>
      </c>
      <c r="J243" s="364"/>
      <c r="K243" s="121"/>
      <c r="L243" s="121"/>
      <c r="M243" s="121"/>
      <c r="N243" s="121"/>
      <c r="O243" s="121"/>
      <c r="P243" s="121"/>
      <c r="Q243" s="121"/>
      <c r="R243" s="135"/>
      <c r="S243" s="293"/>
      <c r="T243" s="293"/>
      <c r="U243" s="293"/>
      <c r="V243" s="293"/>
      <c r="W243" s="293"/>
      <c r="X243" s="293"/>
      <c r="Y243" s="293"/>
      <c r="Z243" s="293"/>
      <c r="AA243" s="293"/>
      <c r="AB243" s="293"/>
      <c r="AC243" s="293"/>
      <c r="AD243" s="293"/>
      <c r="AE243" s="293"/>
    </row>
    <row r="244" spans="1:31" s="817" customFormat="1" ht="18" customHeight="1" x14ac:dyDescent="0.3">
      <c r="A244" s="130">
        <v>235</v>
      </c>
      <c r="B244" s="807"/>
      <c r="C244" s="808"/>
      <c r="D244" s="851"/>
      <c r="E244" s="878" t="s">
        <v>311</v>
      </c>
      <c r="F244" s="811"/>
      <c r="G244" s="829"/>
      <c r="H244" s="829"/>
      <c r="I244" s="853"/>
      <c r="J244" s="854">
        <f>SUM(K244:R244)</f>
        <v>7800</v>
      </c>
      <c r="K244" s="855"/>
      <c r="L244" s="855"/>
      <c r="M244" s="855">
        <v>7800</v>
      </c>
      <c r="N244" s="855"/>
      <c r="O244" s="855"/>
      <c r="P244" s="855"/>
      <c r="Q244" s="855"/>
      <c r="R244" s="856"/>
      <c r="S244" s="868"/>
      <c r="T244" s="868"/>
      <c r="U244" s="868"/>
      <c r="V244" s="868"/>
      <c r="W244" s="868"/>
      <c r="X244" s="868"/>
      <c r="Y244" s="868"/>
      <c r="Z244" s="868"/>
      <c r="AA244" s="868"/>
      <c r="AB244" s="868"/>
      <c r="AC244" s="868"/>
      <c r="AD244" s="868"/>
      <c r="AE244" s="868"/>
    </row>
    <row r="245" spans="1:31" s="817" customFormat="1" ht="18" customHeight="1" x14ac:dyDescent="0.3">
      <c r="A245" s="130">
        <v>236</v>
      </c>
      <c r="B245" s="807"/>
      <c r="C245" s="1846"/>
      <c r="D245" s="851"/>
      <c r="E245" s="692" t="s">
        <v>1072</v>
      </c>
      <c r="F245" s="811"/>
      <c r="G245" s="829"/>
      <c r="H245" s="829"/>
      <c r="I245" s="853"/>
      <c r="J245" s="356">
        <f>SUM(K245:R245)</f>
        <v>13972</v>
      </c>
      <c r="K245" s="855"/>
      <c r="L245" s="855"/>
      <c r="M245" s="1407">
        <v>13972</v>
      </c>
      <c r="N245" s="855"/>
      <c r="O245" s="855"/>
      <c r="P245" s="855"/>
      <c r="Q245" s="855"/>
      <c r="R245" s="856"/>
      <c r="S245" s="868"/>
      <c r="T245" s="868"/>
      <c r="U245" s="868"/>
      <c r="V245" s="868"/>
      <c r="W245" s="868"/>
      <c r="X245" s="868"/>
      <c r="Y245" s="868"/>
      <c r="Z245" s="868"/>
      <c r="AA245" s="868"/>
      <c r="AB245" s="868"/>
      <c r="AC245" s="868"/>
      <c r="AD245" s="868"/>
      <c r="AE245" s="868"/>
    </row>
    <row r="246" spans="1:31" s="55" customFormat="1" ht="18" customHeight="1" x14ac:dyDescent="0.3">
      <c r="A246" s="130">
        <v>237</v>
      </c>
      <c r="B246" s="1373"/>
      <c r="C246" s="1400"/>
      <c r="D246" s="1400"/>
      <c r="E246" s="1401" t="s">
        <v>986</v>
      </c>
      <c r="F246" s="317"/>
      <c r="G246" s="317"/>
      <c r="H246" s="317"/>
      <c r="I246" s="1402"/>
      <c r="J246" s="1403">
        <f>SUM(K246:R246)</f>
        <v>0</v>
      </c>
      <c r="K246" s="360"/>
      <c r="L246" s="360"/>
      <c r="M246" s="360"/>
      <c r="N246" s="360"/>
      <c r="O246" s="360"/>
      <c r="P246" s="360"/>
      <c r="Q246" s="360"/>
      <c r="R246" s="361"/>
      <c r="S246" s="155"/>
      <c r="T246" s="155"/>
      <c r="U246" s="155"/>
      <c r="V246" s="155"/>
      <c r="W246" s="155"/>
      <c r="X246" s="155"/>
      <c r="Y246" s="155"/>
      <c r="Z246" s="155"/>
      <c r="AA246" s="155"/>
      <c r="AB246" s="155"/>
      <c r="AC246" s="155"/>
      <c r="AD246" s="155"/>
      <c r="AE246" s="155"/>
    </row>
    <row r="247" spans="1:31" s="58" customFormat="1" ht="18" customHeight="1" x14ac:dyDescent="0.3">
      <c r="A247" s="130">
        <v>238</v>
      </c>
      <c r="B247" s="462"/>
      <c r="C247" s="1404"/>
      <c r="D247" s="1404"/>
      <c r="E247" s="346" t="s">
        <v>1151</v>
      </c>
      <c r="F247" s="1405"/>
      <c r="G247" s="1405"/>
      <c r="H247" s="1405"/>
      <c r="I247" s="1406"/>
      <c r="J247" s="356">
        <f>SUM(K247:R247)</f>
        <v>13972</v>
      </c>
      <c r="K247" s="1407"/>
      <c r="L247" s="1407"/>
      <c r="M247" s="1407">
        <f>SUM(M245:M246)</f>
        <v>13972</v>
      </c>
      <c r="N247" s="1407"/>
      <c r="O247" s="1407"/>
      <c r="P247" s="1407"/>
      <c r="Q247" s="1407"/>
      <c r="R247" s="1408"/>
      <c r="S247" s="293"/>
      <c r="T247" s="293"/>
      <c r="U247" s="293"/>
      <c r="V247" s="293"/>
      <c r="W247" s="293"/>
      <c r="X247" s="293"/>
      <c r="Y247" s="293"/>
      <c r="Z247" s="293"/>
      <c r="AA247" s="293"/>
      <c r="AB247" s="293"/>
      <c r="AC247" s="293"/>
      <c r="AD247" s="293"/>
      <c r="AE247" s="293"/>
    </row>
    <row r="248" spans="1:31" s="58" customFormat="1" ht="30" customHeight="1" x14ac:dyDescent="0.3">
      <c r="A248" s="130">
        <v>239</v>
      </c>
      <c r="B248" s="462"/>
      <c r="C248" s="315">
        <v>5</v>
      </c>
      <c r="D248" s="2159" t="s">
        <v>395</v>
      </c>
      <c r="E248" s="2160"/>
      <c r="F248" s="711"/>
      <c r="G248" s="316">
        <v>1577</v>
      </c>
      <c r="H248" s="316"/>
      <c r="I248" s="1753"/>
      <c r="J248" s="356"/>
      <c r="K248" s="365"/>
      <c r="L248" s="365"/>
      <c r="M248" s="365"/>
      <c r="N248" s="365"/>
      <c r="O248" s="365"/>
      <c r="P248" s="365"/>
      <c r="Q248" s="365"/>
      <c r="R248" s="366"/>
      <c r="S248" s="293"/>
      <c r="T248" s="293"/>
      <c r="U248" s="293"/>
      <c r="V248" s="293"/>
      <c r="W248" s="293"/>
      <c r="X248" s="293"/>
      <c r="Y248" s="293"/>
      <c r="Z248" s="293"/>
      <c r="AA248" s="293"/>
      <c r="AB248" s="293"/>
      <c r="AC248" s="293"/>
      <c r="AD248" s="293"/>
      <c r="AE248" s="293"/>
    </row>
    <row r="249" spans="1:31" s="58" customFormat="1" ht="20.100000000000001" customHeight="1" x14ac:dyDescent="0.3">
      <c r="A249" s="130">
        <v>240</v>
      </c>
      <c r="B249" s="462"/>
      <c r="C249" s="311">
        <v>6</v>
      </c>
      <c r="D249" s="710" t="s">
        <v>392</v>
      </c>
      <c r="E249" s="710"/>
      <c r="F249" s="455"/>
      <c r="G249" s="316">
        <v>4167</v>
      </c>
      <c r="H249" s="316">
        <v>2495</v>
      </c>
      <c r="I249" s="1753"/>
      <c r="J249" s="356"/>
      <c r="K249" s="365"/>
      <c r="L249" s="365"/>
      <c r="M249" s="365"/>
      <c r="N249" s="365"/>
      <c r="O249" s="365"/>
      <c r="P249" s="365"/>
      <c r="Q249" s="365"/>
      <c r="R249" s="366"/>
      <c r="S249" s="293"/>
      <c r="T249" s="293"/>
      <c r="U249" s="293"/>
      <c r="V249" s="293"/>
      <c r="W249" s="293"/>
      <c r="X249" s="293"/>
      <c r="Y249" s="293"/>
      <c r="Z249" s="293"/>
      <c r="AA249" s="293"/>
      <c r="AB249" s="293"/>
      <c r="AC249" s="293"/>
      <c r="AD249" s="293"/>
      <c r="AE249" s="293"/>
    </row>
    <row r="250" spans="1:31" s="58" customFormat="1" ht="30" customHeight="1" x14ac:dyDescent="0.3">
      <c r="A250" s="130">
        <v>241</v>
      </c>
      <c r="B250" s="462"/>
      <c r="C250" s="315">
        <v>7</v>
      </c>
      <c r="D250" s="2094" t="s">
        <v>615</v>
      </c>
      <c r="E250" s="2095"/>
      <c r="F250" s="455"/>
      <c r="G250" s="316"/>
      <c r="H250" s="316">
        <v>8475</v>
      </c>
      <c r="I250" s="1753"/>
      <c r="J250" s="356"/>
      <c r="K250" s="353"/>
      <c r="L250" s="353"/>
      <c r="M250" s="365"/>
      <c r="N250" s="365"/>
      <c r="O250" s="365"/>
      <c r="P250" s="365"/>
      <c r="Q250" s="365"/>
      <c r="R250" s="366"/>
      <c r="S250" s="293"/>
      <c r="T250" s="293"/>
      <c r="U250" s="293"/>
      <c r="V250" s="293"/>
      <c r="W250" s="293"/>
      <c r="X250" s="293"/>
      <c r="Y250" s="293"/>
      <c r="Z250" s="293"/>
      <c r="AA250" s="293"/>
      <c r="AB250" s="293"/>
      <c r="AC250" s="293"/>
      <c r="AD250" s="293"/>
      <c r="AE250" s="293"/>
    </row>
    <row r="251" spans="1:31" s="858" customFormat="1" ht="18" customHeight="1" x14ac:dyDescent="0.3">
      <c r="A251" s="130">
        <v>242</v>
      </c>
      <c r="B251" s="807"/>
      <c r="C251" s="808"/>
      <c r="D251" s="851"/>
      <c r="E251" s="878" t="s">
        <v>311</v>
      </c>
      <c r="F251" s="879"/>
      <c r="G251" s="829"/>
      <c r="H251" s="829"/>
      <c r="I251" s="853"/>
      <c r="J251" s="854">
        <f t="shared" ref="J251:J256" si="54">SUM(K251:R251)</f>
        <v>13852</v>
      </c>
      <c r="K251" s="876">
        <v>11592</v>
      </c>
      <c r="L251" s="876">
        <v>2260</v>
      </c>
      <c r="M251" s="876"/>
      <c r="N251" s="876"/>
      <c r="O251" s="876"/>
      <c r="P251" s="876"/>
      <c r="Q251" s="876"/>
      <c r="R251" s="877"/>
      <c r="S251" s="857"/>
      <c r="T251" s="857"/>
      <c r="U251" s="857"/>
      <c r="V251" s="857"/>
      <c r="W251" s="857"/>
      <c r="X251" s="857"/>
      <c r="Y251" s="857"/>
      <c r="Z251" s="857"/>
      <c r="AA251" s="857"/>
      <c r="AB251" s="857"/>
      <c r="AC251" s="857"/>
      <c r="AD251" s="857"/>
      <c r="AE251" s="857"/>
    </row>
    <row r="252" spans="1:31" s="858" customFormat="1" ht="18" customHeight="1" x14ac:dyDescent="0.3">
      <c r="A252" s="130">
        <v>243</v>
      </c>
      <c r="B252" s="807"/>
      <c r="C252" s="1846"/>
      <c r="D252" s="851"/>
      <c r="E252" s="692" t="s">
        <v>1072</v>
      </c>
      <c r="F252" s="879"/>
      <c r="G252" s="829"/>
      <c r="H252" s="829"/>
      <c r="I252" s="853"/>
      <c r="J252" s="356">
        <f>SUM(K252:R252)</f>
        <v>13852</v>
      </c>
      <c r="K252" s="365">
        <v>11592</v>
      </c>
      <c r="L252" s="365">
        <v>2260</v>
      </c>
      <c r="M252" s="876"/>
      <c r="N252" s="876"/>
      <c r="O252" s="876"/>
      <c r="P252" s="876"/>
      <c r="Q252" s="876"/>
      <c r="R252" s="877"/>
      <c r="S252" s="857"/>
      <c r="T252" s="857"/>
      <c r="U252" s="857"/>
      <c r="V252" s="857"/>
      <c r="W252" s="857"/>
      <c r="X252" s="857"/>
      <c r="Y252" s="857"/>
      <c r="Z252" s="857"/>
      <c r="AA252" s="857"/>
      <c r="AB252" s="857"/>
      <c r="AC252" s="857"/>
      <c r="AD252" s="857"/>
      <c r="AE252" s="857"/>
    </row>
    <row r="253" spans="1:31" s="55" customFormat="1" ht="18" customHeight="1" x14ac:dyDescent="0.3">
      <c r="A253" s="130">
        <v>244</v>
      </c>
      <c r="B253" s="1373"/>
      <c r="C253" s="1400"/>
      <c r="D253" s="1400"/>
      <c r="E253" s="1401" t="s">
        <v>987</v>
      </c>
      <c r="F253" s="317"/>
      <c r="G253" s="317"/>
      <c r="H253" s="317"/>
      <c r="I253" s="1402"/>
      <c r="J253" s="1403">
        <f>SUM(K253:R253)</f>
        <v>-13852</v>
      </c>
      <c r="K253" s="360">
        <v>-11592</v>
      </c>
      <c r="L253" s="360">
        <v>-2260</v>
      </c>
      <c r="M253" s="360"/>
      <c r="N253" s="360"/>
      <c r="O253" s="360"/>
      <c r="P253" s="360"/>
      <c r="Q253" s="360"/>
      <c r="R253" s="361"/>
      <c r="S253" s="155"/>
      <c r="T253" s="155"/>
      <c r="U253" s="155"/>
      <c r="V253" s="155"/>
      <c r="W253" s="155"/>
      <c r="X253" s="155"/>
      <c r="Y253" s="155"/>
      <c r="Z253" s="155"/>
      <c r="AA253" s="155"/>
      <c r="AB253" s="155"/>
      <c r="AC253" s="155"/>
      <c r="AD253" s="155"/>
      <c r="AE253" s="155"/>
    </row>
    <row r="254" spans="1:31" s="58" customFormat="1" ht="18" customHeight="1" x14ac:dyDescent="0.3">
      <c r="A254" s="130">
        <v>245</v>
      </c>
      <c r="B254" s="462"/>
      <c r="C254" s="1404"/>
      <c r="D254" s="1404"/>
      <c r="E254" s="346" t="s">
        <v>1151</v>
      </c>
      <c r="F254" s="1405"/>
      <c r="G254" s="1405"/>
      <c r="H254" s="1405"/>
      <c r="I254" s="1406"/>
      <c r="J254" s="356">
        <f>SUM(K254:R254)</f>
        <v>0</v>
      </c>
      <c r="K254" s="1407">
        <f>SUM(K252:K253)</f>
        <v>0</v>
      </c>
      <c r="L254" s="1407">
        <f>SUM(L252:L253)</f>
        <v>0</v>
      </c>
      <c r="M254" s="1407"/>
      <c r="N254" s="1407"/>
      <c r="O254" s="1407"/>
      <c r="P254" s="1407"/>
      <c r="Q254" s="1407"/>
      <c r="R254" s="1408"/>
      <c r="S254" s="293"/>
      <c r="T254" s="293"/>
      <c r="U254" s="293"/>
      <c r="V254" s="293"/>
      <c r="W254" s="293"/>
      <c r="X254" s="293"/>
      <c r="Y254" s="293"/>
      <c r="Z254" s="293"/>
      <c r="AA254" s="293"/>
      <c r="AB254" s="293"/>
      <c r="AC254" s="293"/>
      <c r="AD254" s="293"/>
      <c r="AE254" s="293"/>
    </row>
    <row r="255" spans="1:31" s="58" customFormat="1" ht="30" customHeight="1" x14ac:dyDescent="0.3">
      <c r="A255" s="130">
        <v>246</v>
      </c>
      <c r="B255" s="462"/>
      <c r="C255" s="315">
        <v>8</v>
      </c>
      <c r="D255" s="2094" t="s">
        <v>616</v>
      </c>
      <c r="E255" s="2095"/>
      <c r="F255" s="455"/>
      <c r="G255" s="316"/>
      <c r="H255" s="316">
        <v>3250</v>
      </c>
      <c r="I255" s="1753"/>
      <c r="J255" s="356"/>
      <c r="K255" s="353"/>
      <c r="L255" s="353"/>
      <c r="M255" s="365"/>
      <c r="N255" s="365"/>
      <c r="O255" s="365"/>
      <c r="P255" s="365"/>
      <c r="Q255" s="365"/>
      <c r="R255" s="366"/>
      <c r="S255" s="293"/>
      <c r="T255" s="293"/>
      <c r="U255" s="293"/>
      <c r="V255" s="293"/>
      <c r="W255" s="293"/>
      <c r="X255" s="293"/>
      <c r="Y255" s="293"/>
      <c r="Z255" s="293"/>
      <c r="AA255" s="293"/>
      <c r="AB255" s="293"/>
      <c r="AC255" s="293"/>
      <c r="AD255" s="293"/>
      <c r="AE255" s="293"/>
    </row>
    <row r="256" spans="1:31" s="858" customFormat="1" ht="18" customHeight="1" x14ac:dyDescent="0.3">
      <c r="A256" s="130">
        <v>247</v>
      </c>
      <c r="B256" s="807"/>
      <c r="C256" s="808"/>
      <c r="D256" s="851"/>
      <c r="E256" s="878" t="s">
        <v>311</v>
      </c>
      <c r="F256" s="879"/>
      <c r="G256" s="829"/>
      <c r="H256" s="829"/>
      <c r="I256" s="853"/>
      <c r="J256" s="854">
        <f t="shared" si="54"/>
        <v>3250</v>
      </c>
      <c r="K256" s="876">
        <v>2720</v>
      </c>
      <c r="L256" s="876">
        <v>530</v>
      </c>
      <c r="M256" s="876"/>
      <c r="N256" s="876"/>
      <c r="O256" s="876"/>
      <c r="P256" s="876"/>
      <c r="Q256" s="876"/>
      <c r="R256" s="877"/>
      <c r="S256" s="857"/>
      <c r="T256" s="857"/>
      <c r="U256" s="857"/>
      <c r="V256" s="857"/>
      <c r="W256" s="857"/>
      <c r="X256" s="857"/>
      <c r="Y256" s="857"/>
      <c r="Z256" s="857"/>
      <c r="AA256" s="857"/>
      <c r="AB256" s="857"/>
      <c r="AC256" s="857"/>
      <c r="AD256" s="857"/>
      <c r="AE256" s="857"/>
    </row>
    <row r="257" spans="1:31" s="858" customFormat="1" ht="18" customHeight="1" x14ac:dyDescent="0.3">
      <c r="A257" s="130">
        <v>248</v>
      </c>
      <c r="B257" s="807"/>
      <c r="C257" s="1846"/>
      <c r="D257" s="851"/>
      <c r="E257" s="692" t="s">
        <v>1072</v>
      </c>
      <c r="F257" s="879"/>
      <c r="G257" s="829"/>
      <c r="H257" s="829"/>
      <c r="I257" s="853"/>
      <c r="J257" s="356">
        <f>SUM(K257:R257)</f>
        <v>3250</v>
      </c>
      <c r="K257" s="365">
        <v>2720</v>
      </c>
      <c r="L257" s="365">
        <v>530</v>
      </c>
      <c r="M257" s="876"/>
      <c r="N257" s="876"/>
      <c r="O257" s="876"/>
      <c r="P257" s="876"/>
      <c r="Q257" s="876"/>
      <c r="R257" s="877"/>
      <c r="S257" s="857"/>
      <c r="T257" s="857"/>
      <c r="U257" s="857"/>
      <c r="V257" s="857"/>
      <c r="W257" s="857"/>
      <c r="X257" s="857"/>
      <c r="Y257" s="857"/>
      <c r="Z257" s="857"/>
      <c r="AA257" s="857"/>
      <c r="AB257" s="857"/>
      <c r="AC257" s="857"/>
      <c r="AD257" s="857"/>
      <c r="AE257" s="857"/>
    </row>
    <row r="258" spans="1:31" s="55" customFormat="1" ht="18" customHeight="1" x14ac:dyDescent="0.3">
      <c r="A258" s="130">
        <v>249</v>
      </c>
      <c r="B258" s="1373"/>
      <c r="C258" s="1400"/>
      <c r="D258" s="1400"/>
      <c r="E258" s="1401" t="s">
        <v>963</v>
      </c>
      <c r="F258" s="317"/>
      <c r="G258" s="317"/>
      <c r="H258" s="317"/>
      <c r="I258" s="1402"/>
      <c r="J258" s="1403">
        <f>SUM(K258:R258)</f>
        <v>0</v>
      </c>
      <c r="K258" s="360"/>
      <c r="L258" s="360"/>
      <c r="M258" s="360"/>
      <c r="N258" s="360"/>
      <c r="O258" s="360"/>
      <c r="P258" s="360"/>
      <c r="Q258" s="360"/>
      <c r="R258" s="361"/>
      <c r="S258" s="155"/>
      <c r="T258" s="155"/>
      <c r="U258" s="155"/>
      <c r="V258" s="155"/>
      <c r="W258" s="155"/>
      <c r="X258" s="155"/>
      <c r="Y258" s="155"/>
      <c r="Z258" s="155"/>
      <c r="AA258" s="155"/>
      <c r="AB258" s="155"/>
      <c r="AC258" s="155"/>
      <c r="AD258" s="155"/>
      <c r="AE258" s="155"/>
    </row>
    <row r="259" spans="1:31" s="58" customFormat="1" ht="18" customHeight="1" x14ac:dyDescent="0.3">
      <c r="A259" s="130">
        <v>250</v>
      </c>
      <c r="B259" s="462"/>
      <c r="C259" s="1404"/>
      <c r="D259" s="1404"/>
      <c r="E259" s="346" t="s">
        <v>1151</v>
      </c>
      <c r="F259" s="1405"/>
      <c r="G259" s="1405"/>
      <c r="H259" s="1405"/>
      <c r="I259" s="1406"/>
      <c r="J259" s="356">
        <f>SUM(K259:R259)</f>
        <v>3250</v>
      </c>
      <c r="K259" s="1407">
        <f>SUM(K257:K258)</f>
        <v>2720</v>
      </c>
      <c r="L259" s="1407">
        <f>SUM(L257:L258)</f>
        <v>530</v>
      </c>
      <c r="M259" s="1407"/>
      <c r="N259" s="1407"/>
      <c r="O259" s="1407"/>
      <c r="P259" s="1407"/>
      <c r="Q259" s="1407"/>
      <c r="R259" s="1408"/>
      <c r="S259" s="293"/>
      <c r="T259" s="293"/>
      <c r="U259" s="293"/>
      <c r="V259" s="293"/>
      <c r="W259" s="293"/>
      <c r="X259" s="293"/>
      <c r="Y259" s="293"/>
      <c r="Z259" s="293"/>
      <c r="AA259" s="293"/>
      <c r="AB259" s="293"/>
      <c r="AC259" s="293"/>
      <c r="AD259" s="293"/>
      <c r="AE259" s="293"/>
    </row>
    <row r="260" spans="1:31" s="58" customFormat="1" ht="20.100000000000001" customHeight="1" x14ac:dyDescent="0.3">
      <c r="A260" s="130">
        <v>251</v>
      </c>
      <c r="B260" s="462"/>
      <c r="C260" s="311">
        <v>9</v>
      </c>
      <c r="D260" s="710" t="s">
        <v>535</v>
      </c>
      <c r="E260" s="710"/>
      <c r="F260" s="455"/>
      <c r="G260" s="316"/>
      <c r="H260" s="316"/>
      <c r="I260" s="1753"/>
      <c r="J260" s="356"/>
      <c r="K260" s="365"/>
      <c r="L260" s="365"/>
      <c r="M260" s="365"/>
      <c r="N260" s="365"/>
      <c r="O260" s="365"/>
      <c r="P260" s="365"/>
      <c r="Q260" s="365"/>
      <c r="R260" s="366"/>
      <c r="S260" s="293"/>
      <c r="T260" s="293"/>
      <c r="U260" s="293"/>
      <c r="V260" s="293"/>
      <c r="W260" s="293"/>
      <c r="X260" s="293"/>
      <c r="Y260" s="293"/>
      <c r="Z260" s="293"/>
      <c r="AA260" s="293"/>
      <c r="AB260" s="293"/>
      <c r="AC260" s="293"/>
      <c r="AD260" s="293"/>
      <c r="AE260" s="293"/>
    </row>
    <row r="261" spans="1:31" s="858" customFormat="1" ht="18" customHeight="1" x14ac:dyDescent="0.3">
      <c r="A261" s="130">
        <v>252</v>
      </c>
      <c r="B261" s="807"/>
      <c r="C261" s="808"/>
      <c r="D261" s="851"/>
      <c r="E261" s="878" t="s">
        <v>311</v>
      </c>
      <c r="F261" s="879"/>
      <c r="G261" s="829"/>
      <c r="H261" s="829"/>
      <c r="I261" s="853"/>
      <c r="J261" s="854">
        <f>SUM(K261:R261)</f>
        <v>6000</v>
      </c>
      <c r="K261" s="876">
        <v>4918</v>
      </c>
      <c r="L261" s="876">
        <v>1082</v>
      </c>
      <c r="M261" s="876"/>
      <c r="N261" s="876"/>
      <c r="O261" s="876"/>
      <c r="P261" s="876"/>
      <c r="Q261" s="876"/>
      <c r="R261" s="877"/>
      <c r="S261" s="857"/>
      <c r="T261" s="857"/>
      <c r="U261" s="857"/>
      <c r="V261" s="857"/>
      <c r="W261" s="857"/>
      <c r="X261" s="857"/>
      <c r="Y261" s="857"/>
      <c r="Z261" s="857"/>
      <c r="AA261" s="857"/>
      <c r="AB261" s="857"/>
      <c r="AC261" s="857"/>
      <c r="AD261" s="857"/>
      <c r="AE261" s="857"/>
    </row>
    <row r="262" spans="1:31" s="858" customFormat="1" ht="18" customHeight="1" x14ac:dyDescent="0.3">
      <c r="A262" s="130">
        <v>253</v>
      </c>
      <c r="B262" s="807"/>
      <c r="C262" s="1846"/>
      <c r="D262" s="851"/>
      <c r="E262" s="692" t="s">
        <v>1072</v>
      </c>
      <c r="F262" s="879"/>
      <c r="G262" s="829"/>
      <c r="H262" s="829"/>
      <c r="I262" s="853"/>
      <c r="J262" s="356">
        <f>SUM(K262:R262)</f>
        <v>6000</v>
      </c>
      <c r="K262" s="365">
        <v>4918</v>
      </c>
      <c r="L262" s="365">
        <v>1082</v>
      </c>
      <c r="M262" s="876"/>
      <c r="N262" s="876"/>
      <c r="O262" s="876"/>
      <c r="P262" s="876"/>
      <c r="Q262" s="876"/>
      <c r="R262" s="877"/>
      <c r="S262" s="857"/>
      <c r="T262" s="857"/>
      <c r="U262" s="857"/>
      <c r="V262" s="857"/>
      <c r="W262" s="857"/>
      <c r="X262" s="857"/>
      <c r="Y262" s="857"/>
      <c r="Z262" s="857"/>
      <c r="AA262" s="857"/>
      <c r="AB262" s="857"/>
      <c r="AC262" s="857"/>
      <c r="AD262" s="857"/>
      <c r="AE262" s="857"/>
    </row>
    <row r="263" spans="1:31" s="55" customFormat="1" ht="18" customHeight="1" x14ac:dyDescent="0.3">
      <c r="A263" s="130">
        <v>254</v>
      </c>
      <c r="B263" s="1373"/>
      <c r="C263" s="1400"/>
      <c r="D263" s="1400"/>
      <c r="E263" s="1401" t="s">
        <v>963</v>
      </c>
      <c r="F263" s="317"/>
      <c r="G263" s="317"/>
      <c r="H263" s="317"/>
      <c r="I263" s="1402"/>
      <c r="J263" s="1403">
        <f>SUM(K263:R263)</f>
        <v>0</v>
      </c>
      <c r="K263" s="360"/>
      <c r="L263" s="360"/>
      <c r="M263" s="360"/>
      <c r="N263" s="360"/>
      <c r="O263" s="360"/>
      <c r="P263" s="360"/>
      <c r="Q263" s="360"/>
      <c r="R263" s="361"/>
      <c r="S263" s="155"/>
      <c r="T263" s="155"/>
      <c r="U263" s="155"/>
      <c r="V263" s="155"/>
      <c r="W263" s="155"/>
      <c r="X263" s="155"/>
      <c r="Y263" s="155"/>
      <c r="Z263" s="155"/>
      <c r="AA263" s="155"/>
      <c r="AB263" s="155"/>
      <c r="AC263" s="155"/>
      <c r="AD263" s="155"/>
      <c r="AE263" s="155"/>
    </row>
    <row r="264" spans="1:31" s="58" customFormat="1" ht="18" customHeight="1" x14ac:dyDescent="0.3">
      <c r="A264" s="130">
        <v>255</v>
      </c>
      <c r="B264" s="462"/>
      <c r="C264" s="1404"/>
      <c r="D264" s="1404"/>
      <c r="E264" s="346" t="s">
        <v>1151</v>
      </c>
      <c r="F264" s="1405"/>
      <c r="G264" s="1405"/>
      <c r="H264" s="1405"/>
      <c r="I264" s="1406"/>
      <c r="J264" s="356">
        <f>SUM(K264:R264)</f>
        <v>6000</v>
      </c>
      <c r="K264" s="1407">
        <f>SUM(K262:K263)</f>
        <v>4918</v>
      </c>
      <c r="L264" s="1407">
        <f>SUM(L262:L263)</f>
        <v>1082</v>
      </c>
      <c r="M264" s="1407"/>
      <c r="N264" s="1407"/>
      <c r="O264" s="1407"/>
      <c r="P264" s="1407"/>
      <c r="Q264" s="1407"/>
      <c r="R264" s="1408"/>
      <c r="S264" s="293"/>
      <c r="T264" s="293"/>
      <c r="U264" s="293"/>
      <c r="V264" s="293"/>
      <c r="W264" s="293"/>
      <c r="X264" s="293"/>
      <c r="Y264" s="293"/>
      <c r="Z264" s="293"/>
      <c r="AA264" s="293"/>
      <c r="AB264" s="293"/>
      <c r="AC264" s="293"/>
      <c r="AD264" s="293"/>
      <c r="AE264" s="293"/>
    </row>
    <row r="265" spans="1:31" s="48" customFormat="1" ht="19.5" customHeight="1" x14ac:dyDescent="0.3">
      <c r="A265" s="130">
        <v>256</v>
      </c>
      <c r="B265" s="462"/>
      <c r="C265" s="311">
        <v>10</v>
      </c>
      <c r="D265" s="710" t="s">
        <v>466</v>
      </c>
      <c r="E265" s="710"/>
      <c r="F265" s="455"/>
      <c r="G265" s="316">
        <v>7483</v>
      </c>
      <c r="H265" s="316"/>
      <c r="I265" s="1753">
        <v>3536</v>
      </c>
      <c r="J265" s="356"/>
      <c r="K265" s="365"/>
      <c r="L265" s="365"/>
      <c r="M265" s="365"/>
      <c r="N265" s="365"/>
      <c r="O265" s="365"/>
      <c r="P265" s="365"/>
      <c r="Q265" s="365"/>
      <c r="R265" s="366"/>
      <c r="S265" s="237"/>
      <c r="T265" s="237"/>
      <c r="U265" s="237"/>
      <c r="V265" s="237"/>
      <c r="W265" s="237"/>
      <c r="X265" s="237"/>
      <c r="Y265" s="237"/>
      <c r="Z265" s="237"/>
      <c r="AA265" s="237"/>
      <c r="AB265" s="237"/>
      <c r="AC265" s="237"/>
      <c r="AD265" s="237"/>
      <c r="AE265" s="237"/>
    </row>
    <row r="266" spans="1:31" s="48" customFormat="1" ht="30" customHeight="1" x14ac:dyDescent="0.3">
      <c r="A266" s="130">
        <v>257</v>
      </c>
      <c r="B266" s="462"/>
      <c r="C266" s="315">
        <v>11</v>
      </c>
      <c r="D266" s="2159" t="s">
        <v>468</v>
      </c>
      <c r="E266" s="2160"/>
      <c r="F266" s="711"/>
      <c r="G266" s="316"/>
      <c r="H266" s="316"/>
      <c r="I266" s="1753">
        <v>2506</v>
      </c>
      <c r="J266" s="356"/>
      <c r="K266" s="365"/>
      <c r="L266" s="365"/>
      <c r="M266" s="365"/>
      <c r="N266" s="365"/>
      <c r="O266" s="365"/>
      <c r="P266" s="365"/>
      <c r="Q266" s="365"/>
      <c r="R266" s="366"/>
      <c r="S266" s="237"/>
      <c r="T266" s="237"/>
      <c r="U266" s="237"/>
      <c r="V266" s="237"/>
      <c r="W266" s="237"/>
      <c r="X266" s="237"/>
      <c r="Y266" s="237"/>
      <c r="Z266" s="237"/>
      <c r="AA266" s="237"/>
      <c r="AB266" s="237"/>
      <c r="AC266" s="237"/>
      <c r="AD266" s="237"/>
      <c r="AE266" s="237"/>
    </row>
    <row r="267" spans="1:31" s="48" customFormat="1" ht="19.5" customHeight="1" x14ac:dyDescent="0.3">
      <c r="A267" s="130">
        <v>258</v>
      </c>
      <c r="B267" s="462"/>
      <c r="C267" s="311">
        <v>12</v>
      </c>
      <c r="D267" s="2039" t="s">
        <v>504</v>
      </c>
      <c r="E267" s="892"/>
      <c r="F267" s="331"/>
      <c r="G267" s="316">
        <v>1622</v>
      </c>
      <c r="H267" s="316"/>
      <c r="I267" s="1753"/>
      <c r="J267" s="356"/>
      <c r="K267" s="365"/>
      <c r="L267" s="365"/>
      <c r="M267" s="365"/>
      <c r="N267" s="365"/>
      <c r="O267" s="365"/>
      <c r="P267" s="365"/>
      <c r="Q267" s="365"/>
      <c r="R267" s="366"/>
      <c r="S267" s="237"/>
      <c r="T267" s="237"/>
      <c r="U267" s="237"/>
      <c r="V267" s="237"/>
      <c r="W267" s="237"/>
      <c r="X267" s="237"/>
      <c r="Y267" s="237"/>
      <c r="Z267" s="237"/>
      <c r="AA267" s="237"/>
      <c r="AB267" s="237"/>
      <c r="AC267" s="237"/>
      <c r="AD267" s="237"/>
      <c r="AE267" s="237"/>
    </row>
    <row r="268" spans="1:31" s="48" customFormat="1" ht="30" customHeight="1" x14ac:dyDescent="0.3">
      <c r="A268" s="130">
        <v>259</v>
      </c>
      <c r="B268" s="462"/>
      <c r="C268" s="315">
        <v>13</v>
      </c>
      <c r="D268" s="2159" t="s">
        <v>503</v>
      </c>
      <c r="E268" s="2160"/>
      <c r="F268" s="711"/>
      <c r="G268" s="316"/>
      <c r="H268" s="316"/>
      <c r="I268" s="1753"/>
      <c r="J268" s="356"/>
      <c r="K268" s="365"/>
      <c r="L268" s="365"/>
      <c r="M268" s="365"/>
      <c r="N268" s="365"/>
      <c r="O268" s="365"/>
      <c r="P268" s="365"/>
      <c r="Q268" s="365"/>
      <c r="R268" s="366"/>
      <c r="S268" s="237"/>
      <c r="T268" s="237"/>
      <c r="U268" s="237"/>
      <c r="V268" s="237"/>
      <c r="W268" s="237"/>
      <c r="X268" s="237"/>
      <c r="Y268" s="237"/>
      <c r="Z268" s="237"/>
      <c r="AA268" s="237"/>
      <c r="AB268" s="237"/>
      <c r="AC268" s="237"/>
      <c r="AD268" s="237"/>
      <c r="AE268" s="237"/>
    </row>
    <row r="269" spans="1:31" s="814" customFormat="1" ht="18" customHeight="1" x14ac:dyDescent="0.3">
      <c r="A269" s="130">
        <v>260</v>
      </c>
      <c r="B269" s="807"/>
      <c r="C269" s="808"/>
      <c r="D269" s="851"/>
      <c r="E269" s="878" t="s">
        <v>311</v>
      </c>
      <c r="F269" s="879"/>
      <c r="G269" s="829"/>
      <c r="H269" s="829"/>
      <c r="I269" s="853"/>
      <c r="J269" s="854">
        <f>SUM(K269:R269)</f>
        <v>5962</v>
      </c>
      <c r="K269" s="876">
        <v>4887</v>
      </c>
      <c r="L269" s="876">
        <v>1075</v>
      </c>
      <c r="M269" s="876"/>
      <c r="N269" s="876"/>
      <c r="O269" s="876"/>
      <c r="P269" s="876"/>
      <c r="Q269" s="876"/>
      <c r="R269" s="877"/>
      <c r="S269" s="880"/>
      <c r="T269" s="880"/>
      <c r="U269" s="880"/>
      <c r="V269" s="880"/>
      <c r="W269" s="880"/>
      <c r="X269" s="880"/>
      <c r="Y269" s="880"/>
      <c r="Z269" s="880"/>
      <c r="AA269" s="880"/>
      <c r="AB269" s="880"/>
      <c r="AC269" s="880"/>
      <c r="AD269" s="880"/>
      <c r="AE269" s="880"/>
    </row>
    <row r="270" spans="1:31" s="814" customFormat="1" ht="18" customHeight="1" x14ac:dyDescent="0.3">
      <c r="A270" s="130">
        <v>261</v>
      </c>
      <c r="B270" s="807"/>
      <c r="C270" s="1846"/>
      <c r="D270" s="851"/>
      <c r="E270" s="692" t="s">
        <v>1072</v>
      </c>
      <c r="F270" s="879"/>
      <c r="G270" s="829"/>
      <c r="H270" s="829"/>
      <c r="I270" s="853"/>
      <c r="J270" s="356">
        <f>SUM(K270:R270)</f>
        <v>5962</v>
      </c>
      <c r="K270" s="365">
        <v>4887</v>
      </c>
      <c r="L270" s="365">
        <v>1075</v>
      </c>
      <c r="M270" s="876"/>
      <c r="N270" s="876"/>
      <c r="O270" s="876"/>
      <c r="P270" s="876"/>
      <c r="Q270" s="876"/>
      <c r="R270" s="877"/>
      <c r="S270" s="880"/>
      <c r="T270" s="880"/>
      <c r="U270" s="880"/>
      <c r="V270" s="880"/>
      <c r="W270" s="880"/>
      <c r="X270" s="880"/>
      <c r="Y270" s="880"/>
      <c r="Z270" s="880"/>
      <c r="AA270" s="880"/>
      <c r="AB270" s="880"/>
      <c r="AC270" s="880"/>
      <c r="AD270" s="880"/>
      <c r="AE270" s="880"/>
    </row>
    <row r="271" spans="1:31" s="55" customFormat="1" ht="18" customHeight="1" x14ac:dyDescent="0.3">
      <c r="A271" s="130">
        <v>262</v>
      </c>
      <c r="B271" s="1373"/>
      <c r="C271" s="1400"/>
      <c r="D271" s="1400"/>
      <c r="E271" s="1401" t="s">
        <v>963</v>
      </c>
      <c r="F271" s="317"/>
      <c r="G271" s="317"/>
      <c r="H271" s="317"/>
      <c r="I271" s="1402"/>
      <c r="J271" s="1403">
        <f>SUM(K271:R271)</f>
        <v>0</v>
      </c>
      <c r="K271" s="360"/>
      <c r="L271" s="360"/>
      <c r="M271" s="360"/>
      <c r="N271" s="360"/>
      <c r="O271" s="360"/>
      <c r="P271" s="360"/>
      <c r="Q271" s="360"/>
      <c r="R271" s="361"/>
      <c r="S271" s="155"/>
      <c r="T271" s="155"/>
      <c r="U271" s="155"/>
      <c r="V271" s="155"/>
      <c r="W271" s="155"/>
      <c r="X271" s="155"/>
      <c r="Y271" s="155"/>
      <c r="Z271" s="155"/>
      <c r="AA271" s="155"/>
      <c r="AB271" s="155"/>
      <c r="AC271" s="155"/>
      <c r="AD271" s="155"/>
      <c r="AE271" s="155"/>
    </row>
    <row r="272" spans="1:31" s="58" customFormat="1" ht="18" customHeight="1" x14ac:dyDescent="0.3">
      <c r="A272" s="130">
        <v>263</v>
      </c>
      <c r="B272" s="462"/>
      <c r="C272" s="1404"/>
      <c r="D272" s="1404"/>
      <c r="E272" s="346" t="s">
        <v>1151</v>
      </c>
      <c r="F272" s="1405"/>
      <c r="G272" s="1405"/>
      <c r="H272" s="1405"/>
      <c r="I272" s="1406"/>
      <c r="J272" s="356">
        <f>SUM(K272:R272)</f>
        <v>5962</v>
      </c>
      <c r="K272" s="1407">
        <f>SUM(K270:K271)</f>
        <v>4887</v>
      </c>
      <c r="L272" s="1407">
        <f>SUM(L270:L271)</f>
        <v>1075</v>
      </c>
      <c r="M272" s="1407"/>
      <c r="N272" s="1407"/>
      <c r="O272" s="1407"/>
      <c r="P272" s="1407"/>
      <c r="Q272" s="1407"/>
      <c r="R272" s="1408"/>
      <c r="S272" s="293"/>
      <c r="T272" s="293"/>
      <c r="U272" s="293"/>
      <c r="V272" s="293"/>
      <c r="W272" s="293"/>
      <c r="X272" s="293"/>
      <c r="Y272" s="293"/>
      <c r="Z272" s="293"/>
      <c r="AA272" s="293"/>
      <c r="AB272" s="293"/>
      <c r="AC272" s="293"/>
      <c r="AD272" s="293"/>
      <c r="AE272" s="293"/>
    </row>
    <row r="273" spans="1:31" s="48" customFormat="1" ht="19.5" customHeight="1" x14ac:dyDescent="0.3">
      <c r="A273" s="130">
        <v>264</v>
      </c>
      <c r="B273" s="462"/>
      <c r="C273" s="311">
        <v>14</v>
      </c>
      <c r="D273" s="710" t="s">
        <v>506</v>
      </c>
      <c r="E273" s="2039"/>
      <c r="F273" s="331"/>
      <c r="G273" s="316"/>
      <c r="H273" s="316"/>
      <c r="I273" s="1753"/>
      <c r="J273" s="356"/>
      <c r="K273" s="365"/>
      <c r="L273" s="365"/>
      <c r="M273" s="365"/>
      <c r="N273" s="365"/>
      <c r="O273" s="365"/>
      <c r="P273" s="365"/>
      <c r="Q273" s="365"/>
      <c r="R273" s="366"/>
      <c r="S273" s="237"/>
      <c r="T273" s="237"/>
      <c r="U273" s="237"/>
      <c r="V273" s="237"/>
      <c r="W273" s="237"/>
      <c r="X273" s="237"/>
      <c r="Y273" s="237"/>
      <c r="Z273" s="237"/>
      <c r="AA273" s="237"/>
      <c r="AB273" s="237"/>
      <c r="AC273" s="237"/>
      <c r="AD273" s="237"/>
      <c r="AE273" s="237"/>
    </row>
    <row r="274" spans="1:31" s="814" customFormat="1" ht="18" customHeight="1" x14ac:dyDescent="0.3">
      <c r="A274" s="130">
        <v>265</v>
      </c>
      <c r="B274" s="807"/>
      <c r="C274" s="808"/>
      <c r="D274" s="851"/>
      <c r="E274" s="878" t="s">
        <v>311</v>
      </c>
      <c r="F274" s="879"/>
      <c r="G274" s="829"/>
      <c r="H274" s="829"/>
      <c r="I274" s="853"/>
      <c r="J274" s="854">
        <f>SUM(K274:R274)</f>
        <v>482</v>
      </c>
      <c r="K274" s="876">
        <v>395</v>
      </c>
      <c r="L274" s="876">
        <v>87</v>
      </c>
      <c r="M274" s="876"/>
      <c r="N274" s="876"/>
      <c r="O274" s="876"/>
      <c r="P274" s="876"/>
      <c r="Q274" s="876"/>
      <c r="R274" s="877"/>
      <c r="S274" s="880"/>
      <c r="T274" s="880"/>
      <c r="U274" s="880"/>
      <c r="V274" s="880"/>
      <c r="W274" s="880"/>
      <c r="X274" s="880"/>
      <c r="Y274" s="880"/>
      <c r="Z274" s="880"/>
      <c r="AA274" s="880"/>
      <c r="AB274" s="880"/>
      <c r="AC274" s="880"/>
      <c r="AD274" s="880"/>
      <c r="AE274" s="880"/>
    </row>
    <row r="275" spans="1:31" s="814" customFormat="1" ht="18" customHeight="1" x14ac:dyDescent="0.3">
      <c r="A275" s="130">
        <v>266</v>
      </c>
      <c r="B275" s="807"/>
      <c r="C275" s="1846"/>
      <c r="D275" s="851"/>
      <c r="E275" s="692" t="s">
        <v>1072</v>
      </c>
      <c r="F275" s="879"/>
      <c r="G275" s="829"/>
      <c r="H275" s="829"/>
      <c r="I275" s="853"/>
      <c r="J275" s="356">
        <f>SUM(K275:R275)</f>
        <v>0</v>
      </c>
      <c r="K275" s="365">
        <v>0</v>
      </c>
      <c r="L275" s="365">
        <v>0</v>
      </c>
      <c r="M275" s="876"/>
      <c r="N275" s="876"/>
      <c r="O275" s="876"/>
      <c r="P275" s="876"/>
      <c r="Q275" s="876"/>
      <c r="R275" s="877"/>
      <c r="S275" s="880"/>
      <c r="T275" s="880"/>
      <c r="U275" s="880"/>
      <c r="V275" s="880"/>
      <c r="W275" s="880"/>
      <c r="X275" s="880"/>
      <c r="Y275" s="880"/>
      <c r="Z275" s="880"/>
      <c r="AA275" s="880"/>
      <c r="AB275" s="880"/>
      <c r="AC275" s="880"/>
      <c r="AD275" s="880"/>
      <c r="AE275" s="880"/>
    </row>
    <row r="276" spans="1:31" s="55" customFormat="1" ht="18" customHeight="1" x14ac:dyDescent="0.3">
      <c r="A276" s="130">
        <v>267</v>
      </c>
      <c r="B276" s="1373"/>
      <c r="C276" s="1400"/>
      <c r="D276" s="1400"/>
      <c r="E276" s="1401" t="s">
        <v>986</v>
      </c>
      <c r="F276" s="317"/>
      <c r="G276" s="317"/>
      <c r="H276" s="317"/>
      <c r="I276" s="1402"/>
      <c r="J276" s="1403">
        <f>SUM(K276:R276)</f>
        <v>0</v>
      </c>
      <c r="K276" s="360"/>
      <c r="L276" s="360"/>
      <c r="M276" s="360"/>
      <c r="N276" s="360"/>
      <c r="O276" s="360"/>
      <c r="P276" s="360"/>
      <c r="Q276" s="360"/>
      <c r="R276" s="361"/>
      <c r="S276" s="155"/>
      <c r="T276" s="155"/>
      <c r="U276" s="155"/>
      <c r="V276" s="155"/>
      <c r="W276" s="155"/>
      <c r="X276" s="155"/>
      <c r="Y276" s="155"/>
      <c r="Z276" s="155"/>
      <c r="AA276" s="155"/>
      <c r="AB276" s="155"/>
      <c r="AC276" s="155"/>
      <c r="AD276" s="155"/>
      <c r="AE276" s="155"/>
    </row>
    <row r="277" spans="1:31" s="58" customFormat="1" ht="18" customHeight="1" x14ac:dyDescent="0.3">
      <c r="A277" s="130">
        <v>268</v>
      </c>
      <c r="B277" s="462"/>
      <c r="C277" s="1404"/>
      <c r="D277" s="1404"/>
      <c r="E277" s="346" t="s">
        <v>1151</v>
      </c>
      <c r="F277" s="1405"/>
      <c r="G277" s="1405"/>
      <c r="H277" s="1405"/>
      <c r="I277" s="1406"/>
      <c r="J277" s="356">
        <f>SUM(K277:R277)</f>
        <v>0</v>
      </c>
      <c r="K277" s="1407">
        <f>SUM(K275:K276)</f>
        <v>0</v>
      </c>
      <c r="L277" s="1407">
        <f>SUM(L275:L276)</f>
        <v>0</v>
      </c>
      <c r="M277" s="1407"/>
      <c r="N277" s="1407"/>
      <c r="O277" s="1407"/>
      <c r="P277" s="1407"/>
      <c r="Q277" s="1407"/>
      <c r="R277" s="1408"/>
      <c r="S277" s="293"/>
      <c r="T277" s="293"/>
      <c r="U277" s="293"/>
      <c r="V277" s="293"/>
      <c r="W277" s="293"/>
      <c r="X277" s="293"/>
      <c r="Y277" s="293"/>
      <c r="Z277" s="293"/>
      <c r="AA277" s="293"/>
      <c r="AB277" s="293"/>
      <c r="AC277" s="293"/>
      <c r="AD277" s="293"/>
      <c r="AE277" s="293"/>
    </row>
    <row r="278" spans="1:31" s="48" customFormat="1" ht="19.5" customHeight="1" x14ac:dyDescent="0.3">
      <c r="A278" s="130">
        <v>269</v>
      </c>
      <c r="B278" s="462"/>
      <c r="C278" s="311">
        <v>15</v>
      </c>
      <c r="D278" s="710" t="s">
        <v>539</v>
      </c>
      <c r="E278" s="892"/>
      <c r="F278" s="331"/>
      <c r="G278" s="316"/>
      <c r="H278" s="316"/>
      <c r="I278" s="1753">
        <v>1541</v>
      </c>
      <c r="J278" s="356"/>
      <c r="K278" s="365"/>
      <c r="L278" s="365"/>
      <c r="M278" s="365"/>
      <c r="N278" s="365"/>
      <c r="O278" s="365"/>
      <c r="P278" s="365"/>
      <c r="Q278" s="365"/>
      <c r="R278" s="366"/>
      <c r="S278" s="237"/>
      <c r="T278" s="237"/>
      <c r="U278" s="237"/>
      <c r="V278" s="237"/>
      <c r="W278" s="237"/>
      <c r="X278" s="237"/>
      <c r="Y278" s="237"/>
      <c r="Z278" s="237"/>
      <c r="AA278" s="237"/>
      <c r="AB278" s="237"/>
      <c r="AC278" s="237"/>
      <c r="AD278" s="237"/>
      <c r="AE278" s="237"/>
    </row>
    <row r="279" spans="1:31" s="48" customFormat="1" ht="30" customHeight="1" x14ac:dyDescent="0.3">
      <c r="A279" s="130">
        <v>270</v>
      </c>
      <c r="B279" s="462"/>
      <c r="C279" s="315">
        <v>16</v>
      </c>
      <c r="D279" s="2159" t="s">
        <v>540</v>
      </c>
      <c r="E279" s="2160"/>
      <c r="F279" s="331"/>
      <c r="G279" s="316"/>
      <c r="H279" s="316"/>
      <c r="I279" s="1753">
        <v>13</v>
      </c>
      <c r="J279" s="356"/>
      <c r="K279" s="365"/>
      <c r="L279" s="365"/>
      <c r="M279" s="365"/>
      <c r="N279" s="365"/>
      <c r="O279" s="365"/>
      <c r="P279" s="365"/>
      <c r="Q279" s="365"/>
      <c r="R279" s="366"/>
      <c r="S279" s="237"/>
      <c r="T279" s="237"/>
      <c r="U279" s="237"/>
      <c r="V279" s="237"/>
      <c r="W279" s="237"/>
      <c r="X279" s="237"/>
      <c r="Y279" s="237"/>
      <c r="Z279" s="237"/>
      <c r="AA279" s="237"/>
      <c r="AB279" s="237"/>
      <c r="AC279" s="237"/>
      <c r="AD279" s="237"/>
      <c r="AE279" s="237"/>
    </row>
    <row r="280" spans="1:31" s="814" customFormat="1" ht="18" customHeight="1" x14ac:dyDescent="0.3">
      <c r="A280" s="130">
        <v>271</v>
      </c>
      <c r="B280" s="807"/>
      <c r="C280" s="808"/>
      <c r="D280" s="851"/>
      <c r="E280" s="878" t="s">
        <v>311</v>
      </c>
      <c r="F280" s="879"/>
      <c r="G280" s="829"/>
      <c r="H280" s="829"/>
      <c r="I280" s="853"/>
      <c r="J280" s="854">
        <f>SUM(K280:R280)</f>
        <v>62</v>
      </c>
      <c r="K280" s="876">
        <v>52</v>
      </c>
      <c r="L280" s="876">
        <v>10</v>
      </c>
      <c r="M280" s="876"/>
      <c r="N280" s="876"/>
      <c r="O280" s="876"/>
      <c r="P280" s="876"/>
      <c r="Q280" s="876"/>
      <c r="R280" s="877"/>
      <c r="S280" s="880"/>
      <c r="T280" s="880"/>
      <c r="U280" s="880"/>
      <c r="V280" s="880"/>
      <c r="W280" s="880"/>
      <c r="X280" s="880"/>
      <c r="Y280" s="880"/>
      <c r="Z280" s="880"/>
      <c r="AA280" s="880"/>
      <c r="AB280" s="880"/>
      <c r="AC280" s="880"/>
      <c r="AD280" s="880"/>
      <c r="AE280" s="880"/>
    </row>
    <row r="281" spans="1:31" s="814" customFormat="1" ht="18" customHeight="1" x14ac:dyDescent="0.3">
      <c r="A281" s="130">
        <v>272</v>
      </c>
      <c r="B281" s="807"/>
      <c r="C281" s="1846"/>
      <c r="D281" s="851"/>
      <c r="E281" s="692" t="s">
        <v>1072</v>
      </c>
      <c r="F281" s="879"/>
      <c r="G281" s="829"/>
      <c r="H281" s="829"/>
      <c r="I281" s="853"/>
      <c r="J281" s="356">
        <f>SUM(K281:R281)</f>
        <v>0</v>
      </c>
      <c r="K281" s="365">
        <v>0</v>
      </c>
      <c r="L281" s="365">
        <v>0</v>
      </c>
      <c r="M281" s="876"/>
      <c r="N281" s="876"/>
      <c r="O281" s="876"/>
      <c r="P281" s="876"/>
      <c r="Q281" s="876"/>
      <c r="R281" s="877"/>
      <c r="S281" s="880"/>
      <c r="T281" s="880"/>
      <c r="U281" s="880"/>
      <c r="V281" s="880"/>
      <c r="W281" s="880"/>
      <c r="X281" s="880"/>
      <c r="Y281" s="880"/>
      <c r="Z281" s="880"/>
      <c r="AA281" s="880"/>
      <c r="AB281" s="880"/>
      <c r="AC281" s="880"/>
      <c r="AD281" s="880"/>
      <c r="AE281" s="880"/>
    </row>
    <row r="282" spans="1:31" s="55" customFormat="1" ht="18" customHeight="1" x14ac:dyDescent="0.3">
      <c r="A282" s="130">
        <v>273</v>
      </c>
      <c r="B282" s="1373"/>
      <c r="C282" s="1400"/>
      <c r="D282" s="1400"/>
      <c r="E282" s="1401" t="s">
        <v>986</v>
      </c>
      <c r="F282" s="317"/>
      <c r="G282" s="317"/>
      <c r="H282" s="317"/>
      <c r="I282" s="1402"/>
      <c r="J282" s="1403">
        <f>SUM(K282:R282)</f>
        <v>0</v>
      </c>
      <c r="K282" s="360"/>
      <c r="L282" s="360"/>
      <c r="M282" s="360"/>
      <c r="N282" s="360"/>
      <c r="O282" s="360"/>
      <c r="P282" s="360"/>
      <c r="Q282" s="360"/>
      <c r="R282" s="361"/>
      <c r="S282" s="155"/>
      <c r="T282" s="155"/>
      <c r="U282" s="155"/>
      <c r="V282" s="155"/>
      <c r="W282" s="155"/>
      <c r="X282" s="155"/>
      <c r="Y282" s="155"/>
      <c r="Z282" s="155"/>
      <c r="AA282" s="155"/>
      <c r="AB282" s="155"/>
      <c r="AC282" s="155"/>
      <c r="AD282" s="155"/>
      <c r="AE282" s="155"/>
    </row>
    <row r="283" spans="1:31" s="58" customFormat="1" ht="18" customHeight="1" x14ac:dyDescent="0.3">
      <c r="A283" s="130">
        <v>274</v>
      </c>
      <c r="B283" s="462"/>
      <c r="C283" s="1404"/>
      <c r="D283" s="1404"/>
      <c r="E283" s="346" t="s">
        <v>1151</v>
      </c>
      <c r="F283" s="1405"/>
      <c r="G283" s="1405"/>
      <c r="H283" s="1405"/>
      <c r="I283" s="1406"/>
      <c r="J283" s="356">
        <f>SUM(K283:R283)</f>
        <v>0</v>
      </c>
      <c r="K283" s="1407">
        <f>SUM(K281:K282)</f>
        <v>0</v>
      </c>
      <c r="L283" s="1407">
        <f>SUM(L281:L282)</f>
        <v>0</v>
      </c>
      <c r="M283" s="1407"/>
      <c r="N283" s="1407"/>
      <c r="O283" s="1407"/>
      <c r="P283" s="1407"/>
      <c r="Q283" s="1407"/>
      <c r="R283" s="1408"/>
      <c r="S283" s="293"/>
      <c r="T283" s="293"/>
      <c r="U283" s="293"/>
      <c r="V283" s="293"/>
      <c r="W283" s="293"/>
      <c r="X283" s="293"/>
      <c r="Y283" s="293"/>
      <c r="Z283" s="293"/>
      <c r="AA283" s="293"/>
      <c r="AB283" s="293"/>
      <c r="AC283" s="293"/>
      <c r="AD283" s="293"/>
      <c r="AE283" s="293"/>
    </row>
    <row r="284" spans="1:31" s="48" customFormat="1" ht="19.5" customHeight="1" x14ac:dyDescent="0.3">
      <c r="A284" s="130">
        <v>275</v>
      </c>
      <c r="B284" s="462"/>
      <c r="C284" s="311">
        <v>17</v>
      </c>
      <c r="D284" s="710" t="s">
        <v>552</v>
      </c>
      <c r="E284" s="892"/>
      <c r="F284" s="331"/>
      <c r="G284" s="316"/>
      <c r="H284" s="316"/>
      <c r="I284" s="1753"/>
      <c r="J284" s="356"/>
      <c r="K284" s="365"/>
      <c r="L284" s="365"/>
      <c r="M284" s="365"/>
      <c r="N284" s="365"/>
      <c r="O284" s="365"/>
      <c r="P284" s="365"/>
      <c r="Q284" s="365"/>
      <c r="R284" s="366"/>
      <c r="S284" s="237"/>
      <c r="T284" s="237"/>
      <c r="U284" s="237"/>
      <c r="V284" s="237"/>
      <c r="W284" s="237"/>
      <c r="X284" s="237"/>
      <c r="Y284" s="237"/>
      <c r="Z284" s="237"/>
      <c r="AA284" s="237"/>
      <c r="AB284" s="237"/>
      <c r="AC284" s="237"/>
      <c r="AD284" s="237"/>
      <c r="AE284" s="237"/>
    </row>
    <row r="285" spans="1:31" s="814" customFormat="1" ht="18" customHeight="1" x14ac:dyDescent="0.3">
      <c r="A285" s="130">
        <v>276</v>
      </c>
      <c r="B285" s="807"/>
      <c r="C285" s="808"/>
      <c r="D285" s="851"/>
      <c r="E285" s="878" t="s">
        <v>311</v>
      </c>
      <c r="F285" s="879"/>
      <c r="G285" s="829"/>
      <c r="H285" s="829"/>
      <c r="I285" s="853"/>
      <c r="J285" s="854">
        <f>SUM(K285:R285)</f>
        <v>12000</v>
      </c>
      <c r="K285" s="876">
        <v>10042</v>
      </c>
      <c r="L285" s="876">
        <v>1958</v>
      </c>
      <c r="M285" s="876"/>
      <c r="N285" s="876"/>
      <c r="O285" s="876"/>
      <c r="P285" s="876"/>
      <c r="Q285" s="876"/>
      <c r="R285" s="877"/>
      <c r="S285" s="880"/>
      <c r="T285" s="880"/>
      <c r="U285" s="880"/>
      <c r="V285" s="880"/>
      <c r="W285" s="880"/>
      <c r="X285" s="880"/>
      <c r="Y285" s="880"/>
      <c r="Z285" s="880"/>
      <c r="AA285" s="880"/>
      <c r="AB285" s="880"/>
      <c r="AC285" s="880"/>
      <c r="AD285" s="880"/>
      <c r="AE285" s="880"/>
    </row>
    <row r="286" spans="1:31" s="814" customFormat="1" ht="18" customHeight="1" x14ac:dyDescent="0.3">
      <c r="A286" s="130">
        <v>277</v>
      </c>
      <c r="B286" s="807"/>
      <c r="C286" s="1846"/>
      <c r="D286" s="851"/>
      <c r="E286" s="692" t="s">
        <v>1072</v>
      </c>
      <c r="F286" s="879"/>
      <c r="G286" s="829"/>
      <c r="H286" s="829"/>
      <c r="I286" s="853"/>
      <c r="J286" s="356">
        <f>SUM(K286:R286)</f>
        <v>12000</v>
      </c>
      <c r="K286" s="365">
        <v>10042</v>
      </c>
      <c r="L286" s="365">
        <v>1958</v>
      </c>
      <c r="M286" s="876"/>
      <c r="N286" s="876"/>
      <c r="O286" s="876"/>
      <c r="P286" s="876"/>
      <c r="Q286" s="876"/>
      <c r="R286" s="877"/>
      <c r="S286" s="880"/>
      <c r="T286" s="880"/>
      <c r="U286" s="880"/>
      <c r="V286" s="880"/>
      <c r="W286" s="880"/>
      <c r="X286" s="880"/>
      <c r="Y286" s="880"/>
      <c r="Z286" s="880"/>
      <c r="AA286" s="880"/>
      <c r="AB286" s="880"/>
      <c r="AC286" s="880"/>
      <c r="AD286" s="880"/>
      <c r="AE286" s="880"/>
    </row>
    <row r="287" spans="1:31" s="55" customFormat="1" ht="18" customHeight="1" x14ac:dyDescent="0.3">
      <c r="A287" s="130">
        <v>278</v>
      </c>
      <c r="B287" s="1373"/>
      <c r="C287" s="1400"/>
      <c r="D287" s="1400"/>
      <c r="E287" s="1401" t="s">
        <v>963</v>
      </c>
      <c r="F287" s="317"/>
      <c r="G287" s="317"/>
      <c r="H287" s="317"/>
      <c r="I287" s="1402"/>
      <c r="J287" s="1403">
        <f>SUM(K287:R287)</f>
        <v>0</v>
      </c>
      <c r="K287" s="360"/>
      <c r="L287" s="360"/>
      <c r="M287" s="360"/>
      <c r="N287" s="360"/>
      <c r="O287" s="360"/>
      <c r="P287" s="360"/>
      <c r="Q287" s="360"/>
      <c r="R287" s="361"/>
      <c r="S287" s="155"/>
      <c r="T287" s="155"/>
      <c r="U287" s="155"/>
      <c r="V287" s="155"/>
      <c r="W287" s="155"/>
      <c r="X287" s="155"/>
      <c r="Y287" s="155"/>
      <c r="Z287" s="155"/>
      <c r="AA287" s="155"/>
      <c r="AB287" s="155"/>
      <c r="AC287" s="155"/>
      <c r="AD287" s="155"/>
      <c r="AE287" s="155"/>
    </row>
    <row r="288" spans="1:31" s="58" customFormat="1" ht="18" customHeight="1" x14ac:dyDescent="0.3">
      <c r="A288" s="130">
        <v>279</v>
      </c>
      <c r="B288" s="462"/>
      <c r="C288" s="1404"/>
      <c r="D288" s="1404"/>
      <c r="E288" s="346" t="s">
        <v>1151</v>
      </c>
      <c r="F288" s="1405"/>
      <c r="G288" s="1405"/>
      <c r="H288" s="1405"/>
      <c r="I288" s="1406"/>
      <c r="J288" s="356">
        <f>SUM(K288:R288)</f>
        <v>12000</v>
      </c>
      <c r="K288" s="1407">
        <f>SUM(K286:K287)</f>
        <v>10042</v>
      </c>
      <c r="L288" s="1407">
        <f>SUM(L286:L287)</f>
        <v>1958</v>
      </c>
      <c r="M288" s="1407"/>
      <c r="N288" s="1407"/>
      <c r="O288" s="1407"/>
      <c r="P288" s="1407"/>
      <c r="Q288" s="1407"/>
      <c r="R288" s="1408"/>
      <c r="S288" s="293"/>
      <c r="T288" s="293"/>
      <c r="U288" s="293"/>
      <c r="V288" s="293"/>
      <c r="W288" s="293"/>
      <c r="X288" s="293"/>
      <c r="Y288" s="293"/>
      <c r="Z288" s="293"/>
      <c r="AA288" s="293"/>
      <c r="AB288" s="293"/>
      <c r="AC288" s="293"/>
      <c r="AD288" s="293"/>
      <c r="AE288" s="293"/>
    </row>
    <row r="289" spans="1:31" s="48" customFormat="1" ht="19.5" customHeight="1" x14ac:dyDescent="0.3">
      <c r="A289" s="130">
        <v>280</v>
      </c>
      <c r="B289" s="462"/>
      <c r="C289" s="311">
        <v>18</v>
      </c>
      <c r="D289" s="710" t="s">
        <v>652</v>
      </c>
      <c r="E289" s="892"/>
      <c r="F289" s="331"/>
      <c r="G289" s="316"/>
      <c r="H289" s="316"/>
      <c r="I289" s="1753">
        <v>14715</v>
      </c>
      <c r="J289" s="356"/>
      <c r="K289" s="365"/>
      <c r="L289" s="365"/>
      <c r="M289" s="365"/>
      <c r="N289" s="365"/>
      <c r="O289" s="365"/>
      <c r="P289" s="365"/>
      <c r="Q289" s="365"/>
      <c r="R289" s="366"/>
      <c r="S289" s="237"/>
      <c r="T289" s="237"/>
      <c r="U289" s="237"/>
      <c r="V289" s="237"/>
      <c r="W289" s="237"/>
      <c r="X289" s="237"/>
      <c r="Y289" s="237"/>
      <c r="Z289" s="237"/>
      <c r="AA289" s="237"/>
      <c r="AB289" s="237"/>
      <c r="AC289" s="237"/>
      <c r="AD289" s="237"/>
      <c r="AE289" s="237"/>
    </row>
    <row r="290" spans="1:31" s="48" customFormat="1" ht="19.5" customHeight="1" x14ac:dyDescent="0.3">
      <c r="A290" s="130">
        <v>281</v>
      </c>
      <c r="B290" s="462"/>
      <c r="C290" s="311">
        <v>19</v>
      </c>
      <c r="D290" s="710" t="s">
        <v>646</v>
      </c>
      <c r="E290" s="892"/>
      <c r="F290" s="331"/>
      <c r="G290" s="316"/>
      <c r="H290" s="316"/>
      <c r="I290" s="1753">
        <v>16537</v>
      </c>
      <c r="J290" s="356"/>
      <c r="K290" s="365"/>
      <c r="L290" s="365"/>
      <c r="M290" s="365"/>
      <c r="N290" s="365"/>
      <c r="O290" s="365"/>
      <c r="P290" s="365"/>
      <c r="Q290" s="365"/>
      <c r="R290" s="366"/>
      <c r="S290" s="237"/>
      <c r="T290" s="237"/>
      <c r="U290" s="237"/>
      <c r="V290" s="237"/>
      <c r="W290" s="237"/>
      <c r="X290" s="237"/>
      <c r="Y290" s="237"/>
      <c r="Z290" s="237"/>
      <c r="AA290" s="237"/>
      <c r="AB290" s="237"/>
      <c r="AC290" s="237"/>
      <c r="AD290" s="237"/>
      <c r="AE290" s="237"/>
    </row>
    <row r="291" spans="1:31" s="814" customFormat="1" ht="18" customHeight="1" x14ac:dyDescent="0.3">
      <c r="A291" s="130">
        <v>282</v>
      </c>
      <c r="B291" s="807"/>
      <c r="C291" s="808"/>
      <c r="D291" s="851"/>
      <c r="E291" s="878" t="s">
        <v>311</v>
      </c>
      <c r="F291" s="879"/>
      <c r="G291" s="829"/>
      <c r="H291" s="829"/>
      <c r="I291" s="853"/>
      <c r="J291" s="854">
        <f>SUM(K291:R291)</f>
        <v>22278</v>
      </c>
      <c r="K291" s="876">
        <v>18966</v>
      </c>
      <c r="L291" s="876">
        <v>3312</v>
      </c>
      <c r="M291" s="876"/>
      <c r="N291" s="876"/>
      <c r="O291" s="876"/>
      <c r="P291" s="876"/>
      <c r="Q291" s="876"/>
      <c r="R291" s="877"/>
      <c r="S291" s="880"/>
      <c r="T291" s="880"/>
      <c r="U291" s="880"/>
      <c r="V291" s="880"/>
      <c r="W291" s="880"/>
      <c r="X291" s="880"/>
      <c r="Y291" s="880"/>
      <c r="Z291" s="880"/>
      <c r="AA291" s="880"/>
      <c r="AB291" s="880"/>
      <c r="AC291" s="880"/>
      <c r="AD291" s="880"/>
      <c r="AE291" s="880"/>
    </row>
    <row r="292" spans="1:31" s="814" customFormat="1" ht="18" customHeight="1" x14ac:dyDescent="0.3">
      <c r="A292" s="130">
        <v>283</v>
      </c>
      <c r="B292" s="807"/>
      <c r="C292" s="1846"/>
      <c r="D292" s="851"/>
      <c r="E292" s="692" t="s">
        <v>1072</v>
      </c>
      <c r="F292" s="879"/>
      <c r="G292" s="829"/>
      <c r="H292" s="829"/>
      <c r="I292" s="853"/>
      <c r="J292" s="356">
        <f>SUM(K292:R292)</f>
        <v>0</v>
      </c>
      <c r="K292" s="365">
        <v>0</v>
      </c>
      <c r="L292" s="365">
        <v>0</v>
      </c>
      <c r="M292" s="876"/>
      <c r="N292" s="876"/>
      <c r="O292" s="876"/>
      <c r="P292" s="876"/>
      <c r="Q292" s="876"/>
      <c r="R292" s="877"/>
      <c r="S292" s="880"/>
      <c r="T292" s="880"/>
      <c r="U292" s="880"/>
      <c r="V292" s="880"/>
      <c r="W292" s="880"/>
      <c r="X292" s="880"/>
      <c r="Y292" s="880"/>
      <c r="Z292" s="880"/>
      <c r="AA292" s="880"/>
      <c r="AB292" s="880"/>
      <c r="AC292" s="880"/>
      <c r="AD292" s="880"/>
      <c r="AE292" s="880"/>
    </row>
    <row r="293" spans="1:31" s="55" customFormat="1" ht="18" customHeight="1" x14ac:dyDescent="0.3">
      <c r="A293" s="130">
        <v>284</v>
      </c>
      <c r="B293" s="1373"/>
      <c r="C293" s="1400"/>
      <c r="D293" s="1400"/>
      <c r="E293" s="1401" t="s">
        <v>986</v>
      </c>
      <c r="F293" s="317"/>
      <c r="G293" s="317"/>
      <c r="H293" s="317"/>
      <c r="I293" s="1402"/>
      <c r="J293" s="1403">
        <f>SUM(K293:R293)</f>
        <v>0</v>
      </c>
      <c r="K293" s="360"/>
      <c r="L293" s="360"/>
      <c r="M293" s="360"/>
      <c r="N293" s="360"/>
      <c r="O293" s="360"/>
      <c r="P293" s="360"/>
      <c r="Q293" s="360"/>
      <c r="R293" s="361"/>
      <c r="S293" s="155"/>
      <c r="T293" s="155"/>
      <c r="U293" s="155"/>
      <c r="V293" s="155"/>
      <c r="W293" s="155"/>
      <c r="X293" s="155"/>
      <c r="Y293" s="155"/>
      <c r="Z293" s="155"/>
      <c r="AA293" s="155"/>
      <c r="AB293" s="155"/>
      <c r="AC293" s="155"/>
      <c r="AD293" s="155"/>
      <c r="AE293" s="155"/>
    </row>
    <row r="294" spans="1:31" s="58" customFormat="1" ht="18" customHeight="1" x14ac:dyDescent="0.3">
      <c r="A294" s="130">
        <v>285</v>
      </c>
      <c r="B294" s="462"/>
      <c r="C294" s="1404"/>
      <c r="D294" s="1404"/>
      <c r="E294" s="346" t="s">
        <v>1151</v>
      </c>
      <c r="F294" s="1405"/>
      <c r="G294" s="1405"/>
      <c r="H294" s="1405"/>
      <c r="I294" s="1406"/>
      <c r="J294" s="356">
        <f>SUM(K294:R294)</f>
        <v>0</v>
      </c>
      <c r="K294" s="1407">
        <f>SUM(K292:K293)</f>
        <v>0</v>
      </c>
      <c r="L294" s="1407">
        <f>SUM(L292:L293)</f>
        <v>0</v>
      </c>
      <c r="M294" s="1407"/>
      <c r="N294" s="1407"/>
      <c r="O294" s="1407"/>
      <c r="P294" s="1407"/>
      <c r="Q294" s="1407"/>
      <c r="R294" s="1408"/>
      <c r="S294" s="293"/>
      <c r="T294" s="293"/>
      <c r="U294" s="293"/>
      <c r="V294" s="293"/>
      <c r="W294" s="293"/>
      <c r="X294" s="293"/>
      <c r="Y294" s="293"/>
      <c r="Z294" s="293"/>
      <c r="AA294" s="293"/>
      <c r="AB294" s="293"/>
      <c r="AC294" s="293"/>
      <c r="AD294" s="293"/>
      <c r="AE294" s="293"/>
    </row>
    <row r="295" spans="1:31" s="48" customFormat="1" ht="19.5" customHeight="1" x14ac:dyDescent="0.3">
      <c r="A295" s="130">
        <v>286</v>
      </c>
      <c r="B295" s="462"/>
      <c r="C295" s="311">
        <v>20</v>
      </c>
      <c r="D295" s="710" t="s">
        <v>610</v>
      </c>
      <c r="E295" s="1057"/>
      <c r="F295" s="711"/>
      <c r="G295" s="316"/>
      <c r="H295" s="316"/>
      <c r="I295" s="1753">
        <v>1684</v>
      </c>
      <c r="J295" s="356"/>
      <c r="K295" s="365"/>
      <c r="L295" s="365"/>
      <c r="M295" s="365"/>
      <c r="N295" s="365"/>
      <c r="O295" s="365"/>
      <c r="P295" s="365"/>
      <c r="Q295" s="365"/>
      <c r="R295" s="366"/>
      <c r="S295" s="237"/>
      <c r="T295" s="237"/>
      <c r="U295" s="237"/>
      <c r="V295" s="237"/>
      <c r="W295" s="237"/>
      <c r="X295" s="237"/>
      <c r="Y295" s="237"/>
      <c r="Z295" s="237"/>
      <c r="AA295" s="237"/>
      <c r="AB295" s="237"/>
      <c r="AC295" s="237"/>
      <c r="AD295" s="237"/>
      <c r="AE295" s="237"/>
    </row>
    <row r="296" spans="1:31" s="814" customFormat="1" ht="18" customHeight="1" x14ac:dyDescent="0.3">
      <c r="A296" s="130">
        <v>287</v>
      </c>
      <c r="B296" s="807"/>
      <c r="C296" s="808"/>
      <c r="D296" s="851"/>
      <c r="E296" s="878" t="s">
        <v>311</v>
      </c>
      <c r="F296" s="879"/>
      <c r="G296" s="829"/>
      <c r="H296" s="829"/>
      <c r="I296" s="853"/>
      <c r="J296" s="854">
        <f>SUM(K296:R296)</f>
        <v>327</v>
      </c>
      <c r="K296" s="876">
        <v>211</v>
      </c>
      <c r="L296" s="876">
        <v>63</v>
      </c>
      <c r="M296" s="876">
        <v>53</v>
      </c>
      <c r="N296" s="876"/>
      <c r="O296" s="876"/>
      <c r="P296" s="876"/>
      <c r="Q296" s="876"/>
      <c r="R296" s="877"/>
      <c r="S296" s="880"/>
      <c r="T296" s="880"/>
      <c r="U296" s="880"/>
      <c r="V296" s="880"/>
      <c r="W296" s="880"/>
      <c r="X296" s="880"/>
      <c r="Y296" s="880"/>
      <c r="Z296" s="880"/>
      <c r="AA296" s="880"/>
      <c r="AB296" s="880"/>
      <c r="AC296" s="880"/>
      <c r="AD296" s="880"/>
      <c r="AE296" s="880"/>
    </row>
    <row r="297" spans="1:31" s="814" customFormat="1" ht="18" customHeight="1" x14ac:dyDescent="0.3">
      <c r="A297" s="130">
        <v>288</v>
      </c>
      <c r="B297" s="807"/>
      <c r="C297" s="1846"/>
      <c r="D297" s="851"/>
      <c r="E297" s="692" t="s">
        <v>1072</v>
      </c>
      <c r="F297" s="879"/>
      <c r="G297" s="829"/>
      <c r="H297" s="829"/>
      <c r="I297" s="853"/>
      <c r="J297" s="356">
        <f>SUM(K297:R297)</f>
        <v>2313</v>
      </c>
      <c r="K297" s="365">
        <v>1901</v>
      </c>
      <c r="L297" s="365">
        <v>359</v>
      </c>
      <c r="M297" s="365">
        <v>53</v>
      </c>
      <c r="N297" s="876"/>
      <c r="O297" s="876"/>
      <c r="P297" s="876"/>
      <c r="Q297" s="876"/>
      <c r="R297" s="877"/>
      <c r="S297" s="880"/>
      <c r="T297" s="880"/>
      <c r="U297" s="880"/>
      <c r="V297" s="880"/>
      <c r="W297" s="880"/>
      <c r="X297" s="880"/>
      <c r="Y297" s="880"/>
      <c r="Z297" s="880"/>
      <c r="AA297" s="880"/>
      <c r="AB297" s="880"/>
      <c r="AC297" s="880"/>
      <c r="AD297" s="880"/>
      <c r="AE297" s="880"/>
    </row>
    <row r="298" spans="1:31" s="55" customFormat="1" ht="18" customHeight="1" x14ac:dyDescent="0.3">
      <c r="A298" s="130">
        <v>289</v>
      </c>
      <c r="B298" s="1373"/>
      <c r="C298" s="1400"/>
      <c r="D298" s="1400"/>
      <c r="E298" s="1401" t="s">
        <v>986</v>
      </c>
      <c r="F298" s="317"/>
      <c r="G298" s="317"/>
      <c r="H298" s="317"/>
      <c r="I298" s="1402"/>
      <c r="J298" s="1403">
        <f>SUM(K298:R298)</f>
        <v>0</v>
      </c>
      <c r="K298" s="360"/>
      <c r="L298" s="360"/>
      <c r="M298" s="360"/>
      <c r="N298" s="360"/>
      <c r="O298" s="360"/>
      <c r="P298" s="360"/>
      <c r="Q298" s="360"/>
      <c r="R298" s="361"/>
      <c r="S298" s="155"/>
      <c r="T298" s="155"/>
      <c r="U298" s="155"/>
      <c r="V298" s="155"/>
      <c r="W298" s="155"/>
      <c r="X298" s="155"/>
      <c r="Y298" s="155"/>
      <c r="Z298" s="155"/>
      <c r="AA298" s="155"/>
      <c r="AB298" s="155"/>
      <c r="AC298" s="155"/>
      <c r="AD298" s="155"/>
      <c r="AE298" s="155"/>
    </row>
    <row r="299" spans="1:31" s="58" customFormat="1" ht="18" customHeight="1" x14ac:dyDescent="0.3">
      <c r="A299" s="130">
        <v>290</v>
      </c>
      <c r="B299" s="462"/>
      <c r="C299" s="1404"/>
      <c r="D299" s="1404"/>
      <c r="E299" s="346" t="s">
        <v>1151</v>
      </c>
      <c r="F299" s="1405"/>
      <c r="G299" s="1405"/>
      <c r="H299" s="1405"/>
      <c r="I299" s="1406"/>
      <c r="J299" s="356">
        <f>SUM(K299:R299)</f>
        <v>2313</v>
      </c>
      <c r="K299" s="1407">
        <f>SUM(K297:K298)</f>
        <v>1901</v>
      </c>
      <c r="L299" s="1407">
        <f t="shared" ref="L299:M299" si="55">SUM(L297:L298)</f>
        <v>359</v>
      </c>
      <c r="M299" s="1407">
        <f t="shared" si="55"/>
        <v>53</v>
      </c>
      <c r="N299" s="1407"/>
      <c r="O299" s="1407"/>
      <c r="P299" s="1407"/>
      <c r="Q299" s="1407"/>
      <c r="R299" s="1408"/>
      <c r="S299" s="293"/>
      <c r="T299" s="293"/>
      <c r="U299" s="293"/>
      <c r="V299" s="293"/>
      <c r="W299" s="293"/>
      <c r="X299" s="293"/>
      <c r="Y299" s="293"/>
      <c r="Z299" s="293"/>
      <c r="AA299" s="293"/>
      <c r="AB299" s="293"/>
      <c r="AC299" s="293"/>
      <c r="AD299" s="293"/>
      <c r="AE299" s="293"/>
    </row>
    <row r="300" spans="1:31" s="48" customFormat="1" ht="18" customHeight="1" x14ac:dyDescent="0.3">
      <c r="A300" s="130">
        <v>291</v>
      </c>
      <c r="B300" s="462"/>
      <c r="C300" s="311">
        <v>21</v>
      </c>
      <c r="D300" s="710" t="s">
        <v>663</v>
      </c>
      <c r="E300" s="710"/>
      <c r="F300" s="455"/>
      <c r="G300" s="316"/>
      <c r="H300" s="316"/>
      <c r="I300" s="1753">
        <v>329</v>
      </c>
      <c r="J300" s="356"/>
      <c r="K300" s="365"/>
      <c r="L300" s="365"/>
      <c r="M300" s="365"/>
      <c r="N300" s="365"/>
      <c r="O300" s="365"/>
      <c r="P300" s="365"/>
      <c r="Q300" s="365"/>
      <c r="R300" s="366"/>
      <c r="S300" s="237"/>
      <c r="T300" s="237"/>
      <c r="U300" s="237"/>
      <c r="V300" s="237"/>
      <c r="W300" s="237"/>
      <c r="X300" s="237"/>
      <c r="Y300" s="237"/>
      <c r="Z300" s="237"/>
      <c r="AA300" s="237"/>
      <c r="AB300" s="237"/>
      <c r="AC300" s="237"/>
      <c r="AD300" s="237"/>
      <c r="AE300" s="237"/>
    </row>
    <row r="301" spans="1:31" s="48" customFormat="1" ht="30" customHeight="1" x14ac:dyDescent="0.3">
      <c r="A301" s="130">
        <v>292</v>
      </c>
      <c r="B301" s="462"/>
      <c r="C301" s="315">
        <v>22</v>
      </c>
      <c r="D301" s="2094" t="s">
        <v>542</v>
      </c>
      <c r="E301" s="2095"/>
      <c r="F301" s="455"/>
      <c r="G301" s="316"/>
      <c r="H301" s="316"/>
      <c r="I301" s="1753">
        <v>11</v>
      </c>
      <c r="J301" s="356"/>
      <c r="K301" s="365"/>
      <c r="L301" s="365"/>
      <c r="M301" s="365"/>
      <c r="N301" s="365"/>
      <c r="O301" s="365"/>
      <c r="P301" s="365"/>
      <c r="Q301" s="365"/>
      <c r="R301" s="366"/>
      <c r="S301" s="237"/>
      <c r="T301" s="237"/>
      <c r="U301" s="237"/>
      <c r="V301" s="237"/>
      <c r="W301" s="237"/>
      <c r="X301" s="237"/>
      <c r="Y301" s="237"/>
      <c r="Z301" s="237"/>
      <c r="AA301" s="237"/>
      <c r="AB301" s="237"/>
      <c r="AC301" s="237"/>
      <c r="AD301" s="237"/>
      <c r="AE301" s="237"/>
    </row>
    <row r="302" spans="1:31" s="48" customFormat="1" ht="18" customHeight="1" x14ac:dyDescent="0.3">
      <c r="A302" s="130">
        <v>293</v>
      </c>
      <c r="B302" s="462"/>
      <c r="C302" s="311">
        <v>23</v>
      </c>
      <c r="D302" s="710" t="s">
        <v>653</v>
      </c>
      <c r="E302" s="710"/>
      <c r="F302" s="455"/>
      <c r="G302" s="316"/>
      <c r="H302" s="316"/>
      <c r="I302" s="1753">
        <v>14897</v>
      </c>
      <c r="J302" s="356"/>
      <c r="K302" s="365"/>
      <c r="L302" s="365"/>
      <c r="M302" s="365"/>
      <c r="N302" s="365"/>
      <c r="O302" s="365"/>
      <c r="P302" s="365"/>
      <c r="Q302" s="365"/>
      <c r="R302" s="366"/>
      <c r="S302" s="237"/>
      <c r="T302" s="237"/>
      <c r="U302" s="237"/>
      <c r="V302" s="237"/>
      <c r="W302" s="237"/>
      <c r="X302" s="237"/>
      <c r="Y302" s="237"/>
      <c r="Z302" s="237"/>
      <c r="AA302" s="237"/>
      <c r="AB302" s="237"/>
      <c r="AC302" s="237"/>
      <c r="AD302" s="237"/>
      <c r="AE302" s="237"/>
    </row>
    <row r="303" spans="1:31" s="48" customFormat="1" ht="18" customHeight="1" x14ac:dyDescent="0.3">
      <c r="A303" s="130">
        <v>294</v>
      </c>
      <c r="B303" s="462"/>
      <c r="C303" s="705"/>
      <c r="D303" s="1848"/>
      <c r="E303" s="692" t="s">
        <v>1072</v>
      </c>
      <c r="F303" s="455"/>
      <c r="G303" s="316"/>
      <c r="H303" s="316"/>
      <c r="I303" s="1753"/>
      <c r="J303" s="356">
        <f>SUM(K303:R303)</f>
        <v>16</v>
      </c>
      <c r="K303" s="365"/>
      <c r="L303" s="365"/>
      <c r="M303" s="365">
        <v>16</v>
      </c>
      <c r="N303" s="365"/>
      <c r="O303" s="365"/>
      <c r="P303" s="365"/>
      <c r="Q303" s="365"/>
      <c r="R303" s="366"/>
      <c r="S303" s="237"/>
      <c r="T303" s="237"/>
      <c r="U303" s="237"/>
      <c r="V303" s="237"/>
      <c r="W303" s="237"/>
      <c r="X303" s="237"/>
      <c r="Y303" s="237"/>
      <c r="Z303" s="237"/>
      <c r="AA303" s="237"/>
      <c r="AB303" s="237"/>
      <c r="AC303" s="237"/>
      <c r="AD303" s="237"/>
      <c r="AE303" s="237"/>
    </row>
    <row r="304" spans="1:31" s="55" customFormat="1" ht="18" customHeight="1" x14ac:dyDescent="0.3">
      <c r="A304" s="130">
        <v>295</v>
      </c>
      <c r="B304" s="1373"/>
      <c r="C304" s="1400"/>
      <c r="D304" s="1400"/>
      <c r="E304" s="1401" t="s">
        <v>986</v>
      </c>
      <c r="F304" s="317"/>
      <c r="G304" s="317"/>
      <c r="H304" s="317"/>
      <c r="I304" s="1402"/>
      <c r="J304" s="1403">
        <f>SUM(K304:R304)</f>
        <v>0</v>
      </c>
      <c r="K304" s="360"/>
      <c r="L304" s="360"/>
      <c r="M304" s="360"/>
      <c r="N304" s="360"/>
      <c r="O304" s="360"/>
      <c r="P304" s="360"/>
      <c r="Q304" s="360"/>
      <c r="R304" s="361"/>
      <c r="S304" s="155"/>
      <c r="T304" s="155"/>
      <c r="U304" s="155"/>
      <c r="V304" s="155"/>
      <c r="W304" s="155"/>
      <c r="X304" s="155"/>
      <c r="Y304" s="155"/>
      <c r="Z304" s="155"/>
      <c r="AA304" s="155"/>
      <c r="AB304" s="155"/>
      <c r="AC304" s="155"/>
      <c r="AD304" s="155"/>
      <c r="AE304" s="155"/>
    </row>
    <row r="305" spans="1:31" s="58" customFormat="1" ht="18" customHeight="1" x14ac:dyDescent="0.3">
      <c r="A305" s="130">
        <v>296</v>
      </c>
      <c r="B305" s="462"/>
      <c r="C305" s="1404"/>
      <c r="D305" s="1404"/>
      <c r="E305" s="346" t="s">
        <v>1151</v>
      </c>
      <c r="F305" s="1405"/>
      <c r="G305" s="1405"/>
      <c r="H305" s="1405"/>
      <c r="I305" s="1406"/>
      <c r="J305" s="356">
        <f>SUM(K305:R305)</f>
        <v>16</v>
      </c>
      <c r="K305" s="1407"/>
      <c r="L305" s="1407"/>
      <c r="M305" s="1407">
        <f>SUM(M303:M304)</f>
        <v>16</v>
      </c>
      <c r="N305" s="1407"/>
      <c r="O305" s="1407"/>
      <c r="P305" s="1407"/>
      <c r="Q305" s="1407"/>
      <c r="R305" s="1408"/>
      <c r="S305" s="293"/>
      <c r="T305" s="293"/>
      <c r="U305" s="293"/>
      <c r="V305" s="293"/>
      <c r="W305" s="293"/>
      <c r="X305" s="293"/>
      <c r="Y305" s="293"/>
      <c r="Z305" s="293"/>
      <c r="AA305" s="293"/>
      <c r="AB305" s="293"/>
      <c r="AC305" s="293"/>
      <c r="AD305" s="293"/>
      <c r="AE305" s="293"/>
    </row>
    <row r="306" spans="1:31" s="58" customFormat="1" ht="18" customHeight="1" x14ac:dyDescent="0.3">
      <c r="A306" s="130">
        <v>297</v>
      </c>
      <c r="B306" s="462"/>
      <c r="C306" s="1754">
        <v>24</v>
      </c>
      <c r="D306" s="710" t="s">
        <v>686</v>
      </c>
      <c r="E306" s="710"/>
      <c r="F306" s="1405"/>
      <c r="G306" s="1405"/>
      <c r="H306" s="1405"/>
      <c r="I306" s="1406"/>
      <c r="J306" s="356"/>
      <c r="K306" s="1407"/>
      <c r="L306" s="1407"/>
      <c r="M306" s="1407"/>
      <c r="N306" s="1407"/>
      <c r="O306" s="1407"/>
      <c r="P306" s="1407"/>
      <c r="Q306" s="1407"/>
      <c r="R306" s="1408"/>
      <c r="S306" s="293"/>
      <c r="T306" s="293"/>
      <c r="U306" s="293"/>
      <c r="V306" s="293"/>
      <c r="W306" s="293"/>
      <c r="X306" s="293"/>
      <c r="Y306" s="293"/>
      <c r="Z306" s="293"/>
      <c r="AA306" s="293"/>
      <c r="AB306" s="293"/>
      <c r="AC306" s="293"/>
      <c r="AD306" s="293"/>
      <c r="AE306" s="293"/>
    </row>
    <row r="307" spans="1:31" s="58" customFormat="1" ht="18" customHeight="1" x14ac:dyDescent="0.3">
      <c r="A307" s="130">
        <v>298</v>
      </c>
      <c r="B307" s="462"/>
      <c r="C307" s="1754"/>
      <c r="D307" s="1848"/>
      <c r="E307" s="692" t="s">
        <v>1072</v>
      </c>
      <c r="F307" s="1405"/>
      <c r="G307" s="1405"/>
      <c r="H307" s="1405"/>
      <c r="I307" s="1406"/>
      <c r="J307" s="356">
        <f>SUM(K307:R307)</f>
        <v>250</v>
      </c>
      <c r="K307" s="1407">
        <v>212</v>
      </c>
      <c r="L307" s="1407">
        <v>38</v>
      </c>
      <c r="M307" s="1407"/>
      <c r="N307" s="1407"/>
      <c r="O307" s="1407"/>
      <c r="P307" s="1407"/>
      <c r="Q307" s="1407"/>
      <c r="R307" s="1408"/>
      <c r="S307" s="293"/>
      <c r="T307" s="293"/>
      <c r="U307" s="293"/>
      <c r="V307" s="293"/>
      <c r="W307" s="293"/>
      <c r="X307" s="293"/>
      <c r="Y307" s="293"/>
      <c r="Z307" s="293"/>
      <c r="AA307" s="293"/>
      <c r="AB307" s="293"/>
      <c r="AC307" s="293"/>
      <c r="AD307" s="293"/>
      <c r="AE307" s="293"/>
    </row>
    <row r="308" spans="1:31" s="58" customFormat="1" ht="18" customHeight="1" x14ac:dyDescent="0.3">
      <c r="A308" s="130">
        <v>299</v>
      </c>
      <c r="B308" s="462"/>
      <c r="C308" s="1404"/>
      <c r="D308" s="1694"/>
      <c r="E308" s="1401" t="s">
        <v>963</v>
      </c>
      <c r="F308" s="1405"/>
      <c r="G308" s="1405"/>
      <c r="H308" s="1405"/>
      <c r="I308" s="1406"/>
      <c r="J308" s="1403">
        <f>SUM(K308:R308)</f>
        <v>0</v>
      </c>
      <c r="K308" s="360"/>
      <c r="L308" s="360"/>
      <c r="M308" s="1407"/>
      <c r="N308" s="1407"/>
      <c r="O308" s="1407"/>
      <c r="P308" s="1407"/>
      <c r="Q308" s="1407"/>
      <c r="R308" s="1408"/>
      <c r="S308" s="293"/>
      <c r="T308" s="293"/>
      <c r="U308" s="293"/>
      <c r="V308" s="293"/>
      <c r="W308" s="293"/>
      <c r="X308" s="293"/>
      <c r="Y308" s="293"/>
      <c r="Z308" s="293"/>
      <c r="AA308" s="293"/>
      <c r="AB308" s="293"/>
      <c r="AC308" s="293"/>
      <c r="AD308" s="293"/>
      <c r="AE308" s="293"/>
    </row>
    <row r="309" spans="1:31" s="58" customFormat="1" ht="18" customHeight="1" x14ac:dyDescent="0.3">
      <c r="A309" s="130">
        <v>300</v>
      </c>
      <c r="B309" s="462"/>
      <c r="C309" s="1404"/>
      <c r="D309" s="1694"/>
      <c r="E309" s="346" t="s">
        <v>1151</v>
      </c>
      <c r="F309" s="1405"/>
      <c r="G309" s="1405"/>
      <c r="H309" s="1405"/>
      <c r="I309" s="1406"/>
      <c r="J309" s="356">
        <f>SUM(K309:R309)</f>
        <v>250</v>
      </c>
      <c r="K309" s="1407">
        <f>SUM(K307:K308)</f>
        <v>212</v>
      </c>
      <c r="L309" s="1407">
        <f>SUM(L307:L308)</f>
        <v>38</v>
      </c>
      <c r="M309" s="1407"/>
      <c r="N309" s="1407"/>
      <c r="O309" s="1407"/>
      <c r="P309" s="1407"/>
      <c r="Q309" s="1407"/>
      <c r="R309" s="1408"/>
      <c r="S309" s="293"/>
      <c r="T309" s="293"/>
      <c r="U309" s="293"/>
      <c r="V309" s="293"/>
      <c r="W309" s="293"/>
      <c r="X309" s="293"/>
      <c r="Y309" s="293"/>
      <c r="Z309" s="293"/>
      <c r="AA309" s="293"/>
      <c r="AB309" s="293"/>
      <c r="AC309" s="293"/>
      <c r="AD309" s="293"/>
      <c r="AE309" s="293"/>
    </row>
    <row r="310" spans="1:31" s="58" customFormat="1" ht="18" customHeight="1" x14ac:dyDescent="0.3">
      <c r="A310" s="130">
        <v>301</v>
      </c>
      <c r="B310" s="462"/>
      <c r="C310" s="1754">
        <v>25</v>
      </c>
      <c r="D310" s="710" t="s">
        <v>1013</v>
      </c>
      <c r="E310" s="710"/>
      <c r="F310" s="1405"/>
      <c r="G310" s="1405"/>
      <c r="H310" s="1405"/>
      <c r="I310" s="1406"/>
      <c r="J310" s="356"/>
      <c r="K310" s="1407"/>
      <c r="L310" s="1407"/>
      <c r="M310" s="1407"/>
      <c r="N310" s="1407"/>
      <c r="O310" s="1407"/>
      <c r="P310" s="1407"/>
      <c r="Q310" s="1407"/>
      <c r="R310" s="1408"/>
      <c r="S310" s="293"/>
      <c r="T310" s="293"/>
      <c r="U310" s="293"/>
      <c r="V310" s="293"/>
      <c r="W310" s="293"/>
      <c r="X310" s="293"/>
      <c r="Y310" s="293"/>
      <c r="Z310" s="293"/>
      <c r="AA310" s="293"/>
      <c r="AB310" s="293"/>
      <c r="AC310" s="293"/>
      <c r="AD310" s="293"/>
      <c r="AE310" s="293"/>
    </row>
    <row r="311" spans="1:31" s="58" customFormat="1" ht="18" customHeight="1" x14ac:dyDescent="0.3">
      <c r="A311" s="130">
        <v>302</v>
      </c>
      <c r="B311" s="462"/>
      <c r="C311" s="1754"/>
      <c r="D311" s="1848"/>
      <c r="E311" s="692" t="s">
        <v>1072</v>
      </c>
      <c r="F311" s="1405"/>
      <c r="G311" s="1405"/>
      <c r="H311" s="1405"/>
      <c r="I311" s="1406"/>
      <c r="J311" s="356">
        <f>SUM(K311:R311)</f>
        <v>1500</v>
      </c>
      <c r="K311" s="1407"/>
      <c r="L311" s="1407"/>
      <c r="M311" s="1407">
        <v>1470</v>
      </c>
      <c r="N311" s="1407"/>
      <c r="O311" s="1407"/>
      <c r="P311" s="1407">
        <v>30</v>
      </c>
      <c r="Q311" s="1407"/>
      <c r="R311" s="1408"/>
      <c r="S311" s="293"/>
      <c r="T311" s="293"/>
      <c r="U311" s="293"/>
      <c r="V311" s="293"/>
      <c r="W311" s="293"/>
      <c r="X311" s="293"/>
      <c r="Y311" s="293"/>
      <c r="Z311" s="293"/>
      <c r="AA311" s="293"/>
      <c r="AB311" s="293"/>
      <c r="AC311" s="293"/>
      <c r="AD311" s="293"/>
      <c r="AE311" s="293"/>
    </row>
    <row r="312" spans="1:31" s="58" customFormat="1" ht="18" customHeight="1" x14ac:dyDescent="0.3">
      <c r="A312" s="130">
        <v>303</v>
      </c>
      <c r="B312" s="462"/>
      <c r="C312" s="1404"/>
      <c r="D312" s="1694"/>
      <c r="E312" s="1401" t="s">
        <v>963</v>
      </c>
      <c r="F312" s="1405"/>
      <c r="G312" s="1405"/>
      <c r="H312" s="1405"/>
      <c r="I312" s="1406"/>
      <c r="J312" s="1403">
        <f>SUM(K312:R312)</f>
        <v>0</v>
      </c>
      <c r="K312" s="1407"/>
      <c r="L312" s="1407"/>
      <c r="M312" s="360"/>
      <c r="N312" s="360"/>
      <c r="O312" s="360"/>
      <c r="P312" s="360"/>
      <c r="Q312" s="1407"/>
      <c r="R312" s="1408"/>
      <c r="S312" s="293"/>
      <c r="T312" s="293"/>
      <c r="U312" s="293"/>
      <c r="V312" s="293"/>
      <c r="W312" s="293"/>
      <c r="X312" s="293"/>
      <c r="Y312" s="293"/>
      <c r="Z312" s="293"/>
      <c r="AA312" s="293"/>
      <c r="AB312" s="293"/>
      <c r="AC312" s="293"/>
      <c r="AD312" s="293"/>
      <c r="AE312" s="293"/>
    </row>
    <row r="313" spans="1:31" s="58" customFormat="1" ht="18" customHeight="1" x14ac:dyDescent="0.3">
      <c r="A313" s="130">
        <v>304</v>
      </c>
      <c r="B313" s="462"/>
      <c r="C313" s="1404"/>
      <c r="D313" s="1694"/>
      <c r="E313" s="346" t="s">
        <v>1151</v>
      </c>
      <c r="F313" s="1405"/>
      <c r="G313" s="1405"/>
      <c r="H313" s="1405"/>
      <c r="I313" s="1406"/>
      <c r="J313" s="356">
        <f>SUM(K313:R313)</f>
        <v>1500</v>
      </c>
      <c r="K313" s="1407"/>
      <c r="L313" s="1407"/>
      <c r="M313" s="1407">
        <f>SUM(M311:M312)</f>
        <v>1470</v>
      </c>
      <c r="N313" s="1407"/>
      <c r="O313" s="1407"/>
      <c r="P313" s="1407">
        <f t="shared" ref="P313" si="56">SUM(P311:P312)</f>
        <v>30</v>
      </c>
      <c r="Q313" s="1407"/>
      <c r="R313" s="1408"/>
      <c r="S313" s="293"/>
      <c r="T313" s="293"/>
      <c r="U313" s="293"/>
      <c r="V313" s="293"/>
      <c r="W313" s="293"/>
      <c r="X313" s="293"/>
      <c r="Y313" s="293"/>
      <c r="Z313" s="293"/>
      <c r="AA313" s="293"/>
      <c r="AB313" s="293"/>
      <c r="AC313" s="293"/>
      <c r="AD313" s="293"/>
      <c r="AE313" s="293"/>
    </row>
    <row r="314" spans="1:31" s="58" customFormat="1" ht="18" customHeight="1" x14ac:dyDescent="0.3">
      <c r="A314" s="130">
        <v>305</v>
      </c>
      <c r="B314" s="462"/>
      <c r="C314" s="1754">
        <v>26</v>
      </c>
      <c r="D314" s="710" t="s">
        <v>46</v>
      </c>
      <c r="E314" s="710"/>
      <c r="F314" s="1405"/>
      <c r="G314" s="1405"/>
      <c r="H314" s="1405"/>
      <c r="I314" s="1406"/>
      <c r="J314" s="356"/>
      <c r="K314" s="1407"/>
      <c r="L314" s="1407"/>
      <c r="M314" s="1407"/>
      <c r="N314" s="1407"/>
      <c r="O314" s="1407"/>
      <c r="P314" s="1407"/>
      <c r="Q314" s="1407"/>
      <c r="R314" s="1408"/>
      <c r="S314" s="293"/>
      <c r="T314" s="293"/>
      <c r="U314" s="293"/>
      <c r="V314" s="293"/>
      <c r="W314" s="293"/>
      <c r="X314" s="293"/>
      <c r="Y314" s="293"/>
      <c r="Z314" s="293"/>
      <c r="AA314" s="293"/>
      <c r="AB314" s="293"/>
      <c r="AC314" s="293"/>
      <c r="AD314" s="293"/>
      <c r="AE314" s="293"/>
    </row>
    <row r="315" spans="1:31" s="58" customFormat="1" ht="18" customHeight="1" x14ac:dyDescent="0.3">
      <c r="A315" s="130">
        <v>306</v>
      </c>
      <c r="B315" s="462"/>
      <c r="C315" s="1754"/>
      <c r="D315" s="1848"/>
      <c r="E315" s="692" t="s">
        <v>1072</v>
      </c>
      <c r="F315" s="1405"/>
      <c r="G315" s="1405"/>
      <c r="H315" s="1405"/>
      <c r="I315" s="1406"/>
      <c r="J315" s="356">
        <f>SUM(K315:R315)</f>
        <v>32</v>
      </c>
      <c r="K315" s="1407">
        <v>2</v>
      </c>
      <c r="L315" s="1407">
        <v>1</v>
      </c>
      <c r="M315" s="1407">
        <v>29</v>
      </c>
      <c r="N315" s="1407"/>
      <c r="O315" s="1407"/>
      <c r="P315" s="1407"/>
      <c r="Q315" s="1407"/>
      <c r="R315" s="1408"/>
      <c r="S315" s="293"/>
      <c r="T315" s="293"/>
      <c r="U315" s="293"/>
      <c r="V315" s="293"/>
      <c r="W315" s="293"/>
      <c r="X315" s="293"/>
      <c r="Y315" s="293"/>
      <c r="Z315" s="293"/>
      <c r="AA315" s="293"/>
      <c r="AB315" s="293"/>
      <c r="AC315" s="293"/>
      <c r="AD315" s="293"/>
      <c r="AE315" s="293"/>
    </row>
    <row r="316" spans="1:31" s="58" customFormat="1" ht="18" customHeight="1" x14ac:dyDescent="0.3">
      <c r="A316" s="130">
        <v>307</v>
      </c>
      <c r="B316" s="462"/>
      <c r="C316" s="1404"/>
      <c r="D316" s="1694"/>
      <c r="E316" s="1401" t="s">
        <v>963</v>
      </c>
      <c r="F316" s="1405"/>
      <c r="G316" s="1405"/>
      <c r="H316" s="1405"/>
      <c r="I316" s="1406"/>
      <c r="J316" s="1403">
        <f>SUM(K316:R316)</f>
        <v>0</v>
      </c>
      <c r="K316" s="360"/>
      <c r="L316" s="360"/>
      <c r="M316" s="360"/>
      <c r="N316" s="1407"/>
      <c r="O316" s="1407"/>
      <c r="P316" s="1407"/>
      <c r="Q316" s="1407"/>
      <c r="R316" s="1408"/>
      <c r="S316" s="293"/>
      <c r="T316" s="293"/>
      <c r="U316" s="293"/>
      <c r="V316" s="293"/>
      <c r="W316" s="293"/>
      <c r="X316" s="293"/>
      <c r="Y316" s="293"/>
      <c r="Z316" s="293"/>
      <c r="AA316" s="293"/>
      <c r="AB316" s="293"/>
      <c r="AC316" s="293"/>
      <c r="AD316" s="293"/>
      <c r="AE316" s="293"/>
    </row>
    <row r="317" spans="1:31" s="58" customFormat="1" ht="18" customHeight="1" x14ac:dyDescent="0.3">
      <c r="A317" s="130">
        <v>308</v>
      </c>
      <c r="B317" s="462"/>
      <c r="C317" s="1404"/>
      <c r="D317" s="1694"/>
      <c r="E317" s="346" t="s">
        <v>1151</v>
      </c>
      <c r="F317" s="1405"/>
      <c r="G317" s="1405"/>
      <c r="H317" s="1405"/>
      <c r="I317" s="1406"/>
      <c r="J317" s="356">
        <f>SUM(K317:R317)</f>
        <v>32</v>
      </c>
      <c r="K317" s="1407">
        <f>SUM(K315:K316)</f>
        <v>2</v>
      </c>
      <c r="L317" s="1407">
        <f t="shared" ref="L317:M317" si="57">SUM(L315:L316)</f>
        <v>1</v>
      </c>
      <c r="M317" s="1407">
        <f t="shared" si="57"/>
        <v>29</v>
      </c>
      <c r="N317" s="1407"/>
      <c r="O317" s="1407"/>
      <c r="P317" s="1407"/>
      <c r="Q317" s="1407"/>
      <c r="R317" s="1408"/>
      <c r="S317" s="293"/>
      <c r="T317" s="293"/>
      <c r="U317" s="293"/>
      <c r="V317" s="293"/>
      <c r="W317" s="293"/>
      <c r="X317" s="293"/>
      <c r="Y317" s="293"/>
      <c r="Z317" s="293"/>
      <c r="AA317" s="293"/>
      <c r="AB317" s="293"/>
      <c r="AC317" s="293"/>
      <c r="AD317" s="293"/>
      <c r="AE317" s="293"/>
    </row>
    <row r="318" spans="1:31" s="58" customFormat="1" ht="18" customHeight="1" x14ac:dyDescent="0.3">
      <c r="A318" s="130">
        <v>309</v>
      </c>
      <c r="B318" s="462"/>
      <c r="C318" s="1754">
        <v>27</v>
      </c>
      <c r="D318" s="1375" t="s">
        <v>691</v>
      </c>
      <c r="E318" s="1996"/>
      <c r="F318" s="1405"/>
      <c r="G318" s="1405"/>
      <c r="H318" s="1405"/>
      <c r="I318" s="1406"/>
      <c r="J318" s="356"/>
      <c r="K318" s="1407"/>
      <c r="L318" s="1407"/>
      <c r="M318" s="1407"/>
      <c r="N318" s="1407"/>
      <c r="O318" s="1407"/>
      <c r="P318" s="1407"/>
      <c r="Q318" s="1407"/>
      <c r="R318" s="1408"/>
      <c r="S318" s="293"/>
      <c r="T318" s="293"/>
      <c r="U318" s="293"/>
      <c r="V318" s="293"/>
      <c r="W318" s="293"/>
      <c r="X318" s="293"/>
      <c r="Y318" s="293"/>
      <c r="Z318" s="293"/>
      <c r="AA318" s="293"/>
      <c r="AB318" s="293"/>
      <c r="AC318" s="293"/>
      <c r="AD318" s="293"/>
      <c r="AE318" s="293"/>
    </row>
    <row r="319" spans="1:31" s="58" customFormat="1" ht="18" customHeight="1" x14ac:dyDescent="0.3">
      <c r="A319" s="130">
        <v>310</v>
      </c>
      <c r="B319" s="462"/>
      <c r="C319" s="1754"/>
      <c r="D319" s="2012"/>
      <c r="E319" s="692" t="s">
        <v>1072</v>
      </c>
      <c r="F319" s="1405"/>
      <c r="G319" s="1405"/>
      <c r="H319" s="1405"/>
      <c r="I319" s="1406"/>
      <c r="J319" s="356">
        <f>SUM(K319:R319)</f>
        <v>3100</v>
      </c>
      <c r="K319" s="1407">
        <v>2684</v>
      </c>
      <c r="L319" s="1407">
        <v>416</v>
      </c>
      <c r="M319" s="1407"/>
      <c r="N319" s="1407"/>
      <c r="O319" s="1407"/>
      <c r="P319" s="1407"/>
      <c r="Q319" s="1407"/>
      <c r="R319" s="1408"/>
      <c r="S319" s="293"/>
      <c r="T319" s="293"/>
      <c r="U319" s="293"/>
      <c r="V319" s="293"/>
      <c r="W319" s="293"/>
      <c r="X319" s="293"/>
      <c r="Y319" s="293"/>
      <c r="Z319" s="293"/>
      <c r="AA319" s="293"/>
      <c r="AB319" s="293"/>
      <c r="AC319" s="293"/>
      <c r="AD319" s="293"/>
      <c r="AE319" s="293"/>
    </row>
    <row r="320" spans="1:31" s="58" customFormat="1" ht="18" customHeight="1" x14ac:dyDescent="0.3">
      <c r="A320" s="130">
        <v>311</v>
      </c>
      <c r="B320" s="462"/>
      <c r="C320" s="1404"/>
      <c r="D320" s="1694"/>
      <c r="E320" s="1401" t="s">
        <v>963</v>
      </c>
      <c r="F320" s="1405"/>
      <c r="G320" s="1405"/>
      <c r="H320" s="1405"/>
      <c r="I320" s="1406"/>
      <c r="J320" s="1403">
        <f>SUM(K320:R320)</f>
        <v>0</v>
      </c>
      <c r="K320" s="360"/>
      <c r="L320" s="360"/>
      <c r="M320" s="1407"/>
      <c r="N320" s="1407"/>
      <c r="O320" s="1407"/>
      <c r="P320" s="1407"/>
      <c r="Q320" s="1407"/>
      <c r="R320" s="1408"/>
      <c r="S320" s="293"/>
      <c r="T320" s="293"/>
      <c r="U320" s="293"/>
      <c r="V320" s="293"/>
      <c r="W320" s="293"/>
      <c r="X320" s="293"/>
      <c r="Y320" s="293"/>
      <c r="Z320" s="293"/>
      <c r="AA320" s="293"/>
      <c r="AB320" s="293"/>
      <c r="AC320" s="293"/>
      <c r="AD320" s="293"/>
      <c r="AE320" s="293"/>
    </row>
    <row r="321" spans="1:31" s="58" customFormat="1" ht="18" customHeight="1" x14ac:dyDescent="0.3">
      <c r="A321" s="130">
        <v>312</v>
      </c>
      <c r="B321" s="462"/>
      <c r="C321" s="1404"/>
      <c r="D321" s="1694"/>
      <c r="E321" s="346" t="s">
        <v>1151</v>
      </c>
      <c r="F321" s="1405"/>
      <c r="G321" s="1405"/>
      <c r="H321" s="1405"/>
      <c r="I321" s="1406"/>
      <c r="J321" s="356">
        <f>SUM(K321:R321)</f>
        <v>3100</v>
      </c>
      <c r="K321" s="1407">
        <f>SUM(K319:K320)</f>
        <v>2684</v>
      </c>
      <c r="L321" s="1407">
        <f>SUM(L319:L320)</f>
        <v>416</v>
      </c>
      <c r="M321" s="1407"/>
      <c r="N321" s="1407"/>
      <c r="O321" s="1407"/>
      <c r="P321" s="1407"/>
      <c r="Q321" s="1407"/>
      <c r="R321" s="1408"/>
      <c r="S321" s="293"/>
      <c r="T321" s="293"/>
      <c r="U321" s="293"/>
      <c r="V321" s="293"/>
      <c r="W321" s="293"/>
      <c r="X321" s="293"/>
      <c r="Y321" s="293"/>
      <c r="Z321" s="293"/>
      <c r="AA321" s="293"/>
      <c r="AB321" s="293"/>
      <c r="AC321" s="293"/>
      <c r="AD321" s="293"/>
      <c r="AE321" s="293"/>
    </row>
    <row r="322" spans="1:31" s="48" customFormat="1" ht="18" customHeight="1" x14ac:dyDescent="0.3">
      <c r="A322" s="130">
        <v>313</v>
      </c>
      <c r="B322" s="462"/>
      <c r="C322" s="311">
        <v>28</v>
      </c>
      <c r="D322" s="710" t="s">
        <v>467</v>
      </c>
      <c r="E322" s="710"/>
      <c r="F322" s="455"/>
      <c r="G322" s="316">
        <v>15790</v>
      </c>
      <c r="H322" s="316"/>
      <c r="I322" s="1753"/>
      <c r="J322" s="356"/>
      <c r="K322" s="365"/>
      <c r="L322" s="365"/>
      <c r="M322" s="365"/>
      <c r="N322" s="365"/>
      <c r="O322" s="365"/>
      <c r="P322" s="365"/>
      <c r="Q322" s="365"/>
      <c r="R322" s="366"/>
      <c r="S322" s="237"/>
      <c r="T322" s="237"/>
      <c r="U322" s="237"/>
      <c r="V322" s="237"/>
      <c r="W322" s="237"/>
      <c r="X322" s="237"/>
      <c r="Y322" s="237"/>
      <c r="Z322" s="237"/>
      <c r="AA322" s="237"/>
      <c r="AB322" s="237"/>
      <c r="AC322" s="237"/>
      <c r="AD322" s="237"/>
      <c r="AE322" s="237"/>
    </row>
    <row r="323" spans="1:31" s="48" customFormat="1" ht="18" customHeight="1" x14ac:dyDescent="0.3">
      <c r="A323" s="130">
        <v>314</v>
      </c>
      <c r="B323" s="462"/>
      <c r="C323" s="311">
        <v>29</v>
      </c>
      <c r="D323" s="710" t="s">
        <v>537</v>
      </c>
      <c r="E323" s="710"/>
      <c r="F323" s="455"/>
      <c r="G323" s="316">
        <v>956</v>
      </c>
      <c r="H323" s="316"/>
      <c r="I323" s="1753"/>
      <c r="J323" s="356"/>
      <c r="K323" s="365"/>
      <c r="L323" s="365"/>
      <c r="M323" s="365"/>
      <c r="N323" s="365"/>
      <c r="O323" s="365"/>
      <c r="P323" s="365"/>
      <c r="Q323" s="365"/>
      <c r="R323" s="366"/>
      <c r="S323" s="237"/>
      <c r="T323" s="237"/>
      <c r="U323" s="237"/>
      <c r="V323" s="237"/>
      <c r="W323" s="237"/>
      <c r="X323" s="237"/>
      <c r="Y323" s="237"/>
      <c r="Z323" s="237"/>
      <c r="AA323" s="237"/>
      <c r="AB323" s="237"/>
      <c r="AC323" s="237"/>
      <c r="AD323" s="237"/>
      <c r="AE323" s="237"/>
    </row>
    <row r="324" spans="1:31" s="48" customFormat="1" ht="18" customHeight="1" x14ac:dyDescent="0.3">
      <c r="A324" s="130">
        <v>315</v>
      </c>
      <c r="B324" s="462"/>
      <c r="C324" s="311">
        <v>30</v>
      </c>
      <c r="D324" s="710" t="s">
        <v>538</v>
      </c>
      <c r="E324" s="710"/>
      <c r="F324" s="455"/>
      <c r="G324" s="316">
        <v>1063</v>
      </c>
      <c r="H324" s="316"/>
      <c r="I324" s="1753"/>
      <c r="J324" s="356"/>
      <c r="K324" s="365"/>
      <c r="L324" s="365"/>
      <c r="M324" s="365"/>
      <c r="N324" s="365"/>
      <c r="O324" s="365"/>
      <c r="P324" s="365"/>
      <c r="Q324" s="365"/>
      <c r="R324" s="366"/>
      <c r="S324" s="237"/>
      <c r="T324" s="237"/>
      <c r="U324" s="237"/>
      <c r="V324" s="237"/>
      <c r="W324" s="237"/>
      <c r="X324" s="237"/>
      <c r="Y324" s="237"/>
      <c r="Z324" s="237"/>
      <c r="AA324" s="237"/>
      <c r="AB324" s="237"/>
      <c r="AC324" s="237"/>
      <c r="AD324" s="237"/>
      <c r="AE324" s="237"/>
    </row>
    <row r="325" spans="1:31" s="48" customFormat="1" ht="30" customHeight="1" thickBot="1" x14ac:dyDescent="0.35">
      <c r="A325" s="130">
        <v>316</v>
      </c>
      <c r="B325" s="462"/>
      <c r="C325" s="315">
        <v>31</v>
      </c>
      <c r="D325" s="2147" t="s">
        <v>536</v>
      </c>
      <c r="E325" s="2148"/>
      <c r="F325" s="455"/>
      <c r="G325" s="316">
        <v>252</v>
      </c>
      <c r="H325" s="316"/>
      <c r="I325" s="1753"/>
      <c r="J325" s="356"/>
      <c r="K325" s="365"/>
      <c r="L325" s="365"/>
      <c r="M325" s="365"/>
      <c r="N325" s="365"/>
      <c r="O325" s="365"/>
      <c r="P325" s="365"/>
      <c r="Q325" s="365"/>
      <c r="R325" s="366"/>
      <c r="S325" s="237"/>
      <c r="T325" s="237"/>
      <c r="U325" s="237"/>
      <c r="V325" s="237"/>
      <c r="W325" s="237"/>
      <c r="X325" s="237"/>
      <c r="Y325" s="237"/>
      <c r="Z325" s="237"/>
      <c r="AA325" s="237"/>
      <c r="AB325" s="237"/>
      <c r="AC325" s="237"/>
      <c r="AD325" s="237"/>
      <c r="AE325" s="237"/>
    </row>
    <row r="326" spans="1:31" s="57" customFormat="1" ht="22.5" customHeight="1" thickTop="1" x14ac:dyDescent="0.3">
      <c r="A326" s="130">
        <v>317</v>
      </c>
      <c r="B326" s="440"/>
      <c r="C326" s="2149" t="s">
        <v>637</v>
      </c>
      <c r="D326" s="2150"/>
      <c r="E326" s="2151"/>
      <c r="F326" s="872"/>
      <c r="G326" s="732">
        <f>SUM(G217:G325)</f>
        <v>1459238</v>
      </c>
      <c r="H326" s="732">
        <f>SUM(H217:H325)</f>
        <v>1572895</v>
      </c>
      <c r="I326" s="734">
        <f>SUM(I217:I325)</f>
        <v>1582989</v>
      </c>
      <c r="J326" s="735"/>
      <c r="K326" s="737"/>
      <c r="L326" s="737"/>
      <c r="M326" s="737"/>
      <c r="N326" s="737"/>
      <c r="O326" s="737"/>
      <c r="P326" s="737"/>
      <c r="Q326" s="737"/>
      <c r="R326" s="738"/>
      <c r="S326" s="289"/>
      <c r="T326" s="289"/>
      <c r="U326" s="289"/>
      <c r="V326" s="289"/>
      <c r="W326" s="289"/>
      <c r="X326" s="289"/>
      <c r="Y326" s="289"/>
      <c r="Z326" s="289"/>
      <c r="AA326" s="289"/>
      <c r="AB326" s="289"/>
      <c r="AC326" s="289"/>
      <c r="AD326" s="289"/>
      <c r="AE326" s="289"/>
    </row>
    <row r="327" spans="1:31" s="814" customFormat="1" ht="18" customHeight="1" x14ac:dyDescent="0.3">
      <c r="A327" s="130">
        <v>318</v>
      </c>
      <c r="B327" s="807"/>
      <c r="C327" s="820"/>
      <c r="D327" s="861"/>
      <c r="E327" s="1435" t="s">
        <v>311</v>
      </c>
      <c r="F327" s="1436"/>
      <c r="G327" s="837"/>
      <c r="H327" s="837"/>
      <c r="I327" s="862"/>
      <c r="J327" s="863">
        <f>SUM(K327:R327)</f>
        <v>1675561</v>
      </c>
      <c r="K327" s="1437">
        <f t="shared" ref="K327:R327" si="58">SUM(K219,K234,K239,K244,K251,K256,K261,K269,K274,K280,K285,K291,K296)</f>
        <v>1137523</v>
      </c>
      <c r="L327" s="1437">
        <f t="shared" si="58"/>
        <v>205853</v>
      </c>
      <c r="M327" s="1437">
        <f t="shared" si="58"/>
        <v>297820</v>
      </c>
      <c r="N327" s="1437">
        <f t="shared" si="58"/>
        <v>0</v>
      </c>
      <c r="O327" s="1437">
        <f t="shared" si="58"/>
        <v>0</v>
      </c>
      <c r="P327" s="1437">
        <f t="shared" si="58"/>
        <v>34365</v>
      </c>
      <c r="Q327" s="1437">
        <f t="shared" si="58"/>
        <v>0</v>
      </c>
      <c r="R327" s="1438">
        <f t="shared" si="58"/>
        <v>0</v>
      </c>
      <c r="S327" s="880"/>
      <c r="T327" s="880"/>
      <c r="U327" s="880"/>
      <c r="V327" s="880"/>
      <c r="W327" s="880"/>
      <c r="X327" s="880"/>
      <c r="Y327" s="880"/>
      <c r="Z327" s="880"/>
      <c r="AA327" s="880"/>
      <c r="AB327" s="880"/>
      <c r="AC327" s="880"/>
      <c r="AD327" s="880"/>
      <c r="AE327" s="880"/>
    </row>
    <row r="328" spans="1:31" s="814" customFormat="1" ht="18" customHeight="1" x14ac:dyDescent="0.3">
      <c r="A328" s="130">
        <v>319</v>
      </c>
      <c r="B328" s="807"/>
      <c r="C328" s="820"/>
      <c r="D328" s="861"/>
      <c r="E328" s="692" t="s">
        <v>1072</v>
      </c>
      <c r="F328" s="1436"/>
      <c r="G328" s="837"/>
      <c r="H328" s="837"/>
      <c r="I328" s="862"/>
      <c r="J328" s="356">
        <f>SUM(K328:R328)</f>
        <v>1887348</v>
      </c>
      <c r="K328" s="1850">
        <f>SUM(K220,K235,K240,K245,K252,K257,K262,K270,K275,K281,K286,K292,K297)+K303+K307+K311+K315+K319</f>
        <v>1179887</v>
      </c>
      <c r="L328" s="1850">
        <f t="shared" ref="L328:R328" si="59">SUM(L220,L235,L240,L245,L252,L257,L262,L270,L275,L281,L286,L292,L297)+L303+L307+L311+L315+L319</f>
        <v>235396</v>
      </c>
      <c r="M328" s="1850">
        <f t="shared" si="59"/>
        <v>439478</v>
      </c>
      <c r="N328" s="1850">
        <f t="shared" si="59"/>
        <v>0</v>
      </c>
      <c r="O328" s="1850">
        <f t="shared" si="59"/>
        <v>0</v>
      </c>
      <c r="P328" s="1850">
        <f t="shared" si="59"/>
        <v>32587</v>
      </c>
      <c r="Q328" s="1850">
        <f t="shared" si="59"/>
        <v>0</v>
      </c>
      <c r="R328" s="1851">
        <f t="shared" si="59"/>
        <v>0</v>
      </c>
      <c r="S328" s="880"/>
      <c r="T328" s="880"/>
      <c r="U328" s="880"/>
      <c r="V328" s="880"/>
      <c r="W328" s="880"/>
      <c r="X328" s="880"/>
      <c r="Y328" s="880"/>
      <c r="Z328" s="880"/>
      <c r="AA328" s="880"/>
      <c r="AB328" s="880"/>
      <c r="AC328" s="880"/>
      <c r="AD328" s="880"/>
      <c r="AE328" s="880"/>
    </row>
    <row r="329" spans="1:31" s="55" customFormat="1" ht="18" customHeight="1" x14ac:dyDescent="0.3">
      <c r="A329" s="130">
        <v>320</v>
      </c>
      <c r="B329" s="1373"/>
      <c r="C329" s="1410"/>
      <c r="D329" s="1400"/>
      <c r="E329" s="1401" t="s">
        <v>963</v>
      </c>
      <c r="F329" s="317"/>
      <c r="G329" s="317"/>
      <c r="H329" s="317"/>
      <c r="I329" s="1402"/>
      <c r="J329" s="1849">
        <f>SUM(K329:R329)</f>
        <v>-13782</v>
      </c>
      <c r="K329" s="360">
        <f t="shared" ref="K329:R329" si="60">SUM(K221:K221,K236:K236,K241:K241,K246:K246,K253:K253,K258:K258,K263:K263,K271:K271,K276:K276,K282:K282,K287:K287,K293:K293,K298:K298,K304:K304,)+K308+K312+K316+K320</f>
        <v>-11531</v>
      </c>
      <c r="L329" s="360">
        <f t="shared" si="60"/>
        <v>-2251</v>
      </c>
      <c r="M329" s="360">
        <f t="shared" si="60"/>
        <v>0</v>
      </c>
      <c r="N329" s="360">
        <f t="shared" si="60"/>
        <v>0</v>
      </c>
      <c r="O329" s="360">
        <f t="shared" si="60"/>
        <v>0</v>
      </c>
      <c r="P329" s="360">
        <f t="shared" si="60"/>
        <v>0</v>
      </c>
      <c r="Q329" s="360">
        <f t="shared" si="60"/>
        <v>0</v>
      </c>
      <c r="R329" s="361">
        <f t="shared" si="60"/>
        <v>0</v>
      </c>
      <c r="S329" s="155"/>
      <c r="T329" s="155"/>
      <c r="U329" s="155"/>
      <c r="V329" s="155"/>
      <c r="W329" s="155"/>
      <c r="X329" s="155"/>
      <c r="Y329" s="155"/>
      <c r="Z329" s="155"/>
      <c r="AA329" s="155"/>
      <c r="AB329" s="155"/>
      <c r="AC329" s="155"/>
      <c r="AD329" s="155"/>
      <c r="AE329" s="155"/>
    </row>
    <row r="330" spans="1:31" s="58" customFormat="1" ht="18" customHeight="1" thickBot="1" x14ac:dyDescent="0.35">
      <c r="A330" s="130">
        <v>321</v>
      </c>
      <c r="B330" s="1385"/>
      <c r="C330" s="1425"/>
      <c r="D330" s="1426"/>
      <c r="E330" s="1427" t="s">
        <v>1151</v>
      </c>
      <c r="F330" s="1428"/>
      <c r="G330" s="1428"/>
      <c r="H330" s="1428"/>
      <c r="I330" s="1750"/>
      <c r="J330" s="1429">
        <f>SUM(K330:R330)</f>
        <v>1873566</v>
      </c>
      <c r="K330" s="1430">
        <f>SUM(K328:K329)</f>
        <v>1168356</v>
      </c>
      <c r="L330" s="1430">
        <f t="shared" ref="L330:R330" si="61">SUM(L328:L329)</f>
        <v>233145</v>
      </c>
      <c r="M330" s="1430">
        <f t="shared" si="61"/>
        <v>439478</v>
      </c>
      <c r="N330" s="1430">
        <f t="shared" si="61"/>
        <v>0</v>
      </c>
      <c r="O330" s="1430">
        <f t="shared" si="61"/>
        <v>0</v>
      </c>
      <c r="P330" s="1430">
        <f t="shared" si="61"/>
        <v>32587</v>
      </c>
      <c r="Q330" s="1430">
        <f t="shared" si="61"/>
        <v>0</v>
      </c>
      <c r="R330" s="1943">
        <f t="shared" si="61"/>
        <v>0</v>
      </c>
      <c r="S330" s="293"/>
      <c r="T330" s="293"/>
      <c r="U330" s="293"/>
      <c r="V330" s="293"/>
      <c r="W330" s="293"/>
      <c r="X330" s="293"/>
      <c r="Y330" s="293"/>
      <c r="Z330" s="293"/>
      <c r="AA330" s="293"/>
      <c r="AB330" s="293"/>
      <c r="AC330" s="293"/>
      <c r="AD330" s="293"/>
      <c r="AE330" s="293"/>
    </row>
    <row r="331" spans="1:31" s="57" customFormat="1" ht="36" customHeight="1" x14ac:dyDescent="0.2">
      <c r="A331" s="130">
        <v>322</v>
      </c>
      <c r="B331" s="2099" t="s">
        <v>13</v>
      </c>
      <c r="C331" s="2100"/>
      <c r="D331" s="2100"/>
      <c r="E331" s="2101"/>
      <c r="F331" s="873"/>
      <c r="G331" s="842">
        <f>SUM(G326,G212)</f>
        <v>7353582</v>
      </c>
      <c r="H331" s="842">
        <f>SUM(H326,H212)</f>
        <v>7596089</v>
      </c>
      <c r="I331" s="1755">
        <f>SUM(I326,I212)</f>
        <v>8054296</v>
      </c>
      <c r="J331" s="874"/>
      <c r="K331" s="842"/>
      <c r="L331" s="842"/>
      <c r="M331" s="842"/>
      <c r="N331" s="842"/>
      <c r="O331" s="842"/>
      <c r="P331" s="842"/>
      <c r="Q331" s="842"/>
      <c r="R331" s="875"/>
      <c r="S331" s="289"/>
      <c r="T331" s="289"/>
      <c r="U331" s="289"/>
      <c r="V331" s="289"/>
      <c r="W331" s="289"/>
      <c r="X331" s="289"/>
      <c r="Y331" s="289"/>
      <c r="Z331" s="289"/>
      <c r="AA331" s="289"/>
      <c r="AB331" s="289"/>
      <c r="AC331" s="289"/>
      <c r="AD331" s="289"/>
      <c r="AE331" s="289"/>
    </row>
    <row r="332" spans="1:31" s="814" customFormat="1" ht="18" customHeight="1" x14ac:dyDescent="0.3">
      <c r="A332" s="130">
        <v>323</v>
      </c>
      <c r="B332" s="843"/>
      <c r="C332" s="820"/>
      <c r="D332" s="861"/>
      <c r="E332" s="1435" t="s">
        <v>311</v>
      </c>
      <c r="F332" s="1436"/>
      <c r="G332" s="837"/>
      <c r="H332" s="837"/>
      <c r="I332" s="862"/>
      <c r="J332" s="863">
        <f>SUM(K332:R332)</f>
        <v>8038573</v>
      </c>
      <c r="K332" s="1437">
        <f t="shared" ref="K332:R332" si="62">SUM(K327,K213)</f>
        <v>4439418</v>
      </c>
      <c r="L332" s="1437">
        <f t="shared" si="62"/>
        <v>851687</v>
      </c>
      <c r="M332" s="1437">
        <f t="shared" si="62"/>
        <v>2680254</v>
      </c>
      <c r="N332" s="1437">
        <f t="shared" si="62"/>
        <v>0</v>
      </c>
      <c r="O332" s="1437">
        <f t="shared" si="62"/>
        <v>178</v>
      </c>
      <c r="P332" s="1437">
        <f t="shared" si="62"/>
        <v>67036</v>
      </c>
      <c r="Q332" s="1437">
        <f t="shared" si="62"/>
        <v>0</v>
      </c>
      <c r="R332" s="1438">
        <f t="shared" si="62"/>
        <v>0</v>
      </c>
      <c r="S332" s="880"/>
      <c r="T332" s="880"/>
      <c r="U332" s="880"/>
      <c r="V332" s="880"/>
      <c r="W332" s="880"/>
      <c r="X332" s="880"/>
      <c r="Y332" s="880"/>
      <c r="Z332" s="880"/>
      <c r="AA332" s="880"/>
      <c r="AB332" s="880"/>
      <c r="AC332" s="880"/>
      <c r="AD332" s="880"/>
      <c r="AE332" s="880"/>
    </row>
    <row r="333" spans="1:31" s="814" customFormat="1" ht="18" customHeight="1" x14ac:dyDescent="0.3">
      <c r="A333" s="130">
        <v>324</v>
      </c>
      <c r="B333" s="843"/>
      <c r="C333" s="820"/>
      <c r="D333" s="861"/>
      <c r="E333" s="692" t="s">
        <v>1072</v>
      </c>
      <c r="F333" s="1436"/>
      <c r="G333" s="837"/>
      <c r="H333" s="837"/>
      <c r="I333" s="862"/>
      <c r="J333" s="1444">
        <f>SUM(K333:R333)</f>
        <v>8985521</v>
      </c>
      <c r="K333" s="1850">
        <f>SUM(K328,K214)</f>
        <v>4678225</v>
      </c>
      <c r="L333" s="1850">
        <f>SUM(L328,L214)</f>
        <v>913794</v>
      </c>
      <c r="M333" s="1850">
        <f>SUM(M328,M214)</f>
        <v>3221290</v>
      </c>
      <c r="N333" s="1850"/>
      <c r="O333" s="1850">
        <f>SUM(O328,O214)</f>
        <v>357</v>
      </c>
      <c r="P333" s="1850">
        <f>SUM(P328,P214)</f>
        <v>168700</v>
      </c>
      <c r="Q333" s="1850">
        <f>SUM(Q328,Q214)</f>
        <v>3155</v>
      </c>
      <c r="R333" s="1851">
        <f>SUM(R328,R214)</f>
        <v>0</v>
      </c>
      <c r="S333" s="880"/>
      <c r="T333" s="880"/>
      <c r="U333" s="880"/>
      <c r="V333" s="880"/>
      <c r="W333" s="880"/>
      <c r="X333" s="880"/>
      <c r="Y333" s="880"/>
      <c r="Z333" s="880"/>
      <c r="AA333" s="880"/>
      <c r="AB333" s="880"/>
      <c r="AC333" s="880"/>
      <c r="AD333" s="880"/>
      <c r="AE333" s="880"/>
    </row>
    <row r="334" spans="1:31" s="55" customFormat="1" ht="18" customHeight="1" x14ac:dyDescent="0.3">
      <c r="A334" s="130">
        <v>325</v>
      </c>
      <c r="B334" s="1373"/>
      <c r="C334" s="1410"/>
      <c r="D334" s="1400"/>
      <c r="E334" s="1401" t="s">
        <v>963</v>
      </c>
      <c r="F334" s="317"/>
      <c r="G334" s="317"/>
      <c r="H334" s="317"/>
      <c r="I334" s="1402"/>
      <c r="J334" s="1403">
        <f>SUM(K334:R334)</f>
        <v>-75620</v>
      </c>
      <c r="K334" s="360">
        <f t="shared" ref="K334:R334" si="63">SUM(K215,K329)</f>
        <v>192048</v>
      </c>
      <c r="L334" s="360">
        <f t="shared" si="63"/>
        <v>29216</v>
      </c>
      <c r="M334" s="360">
        <f t="shared" si="63"/>
        <v>-316826</v>
      </c>
      <c r="N334" s="360">
        <f t="shared" si="63"/>
        <v>0</v>
      </c>
      <c r="O334" s="360">
        <f t="shared" si="63"/>
        <v>0</v>
      </c>
      <c r="P334" s="360">
        <f t="shared" si="63"/>
        <v>19980</v>
      </c>
      <c r="Q334" s="360">
        <f t="shared" si="63"/>
        <v>-38</v>
      </c>
      <c r="R334" s="361">
        <f t="shared" si="63"/>
        <v>0</v>
      </c>
      <c r="S334" s="155"/>
      <c r="T334" s="155"/>
      <c r="U334" s="155"/>
      <c r="V334" s="155"/>
      <c r="W334" s="155"/>
      <c r="X334" s="155"/>
      <c r="Y334" s="155"/>
      <c r="Z334" s="155"/>
      <c r="AA334" s="155"/>
      <c r="AB334" s="155"/>
      <c r="AC334" s="155"/>
      <c r="AD334" s="155"/>
      <c r="AE334" s="155"/>
    </row>
    <row r="335" spans="1:31" s="58" customFormat="1" ht="18" customHeight="1" thickBot="1" x14ac:dyDescent="0.35">
      <c r="A335" s="130">
        <v>326</v>
      </c>
      <c r="B335" s="1385"/>
      <c r="C335" s="1425"/>
      <c r="D335" s="1426"/>
      <c r="E335" s="1427" t="s">
        <v>1151</v>
      </c>
      <c r="F335" s="1428"/>
      <c r="G335" s="1428"/>
      <c r="H335" s="1428"/>
      <c r="I335" s="1750"/>
      <c r="J335" s="1429">
        <f>SUM(K335:R335)</f>
        <v>8909901</v>
      </c>
      <c r="K335" s="1430">
        <f>SUM(K333:K334)</f>
        <v>4870273</v>
      </c>
      <c r="L335" s="1430">
        <f t="shared" ref="L335:R335" si="64">SUM(L333:L334)</f>
        <v>943010</v>
      </c>
      <c r="M335" s="1430">
        <f t="shared" si="64"/>
        <v>2904464</v>
      </c>
      <c r="N335" s="1430">
        <f t="shared" si="64"/>
        <v>0</v>
      </c>
      <c r="O335" s="1430">
        <f t="shared" si="64"/>
        <v>357</v>
      </c>
      <c r="P335" s="1430">
        <f t="shared" si="64"/>
        <v>188680</v>
      </c>
      <c r="Q335" s="1430">
        <f t="shared" si="64"/>
        <v>3117</v>
      </c>
      <c r="R335" s="1943">
        <f t="shared" si="64"/>
        <v>0</v>
      </c>
      <c r="S335" s="293"/>
      <c r="T335" s="293"/>
      <c r="U335" s="293"/>
      <c r="V335" s="293"/>
      <c r="W335" s="293"/>
      <c r="X335" s="293"/>
      <c r="Y335" s="293"/>
      <c r="Z335" s="293"/>
      <c r="AA335" s="293"/>
      <c r="AB335" s="293"/>
      <c r="AC335" s="293"/>
      <c r="AD335" s="293"/>
      <c r="AE335" s="293"/>
    </row>
    <row r="336" spans="1:31" s="55" customFormat="1" ht="15" customHeight="1" x14ac:dyDescent="0.3">
      <c r="A336" s="130">
        <v>327</v>
      </c>
      <c r="B336" s="2152" t="s">
        <v>168</v>
      </c>
      <c r="C336" s="2153"/>
      <c r="D336" s="2153"/>
      <c r="E336" s="2154"/>
      <c r="F336" s="463"/>
      <c r="G336" s="367"/>
      <c r="H336" s="367"/>
      <c r="I336" s="1756"/>
      <c r="J336" s="370"/>
      <c r="K336" s="367"/>
      <c r="L336" s="367"/>
      <c r="M336" s="367"/>
      <c r="N336" s="367"/>
      <c r="O336" s="367"/>
      <c r="P336" s="367"/>
      <c r="Q336" s="367"/>
      <c r="R336" s="368"/>
      <c r="S336" s="295"/>
      <c r="T336" s="155"/>
      <c r="U336" s="155"/>
      <c r="V336" s="155"/>
      <c r="W336" s="155"/>
      <c r="X336" s="155"/>
      <c r="Y336" s="155"/>
      <c r="Z336" s="155"/>
      <c r="AA336" s="155"/>
      <c r="AB336" s="155"/>
      <c r="AC336" s="155"/>
      <c r="AD336" s="155"/>
      <c r="AE336" s="155"/>
    </row>
    <row r="337" spans="1:31" s="55" customFormat="1" ht="15" customHeight="1" x14ac:dyDescent="0.3">
      <c r="A337" s="130">
        <v>328</v>
      </c>
      <c r="B337" s="2141" t="s">
        <v>169</v>
      </c>
      <c r="C337" s="2142"/>
      <c r="D337" s="2142"/>
      <c r="E337" s="2143"/>
      <c r="F337" s="2143"/>
      <c r="G337" s="353">
        <f>SUM(G115:G177,G110,G75,G206)</f>
        <v>4832764</v>
      </c>
      <c r="H337" s="353">
        <f>SUM(H115:H177,H110,H75,H206)</f>
        <v>5148329</v>
      </c>
      <c r="I337" s="1757">
        <f>SUM(I115:I177,I110,I75,I206)</f>
        <v>5457000</v>
      </c>
      <c r="J337" s="369"/>
      <c r="K337" s="316"/>
      <c r="L337" s="316"/>
      <c r="M337" s="316"/>
      <c r="N337" s="316"/>
      <c r="O337" s="316"/>
      <c r="P337" s="316"/>
      <c r="Q337" s="316"/>
      <c r="R337" s="329"/>
      <c r="S337" s="295"/>
      <c r="T337" s="155"/>
      <c r="U337" s="155"/>
      <c r="V337" s="155"/>
      <c r="W337" s="155"/>
      <c r="X337" s="155"/>
      <c r="Y337" s="155"/>
      <c r="Z337" s="155"/>
      <c r="AA337" s="155"/>
      <c r="AB337" s="155"/>
      <c r="AC337" s="155"/>
      <c r="AD337" s="155"/>
      <c r="AE337" s="155"/>
    </row>
    <row r="338" spans="1:31" s="858" customFormat="1" ht="15" customHeight="1" x14ac:dyDescent="0.3">
      <c r="A338" s="130">
        <v>329</v>
      </c>
      <c r="B338" s="881"/>
      <c r="C338" s="882"/>
      <c r="D338" s="882"/>
      <c r="E338" s="852" t="s">
        <v>311</v>
      </c>
      <c r="F338" s="883"/>
      <c r="G338" s="884"/>
      <c r="H338" s="884"/>
      <c r="I338" s="1758"/>
      <c r="J338" s="876">
        <f>SUM(K338:R338)</f>
        <v>5482717</v>
      </c>
      <c r="K338" s="876">
        <f t="shared" ref="K338:R339" si="65">SUM(K76,K111,K116,K127,K132,K145,K160,K165,K177,K207,)</f>
        <v>2882682</v>
      </c>
      <c r="L338" s="876">
        <f t="shared" si="65"/>
        <v>565818</v>
      </c>
      <c r="M338" s="876">
        <f t="shared" si="65"/>
        <v>2006199</v>
      </c>
      <c r="N338" s="876">
        <f t="shared" si="65"/>
        <v>0</v>
      </c>
      <c r="O338" s="876">
        <f t="shared" si="65"/>
        <v>178</v>
      </c>
      <c r="P338" s="876">
        <f t="shared" si="65"/>
        <v>27840</v>
      </c>
      <c r="Q338" s="876">
        <f t="shared" si="65"/>
        <v>0</v>
      </c>
      <c r="R338" s="877">
        <f t="shared" si="65"/>
        <v>0</v>
      </c>
      <c r="S338" s="859"/>
      <c r="T338" s="857"/>
      <c r="U338" s="857"/>
      <c r="V338" s="857"/>
      <c r="W338" s="857"/>
      <c r="X338" s="857"/>
      <c r="Y338" s="857"/>
      <c r="Z338" s="857"/>
      <c r="AA338" s="857"/>
      <c r="AB338" s="857"/>
      <c r="AC338" s="857"/>
      <c r="AD338" s="857"/>
      <c r="AE338" s="857"/>
    </row>
    <row r="339" spans="1:31" s="858" customFormat="1" ht="15" customHeight="1" x14ac:dyDescent="0.3">
      <c r="A339" s="130">
        <v>330</v>
      </c>
      <c r="B339" s="881"/>
      <c r="C339" s="882"/>
      <c r="D339" s="882"/>
      <c r="E339" s="692" t="s">
        <v>1072</v>
      </c>
      <c r="F339" s="883"/>
      <c r="G339" s="884"/>
      <c r="H339" s="884"/>
      <c r="I339" s="1760"/>
      <c r="J339" s="369">
        <f>SUM(K339:R339)</f>
        <v>6017381</v>
      </c>
      <c r="K339" s="365">
        <f t="shared" si="65"/>
        <v>3036747</v>
      </c>
      <c r="L339" s="365">
        <f t="shared" si="65"/>
        <v>593912</v>
      </c>
      <c r="M339" s="365">
        <f t="shared" si="65"/>
        <v>2272342</v>
      </c>
      <c r="N339" s="365">
        <f t="shared" si="65"/>
        <v>0</v>
      </c>
      <c r="O339" s="365">
        <f t="shared" si="65"/>
        <v>357</v>
      </c>
      <c r="P339" s="365">
        <f t="shared" si="65"/>
        <v>110868</v>
      </c>
      <c r="Q339" s="365">
        <f t="shared" si="65"/>
        <v>3155</v>
      </c>
      <c r="R339" s="366">
        <f t="shared" si="65"/>
        <v>0</v>
      </c>
      <c r="S339" s="859"/>
      <c r="T339" s="857"/>
      <c r="U339" s="857"/>
      <c r="V339" s="857"/>
      <c r="W339" s="857"/>
      <c r="X339" s="857"/>
      <c r="Y339" s="857"/>
      <c r="Z339" s="857"/>
      <c r="AA339" s="857"/>
      <c r="AB339" s="857"/>
      <c r="AC339" s="857"/>
      <c r="AD339" s="857"/>
      <c r="AE339" s="857"/>
    </row>
    <row r="340" spans="1:31" s="55" customFormat="1" ht="18" customHeight="1" x14ac:dyDescent="0.3">
      <c r="A340" s="130">
        <v>331</v>
      </c>
      <c r="B340" s="1373"/>
      <c r="C340" s="1410"/>
      <c r="D340" s="1400"/>
      <c r="E340" s="1401" t="s">
        <v>963</v>
      </c>
      <c r="F340" s="317"/>
      <c r="G340" s="317"/>
      <c r="H340" s="317"/>
      <c r="I340" s="1402"/>
      <c r="J340" s="1403">
        <f>SUM(K340:R340)</f>
        <v>-66261</v>
      </c>
      <c r="K340" s="360">
        <f>SUM(K78,K113,K118:K118,K129,K134:K136,K147:K149,K162,K167:K167,)+K209+K168+K169+K150+K151+K137+K119+K210</f>
        <v>150580</v>
      </c>
      <c r="L340" s="360">
        <f t="shared" ref="L340:R340" si="66">SUM(L78,L113,L118:L118,L129,L134:L136,L147:L149,L162,L167:L167,)+L209+L168+L169+L150+L151+L137+L119+L210</f>
        <v>28043</v>
      </c>
      <c r="M340" s="360">
        <f t="shared" si="66"/>
        <v>-260926</v>
      </c>
      <c r="N340" s="360">
        <f t="shared" si="66"/>
        <v>0</v>
      </c>
      <c r="O340" s="360">
        <f t="shared" si="66"/>
        <v>0</v>
      </c>
      <c r="P340" s="360">
        <f t="shared" si="66"/>
        <v>16080</v>
      </c>
      <c r="Q340" s="360">
        <f t="shared" si="66"/>
        <v>-38</v>
      </c>
      <c r="R340" s="361">
        <f t="shared" si="66"/>
        <v>0</v>
      </c>
      <c r="S340" s="155"/>
      <c r="T340" s="155"/>
      <c r="U340" s="155"/>
      <c r="V340" s="155"/>
      <c r="W340" s="155"/>
      <c r="X340" s="155"/>
      <c r="Y340" s="155"/>
      <c r="Z340" s="155"/>
      <c r="AA340" s="155"/>
      <c r="AB340" s="155"/>
      <c r="AC340" s="155"/>
      <c r="AD340" s="155"/>
      <c r="AE340" s="155"/>
    </row>
    <row r="341" spans="1:31" s="58" customFormat="1" ht="18" customHeight="1" x14ac:dyDescent="0.3">
      <c r="A341" s="130">
        <v>332</v>
      </c>
      <c r="B341" s="1439"/>
      <c r="C341" s="1440"/>
      <c r="D341" s="1441"/>
      <c r="E341" s="1442" t="s">
        <v>1151</v>
      </c>
      <c r="F341" s="1443"/>
      <c r="G341" s="1443"/>
      <c r="H341" s="1443"/>
      <c r="I341" s="1759"/>
      <c r="J341" s="1444">
        <f>SUM(K341:R341)</f>
        <v>5951120</v>
      </c>
      <c r="K341" s="1445">
        <f>SUM(K339:K340)</f>
        <v>3187327</v>
      </c>
      <c r="L341" s="1445">
        <f t="shared" ref="L341:R341" si="67">SUM(L339:L340)</f>
        <v>621955</v>
      </c>
      <c r="M341" s="1445">
        <f t="shared" si="67"/>
        <v>2011416</v>
      </c>
      <c r="N341" s="1445">
        <f t="shared" si="67"/>
        <v>0</v>
      </c>
      <c r="O341" s="1445">
        <f t="shared" si="67"/>
        <v>357</v>
      </c>
      <c r="P341" s="1445">
        <f t="shared" si="67"/>
        <v>126948</v>
      </c>
      <c r="Q341" s="1445">
        <f t="shared" si="67"/>
        <v>3117</v>
      </c>
      <c r="R341" s="1446">
        <f t="shared" si="67"/>
        <v>0</v>
      </c>
      <c r="S341" s="293"/>
      <c r="T341" s="293"/>
      <c r="U341" s="293"/>
      <c r="V341" s="293"/>
      <c r="W341" s="293"/>
      <c r="X341" s="293"/>
      <c r="Y341" s="293"/>
      <c r="Z341" s="293"/>
      <c r="AA341" s="293"/>
      <c r="AB341" s="293"/>
      <c r="AC341" s="293"/>
      <c r="AD341" s="293"/>
      <c r="AE341" s="293"/>
    </row>
    <row r="342" spans="1:31" s="55" customFormat="1" ht="15" customHeight="1" x14ac:dyDescent="0.3">
      <c r="A342" s="130">
        <v>333</v>
      </c>
      <c r="B342" s="2141" t="s">
        <v>168</v>
      </c>
      <c r="C342" s="2142"/>
      <c r="D342" s="2142"/>
      <c r="E342" s="2143"/>
      <c r="F342" s="464"/>
      <c r="G342" s="353"/>
      <c r="H342" s="353"/>
      <c r="I342" s="1757"/>
      <c r="J342" s="371"/>
      <c r="K342" s="353"/>
      <c r="L342" s="353"/>
      <c r="M342" s="353"/>
      <c r="N342" s="353"/>
      <c r="O342" s="353"/>
      <c r="P342" s="353"/>
      <c r="Q342" s="353"/>
      <c r="R342" s="362"/>
      <c r="S342" s="295"/>
      <c r="T342" s="155"/>
      <c r="U342" s="155"/>
      <c r="V342" s="155"/>
      <c r="W342" s="155"/>
      <c r="X342" s="155"/>
      <c r="Y342" s="155"/>
      <c r="Z342" s="155"/>
      <c r="AA342" s="155"/>
      <c r="AB342" s="155"/>
      <c r="AC342" s="155"/>
      <c r="AD342" s="155"/>
      <c r="AE342" s="155"/>
    </row>
    <row r="343" spans="1:31" s="55" customFormat="1" ht="15" customHeight="1" x14ac:dyDescent="0.3">
      <c r="A343" s="130">
        <v>334</v>
      </c>
      <c r="B343" s="2141" t="s">
        <v>170</v>
      </c>
      <c r="C343" s="2142"/>
      <c r="D343" s="2142"/>
      <c r="E343" s="2143"/>
      <c r="F343" s="2143"/>
      <c r="G343" s="353">
        <f>SUM(G178:G195)</f>
        <v>1061580</v>
      </c>
      <c r="H343" s="353">
        <f>SUM(H178:H195)</f>
        <v>874865</v>
      </c>
      <c r="I343" s="1757">
        <f>SUM(I178:I195)</f>
        <v>1014307</v>
      </c>
      <c r="J343" s="371"/>
      <c r="K343" s="353"/>
      <c r="L343" s="353"/>
      <c r="M343" s="353"/>
      <c r="N343" s="353"/>
      <c r="O343" s="353"/>
      <c r="P343" s="353"/>
      <c r="Q343" s="353"/>
      <c r="R343" s="362"/>
      <c r="S343" s="295"/>
      <c r="T343" s="155"/>
      <c r="U343" s="155"/>
      <c r="V343" s="155"/>
      <c r="W343" s="155"/>
      <c r="X343" s="155"/>
      <c r="Y343" s="155"/>
      <c r="Z343" s="155"/>
      <c r="AA343" s="155"/>
      <c r="AB343" s="155"/>
      <c r="AC343" s="155"/>
      <c r="AD343" s="155"/>
      <c r="AE343" s="155"/>
    </row>
    <row r="344" spans="1:31" s="858" customFormat="1" ht="15" customHeight="1" x14ac:dyDescent="0.3">
      <c r="A344" s="130">
        <v>335</v>
      </c>
      <c r="B344" s="881"/>
      <c r="C344" s="882"/>
      <c r="D344" s="882"/>
      <c r="E344" s="852" t="s">
        <v>311</v>
      </c>
      <c r="F344" s="883"/>
      <c r="G344" s="884"/>
      <c r="H344" s="884"/>
      <c r="I344" s="1760"/>
      <c r="J344" s="885">
        <f>SUM(K344:R344)</f>
        <v>880295</v>
      </c>
      <c r="K344" s="876">
        <f t="shared" ref="K344:R345" si="68">SUM(K179,K185,K195)+K190</f>
        <v>419213</v>
      </c>
      <c r="L344" s="876">
        <f t="shared" si="68"/>
        <v>80016</v>
      </c>
      <c r="M344" s="876">
        <f t="shared" si="68"/>
        <v>376235</v>
      </c>
      <c r="N344" s="876">
        <f t="shared" si="68"/>
        <v>0</v>
      </c>
      <c r="O344" s="876">
        <f t="shared" si="68"/>
        <v>0</v>
      </c>
      <c r="P344" s="876">
        <f t="shared" si="68"/>
        <v>4831</v>
      </c>
      <c r="Q344" s="876">
        <f t="shared" si="68"/>
        <v>0</v>
      </c>
      <c r="R344" s="877">
        <f t="shared" si="68"/>
        <v>0</v>
      </c>
      <c r="S344" s="859"/>
      <c r="T344" s="857"/>
      <c r="U344" s="857"/>
      <c r="V344" s="857"/>
      <c r="W344" s="857"/>
      <c r="X344" s="857"/>
      <c r="Y344" s="857"/>
      <c r="Z344" s="857"/>
      <c r="AA344" s="857"/>
      <c r="AB344" s="857"/>
      <c r="AC344" s="857"/>
      <c r="AD344" s="857"/>
      <c r="AE344" s="857"/>
    </row>
    <row r="345" spans="1:31" s="858" customFormat="1" ht="15" customHeight="1" x14ac:dyDescent="0.3">
      <c r="A345" s="130">
        <v>336</v>
      </c>
      <c r="B345" s="881"/>
      <c r="C345" s="882"/>
      <c r="D345" s="882"/>
      <c r="E345" s="692" t="s">
        <v>1072</v>
      </c>
      <c r="F345" s="883"/>
      <c r="G345" s="884"/>
      <c r="H345" s="884"/>
      <c r="I345" s="1760"/>
      <c r="J345" s="369">
        <f>SUM(K345:R345)</f>
        <v>1080792</v>
      </c>
      <c r="K345" s="365">
        <f t="shared" si="68"/>
        <v>461591</v>
      </c>
      <c r="L345" s="365">
        <f t="shared" si="68"/>
        <v>84486</v>
      </c>
      <c r="M345" s="365">
        <f t="shared" si="68"/>
        <v>509470</v>
      </c>
      <c r="N345" s="365">
        <f t="shared" si="68"/>
        <v>0</v>
      </c>
      <c r="O345" s="365">
        <f t="shared" si="68"/>
        <v>0</v>
      </c>
      <c r="P345" s="365">
        <f t="shared" si="68"/>
        <v>25245</v>
      </c>
      <c r="Q345" s="365">
        <f t="shared" si="68"/>
        <v>0</v>
      </c>
      <c r="R345" s="366">
        <f t="shared" si="68"/>
        <v>0</v>
      </c>
      <c r="S345" s="859"/>
      <c r="T345" s="857"/>
      <c r="U345" s="857"/>
      <c r="V345" s="857"/>
      <c r="W345" s="857"/>
      <c r="X345" s="857"/>
      <c r="Y345" s="857"/>
      <c r="Z345" s="857"/>
      <c r="AA345" s="857"/>
      <c r="AB345" s="857"/>
      <c r="AC345" s="857"/>
      <c r="AD345" s="857"/>
      <c r="AE345" s="857"/>
    </row>
    <row r="346" spans="1:31" s="55" customFormat="1" ht="18" customHeight="1" x14ac:dyDescent="0.3">
      <c r="A346" s="130">
        <v>337</v>
      </c>
      <c r="B346" s="1373"/>
      <c r="C346" s="1410"/>
      <c r="D346" s="1400"/>
      <c r="E346" s="1401" t="s">
        <v>963</v>
      </c>
      <c r="F346" s="317"/>
      <c r="G346" s="317"/>
      <c r="H346" s="317"/>
      <c r="I346" s="1402"/>
      <c r="J346" s="1403">
        <f>SUM(K346:R346)</f>
        <v>4423</v>
      </c>
      <c r="K346" s="360">
        <f t="shared" ref="K346:R346" si="69">SUM(K181:K182,K187,K192,K197:K199)</f>
        <v>52999</v>
      </c>
      <c r="L346" s="360">
        <f t="shared" si="69"/>
        <v>3424</v>
      </c>
      <c r="M346" s="360">
        <f t="shared" si="69"/>
        <v>-55900</v>
      </c>
      <c r="N346" s="360">
        <f t="shared" si="69"/>
        <v>0</v>
      </c>
      <c r="O346" s="360">
        <f t="shared" si="69"/>
        <v>0</v>
      </c>
      <c r="P346" s="360">
        <f t="shared" si="69"/>
        <v>3900</v>
      </c>
      <c r="Q346" s="360">
        <f t="shared" si="69"/>
        <v>0</v>
      </c>
      <c r="R346" s="361">
        <f t="shared" si="69"/>
        <v>0</v>
      </c>
      <c r="S346" s="155"/>
      <c r="T346" s="155"/>
      <c r="U346" s="155"/>
      <c r="V346" s="155"/>
      <c r="W346" s="155"/>
      <c r="X346" s="155"/>
      <c r="Y346" s="155"/>
      <c r="Z346" s="155"/>
      <c r="AA346" s="155"/>
      <c r="AB346" s="155"/>
      <c r="AC346" s="155"/>
      <c r="AD346" s="155"/>
      <c r="AE346" s="155"/>
    </row>
    <row r="347" spans="1:31" s="58" customFormat="1" ht="18" customHeight="1" x14ac:dyDescent="0.3">
      <c r="A347" s="130">
        <v>338</v>
      </c>
      <c r="B347" s="1439"/>
      <c r="C347" s="1440"/>
      <c r="D347" s="1441"/>
      <c r="E347" s="1442" t="s">
        <v>1151</v>
      </c>
      <c r="F347" s="1443"/>
      <c r="G347" s="1443"/>
      <c r="H347" s="1443"/>
      <c r="I347" s="1759"/>
      <c r="J347" s="1444">
        <f>SUM(K347:R347)</f>
        <v>1085215</v>
      </c>
      <c r="K347" s="1445">
        <f>SUM(K345:K346)</f>
        <v>514590</v>
      </c>
      <c r="L347" s="1445">
        <f t="shared" ref="L347:R347" si="70">SUM(L345:L346)</f>
        <v>87910</v>
      </c>
      <c r="M347" s="1445">
        <f t="shared" si="70"/>
        <v>453570</v>
      </c>
      <c r="N347" s="1445">
        <f t="shared" si="70"/>
        <v>0</v>
      </c>
      <c r="O347" s="1445">
        <f t="shared" si="70"/>
        <v>0</v>
      </c>
      <c r="P347" s="1445">
        <f t="shared" si="70"/>
        <v>29145</v>
      </c>
      <c r="Q347" s="1445">
        <f t="shared" si="70"/>
        <v>0</v>
      </c>
      <c r="R347" s="1446">
        <f t="shared" si="70"/>
        <v>0</v>
      </c>
      <c r="S347" s="293"/>
      <c r="T347" s="293"/>
      <c r="U347" s="293"/>
      <c r="V347" s="293"/>
      <c r="W347" s="293"/>
      <c r="X347" s="293"/>
      <c r="Y347" s="293"/>
      <c r="Z347" s="293"/>
      <c r="AA347" s="293"/>
      <c r="AB347" s="293"/>
      <c r="AC347" s="293"/>
      <c r="AD347" s="293"/>
      <c r="AE347" s="293"/>
    </row>
    <row r="348" spans="1:31" s="55" customFormat="1" ht="15" customHeight="1" x14ac:dyDescent="0.3">
      <c r="A348" s="130">
        <v>339</v>
      </c>
      <c r="B348" s="2141" t="s">
        <v>168</v>
      </c>
      <c r="C348" s="2142"/>
      <c r="D348" s="2142"/>
      <c r="E348" s="2143"/>
      <c r="F348" s="464"/>
      <c r="G348" s="353"/>
      <c r="H348" s="353"/>
      <c r="I348" s="1757"/>
      <c r="J348" s="371"/>
      <c r="K348" s="365"/>
      <c r="L348" s="365"/>
      <c r="M348" s="365"/>
      <c r="N348" s="365"/>
      <c r="O348" s="365"/>
      <c r="P348" s="365"/>
      <c r="Q348" s="365"/>
      <c r="R348" s="366"/>
      <c r="S348" s="295"/>
      <c r="T348" s="155"/>
      <c r="U348" s="155"/>
      <c r="V348" s="155"/>
      <c r="W348" s="155"/>
      <c r="X348" s="155"/>
      <c r="Y348" s="155"/>
      <c r="Z348" s="155"/>
      <c r="AA348" s="155"/>
      <c r="AB348" s="155"/>
      <c r="AC348" s="155"/>
      <c r="AD348" s="155"/>
      <c r="AE348" s="155"/>
    </row>
    <row r="349" spans="1:31" s="55" customFormat="1" ht="15" customHeight="1" x14ac:dyDescent="0.3">
      <c r="A349" s="130">
        <v>340</v>
      </c>
      <c r="B349" s="2144" t="s">
        <v>171</v>
      </c>
      <c r="C349" s="2145"/>
      <c r="D349" s="2145"/>
      <c r="E349" s="2146"/>
      <c r="F349" s="2146"/>
      <c r="G349" s="351">
        <f>SUM(G326)</f>
        <v>1459238</v>
      </c>
      <c r="H349" s="351">
        <f>SUM(H326)</f>
        <v>1572895</v>
      </c>
      <c r="I349" s="1761">
        <f>SUM(I326)</f>
        <v>1582989</v>
      </c>
      <c r="J349" s="371"/>
      <c r="K349" s="353"/>
      <c r="L349" s="353"/>
      <c r="M349" s="353"/>
      <c r="N349" s="353"/>
      <c r="O349" s="353"/>
      <c r="P349" s="353"/>
      <c r="Q349" s="353"/>
      <c r="R349" s="362"/>
      <c r="S349" s="295"/>
      <c r="T349" s="155"/>
      <c r="U349" s="155"/>
      <c r="V349" s="155"/>
      <c r="W349" s="155"/>
      <c r="X349" s="155"/>
      <c r="Y349" s="155"/>
      <c r="Z349" s="155"/>
      <c r="AA349" s="155"/>
      <c r="AB349" s="155"/>
      <c r="AC349" s="155"/>
      <c r="AD349" s="155"/>
      <c r="AE349" s="155"/>
    </row>
    <row r="350" spans="1:31" s="886" customFormat="1" ht="15" customHeight="1" x14ac:dyDescent="0.3">
      <c r="A350" s="130">
        <v>341</v>
      </c>
      <c r="B350" s="1447"/>
      <c r="C350" s="1448"/>
      <c r="D350" s="1448"/>
      <c r="E350" s="844" t="s">
        <v>311</v>
      </c>
      <c r="F350" s="1449"/>
      <c r="G350" s="1450"/>
      <c r="H350" s="1450"/>
      <c r="I350" s="1762"/>
      <c r="J350" s="1451">
        <f>SUM(K350:R350)</f>
        <v>1675561</v>
      </c>
      <c r="K350" s="1437">
        <f>K327</f>
        <v>1137523</v>
      </c>
      <c r="L350" s="1437">
        <f t="shared" ref="L350:R351" si="71">L327</f>
        <v>205853</v>
      </c>
      <c r="M350" s="1437">
        <f t="shared" si="71"/>
        <v>297820</v>
      </c>
      <c r="N350" s="1437">
        <f t="shared" si="71"/>
        <v>0</v>
      </c>
      <c r="O350" s="1437">
        <f t="shared" si="71"/>
        <v>0</v>
      </c>
      <c r="P350" s="1437">
        <f t="shared" si="71"/>
        <v>34365</v>
      </c>
      <c r="Q350" s="1437">
        <f t="shared" si="71"/>
        <v>0</v>
      </c>
      <c r="R350" s="1438">
        <f t="shared" si="71"/>
        <v>0</v>
      </c>
      <c r="S350" s="868"/>
      <c r="T350" s="868"/>
      <c r="U350" s="868"/>
      <c r="V350" s="868"/>
      <c r="W350" s="868"/>
      <c r="X350" s="868"/>
      <c r="Y350" s="868"/>
      <c r="Z350" s="868"/>
      <c r="AA350" s="868"/>
      <c r="AB350" s="868"/>
      <c r="AC350" s="868"/>
      <c r="AD350" s="868"/>
      <c r="AE350" s="868"/>
    </row>
    <row r="351" spans="1:31" s="886" customFormat="1" ht="15" customHeight="1" x14ac:dyDescent="0.3">
      <c r="A351" s="130">
        <v>342</v>
      </c>
      <c r="B351" s="1447"/>
      <c r="C351" s="1448"/>
      <c r="D351" s="1448"/>
      <c r="E351" s="692" t="s">
        <v>1072</v>
      </c>
      <c r="F351" s="1449"/>
      <c r="G351" s="1450"/>
      <c r="H351" s="1450"/>
      <c r="I351" s="1762"/>
      <c r="J351" s="1852">
        <f>SUM(K351:R351)</f>
        <v>1887348</v>
      </c>
      <c r="K351" s="1850">
        <f>K328</f>
        <v>1179887</v>
      </c>
      <c r="L351" s="1850">
        <f t="shared" si="71"/>
        <v>235396</v>
      </c>
      <c r="M351" s="1850">
        <f t="shared" si="71"/>
        <v>439478</v>
      </c>
      <c r="N351" s="1850">
        <f t="shared" si="71"/>
        <v>0</v>
      </c>
      <c r="O351" s="1850">
        <f t="shared" si="71"/>
        <v>0</v>
      </c>
      <c r="P351" s="1850">
        <f t="shared" si="71"/>
        <v>32587</v>
      </c>
      <c r="Q351" s="1850">
        <f t="shared" si="71"/>
        <v>0</v>
      </c>
      <c r="R351" s="1851">
        <f t="shared" si="71"/>
        <v>0</v>
      </c>
      <c r="S351" s="868"/>
      <c r="T351" s="868"/>
      <c r="U351" s="868"/>
      <c r="V351" s="868"/>
      <c r="W351" s="868"/>
      <c r="X351" s="868"/>
      <c r="Y351" s="868"/>
      <c r="Z351" s="868"/>
      <c r="AA351" s="868"/>
      <c r="AB351" s="868"/>
      <c r="AC351" s="868"/>
      <c r="AD351" s="868"/>
      <c r="AE351" s="868"/>
    </row>
    <row r="352" spans="1:31" s="55" customFormat="1" ht="18" customHeight="1" x14ac:dyDescent="0.3">
      <c r="A352" s="130">
        <v>343</v>
      </c>
      <c r="B352" s="1373"/>
      <c r="C352" s="1410"/>
      <c r="D352" s="1400"/>
      <c r="E352" s="1401" t="s">
        <v>963</v>
      </c>
      <c r="F352" s="317"/>
      <c r="G352" s="317"/>
      <c r="H352" s="317"/>
      <c r="I352" s="1402"/>
      <c r="J352" s="1403">
        <f>SUM(K352:R352)</f>
        <v>-13782</v>
      </c>
      <c r="K352" s="360">
        <f>SUM(K329)</f>
        <v>-11531</v>
      </c>
      <c r="L352" s="360">
        <f t="shared" ref="L352:R352" si="72">SUM(L329)</f>
        <v>-2251</v>
      </c>
      <c r="M352" s="360">
        <f t="shared" si="72"/>
        <v>0</v>
      </c>
      <c r="N352" s="360">
        <f t="shared" si="72"/>
        <v>0</v>
      </c>
      <c r="O352" s="360">
        <f t="shared" si="72"/>
        <v>0</v>
      </c>
      <c r="P352" s="360">
        <f t="shared" si="72"/>
        <v>0</v>
      </c>
      <c r="Q352" s="360">
        <f t="shared" si="72"/>
        <v>0</v>
      </c>
      <c r="R352" s="361">
        <f t="shared" si="72"/>
        <v>0</v>
      </c>
      <c r="S352" s="155"/>
      <c r="T352" s="155"/>
      <c r="U352" s="155"/>
      <c r="V352" s="155"/>
      <c r="W352" s="155"/>
      <c r="X352" s="155"/>
      <c r="Y352" s="155"/>
      <c r="Z352" s="155"/>
      <c r="AA352" s="155"/>
      <c r="AB352" s="155"/>
      <c r="AC352" s="155"/>
      <c r="AD352" s="155"/>
      <c r="AE352" s="155"/>
    </row>
    <row r="353" spans="1:31" s="58" customFormat="1" ht="18" customHeight="1" thickBot="1" x14ac:dyDescent="0.35">
      <c r="A353" s="130">
        <v>344</v>
      </c>
      <c r="B353" s="1385"/>
      <c r="C353" s="1425"/>
      <c r="D353" s="1426"/>
      <c r="E353" s="1427" t="s">
        <v>1151</v>
      </c>
      <c r="F353" s="1428"/>
      <c r="G353" s="1428"/>
      <c r="H353" s="1428"/>
      <c r="I353" s="1750"/>
      <c r="J353" s="1429">
        <f>SUM(K353:R353)</f>
        <v>1873566</v>
      </c>
      <c r="K353" s="1430">
        <f>SUM(K351:K352)</f>
        <v>1168356</v>
      </c>
      <c r="L353" s="1430">
        <f t="shared" ref="L353:R353" si="73">SUM(L351:L352)</f>
        <v>233145</v>
      </c>
      <c r="M353" s="1430">
        <f t="shared" si="73"/>
        <v>439478</v>
      </c>
      <c r="N353" s="1430">
        <f t="shared" si="73"/>
        <v>0</v>
      </c>
      <c r="O353" s="1430">
        <f t="shared" si="73"/>
        <v>0</v>
      </c>
      <c r="P353" s="1430">
        <f t="shared" si="73"/>
        <v>32587</v>
      </c>
      <c r="Q353" s="1430">
        <f t="shared" si="73"/>
        <v>0</v>
      </c>
      <c r="R353" s="1943">
        <f t="shared" si="73"/>
        <v>0</v>
      </c>
      <c r="S353" s="293"/>
      <c r="T353" s="293"/>
      <c r="U353" s="293"/>
      <c r="V353" s="293"/>
      <c r="W353" s="293"/>
      <c r="X353" s="293"/>
      <c r="Y353" s="293"/>
      <c r="Z353" s="293"/>
      <c r="AA353" s="293"/>
      <c r="AB353" s="293"/>
      <c r="AC353" s="293"/>
      <c r="AD353" s="293"/>
      <c r="AE353" s="293"/>
    </row>
    <row r="354" spans="1:31" s="889" customFormat="1" ht="18" customHeight="1" x14ac:dyDescent="0.3">
      <c r="A354" s="887"/>
      <c r="B354" s="891" t="s">
        <v>27</v>
      </c>
      <c r="C354" s="891"/>
      <c r="D354" s="891"/>
      <c r="E354" s="888"/>
      <c r="F354" s="532"/>
      <c r="G354" s="533"/>
      <c r="H354" s="533"/>
      <c r="I354" s="533"/>
      <c r="J354" s="534"/>
      <c r="K354" s="533"/>
      <c r="L354" s="533"/>
      <c r="M354" s="533"/>
      <c r="N354" s="533"/>
      <c r="O354" s="533"/>
      <c r="P354" s="533"/>
      <c r="Q354" s="533"/>
      <c r="R354" s="533"/>
      <c r="S354" s="1294"/>
      <c r="T354" s="1294"/>
      <c r="U354" s="1294"/>
      <c r="V354" s="1294"/>
      <c r="W354" s="1294"/>
      <c r="X354" s="1294"/>
      <c r="Y354" s="1294"/>
      <c r="Z354" s="1294"/>
      <c r="AA354" s="1294"/>
      <c r="AB354" s="1294"/>
      <c r="AC354" s="1294"/>
      <c r="AD354" s="1294"/>
      <c r="AE354" s="1294"/>
    </row>
    <row r="355" spans="1:31" s="154" customFormat="1" ht="18" customHeight="1" x14ac:dyDescent="0.3">
      <c r="A355" s="887"/>
      <c r="B355" s="890" t="s">
        <v>28</v>
      </c>
      <c r="C355" s="890"/>
      <c r="D355" s="890"/>
      <c r="E355" s="54"/>
      <c r="F355" s="54"/>
      <c r="G355" s="54"/>
      <c r="H355" s="54"/>
      <c r="I355" s="54"/>
      <c r="J355" s="54"/>
      <c r="K355" s="115"/>
      <c r="L355" s="115"/>
      <c r="M355" s="115"/>
      <c r="N355" s="115"/>
      <c r="O355" s="115"/>
      <c r="P355" s="115"/>
      <c r="Q355" s="115"/>
      <c r="R355" s="115"/>
      <c r="S355" s="156"/>
      <c r="T355" s="156"/>
      <c r="U355" s="156"/>
      <c r="V355" s="156"/>
      <c r="W355" s="156"/>
      <c r="X355" s="156"/>
      <c r="Y355" s="156"/>
      <c r="Z355" s="156"/>
      <c r="AA355" s="156"/>
      <c r="AB355" s="156"/>
      <c r="AC355" s="156"/>
      <c r="AD355" s="156"/>
      <c r="AE355" s="156"/>
    </row>
    <row r="356" spans="1:31" s="53" customFormat="1" ht="18" customHeight="1" x14ac:dyDescent="0.3">
      <c r="A356" s="887"/>
      <c r="B356" s="890" t="s">
        <v>29</v>
      </c>
      <c r="C356" s="890"/>
      <c r="D356" s="890"/>
      <c r="E356" s="54"/>
      <c r="F356" s="453"/>
      <c r="G356" s="115"/>
      <c r="H356" s="115"/>
      <c r="I356" s="115"/>
      <c r="J356" s="2008"/>
      <c r="K356" s="115"/>
      <c r="L356" s="115"/>
      <c r="M356" s="115"/>
      <c r="N356" s="115"/>
      <c r="O356" s="115"/>
      <c r="P356" s="115"/>
      <c r="Q356" s="115"/>
      <c r="R356" s="115"/>
      <c r="S356" s="291"/>
      <c r="T356" s="291"/>
      <c r="U356" s="291"/>
      <c r="V356" s="291"/>
      <c r="W356" s="291"/>
      <c r="X356" s="291"/>
      <c r="Y356" s="291"/>
      <c r="Z356" s="291"/>
      <c r="AA356" s="291"/>
      <c r="AB356" s="291"/>
      <c r="AC356" s="291"/>
      <c r="AD356" s="291"/>
      <c r="AE356" s="291"/>
    </row>
    <row r="357" spans="1:31" x14ac:dyDescent="0.3">
      <c r="G357" s="291">
        <f>+G331-G337-G343-G349</f>
        <v>0</v>
      </c>
      <c r="H357" s="291">
        <f t="shared" ref="H357:I357" si="74">+H331-H337-H343-H349</f>
        <v>0</v>
      </c>
      <c r="I357" s="1743">
        <f t="shared" si="74"/>
        <v>0</v>
      </c>
      <c r="J357" s="156">
        <f t="shared" ref="J357:R357" si="75">+J332-J338-J344-J350</f>
        <v>0</v>
      </c>
      <c r="K357" s="156">
        <f t="shared" si="75"/>
        <v>0</v>
      </c>
      <c r="L357" s="156">
        <f t="shared" si="75"/>
        <v>0</v>
      </c>
      <c r="M357" s="156">
        <f t="shared" si="75"/>
        <v>0</v>
      </c>
      <c r="N357" s="156">
        <f t="shared" si="75"/>
        <v>0</v>
      </c>
      <c r="O357" s="156">
        <f t="shared" si="75"/>
        <v>0</v>
      </c>
      <c r="P357" s="156">
        <f t="shared" si="75"/>
        <v>0</v>
      </c>
      <c r="Q357" s="156">
        <f t="shared" si="75"/>
        <v>0</v>
      </c>
      <c r="R357" s="156">
        <f t="shared" si="75"/>
        <v>0</v>
      </c>
    </row>
    <row r="358" spans="1:31" x14ac:dyDescent="0.3">
      <c r="J358" s="156">
        <f t="shared" ref="J358:R358" si="76">+J334-J340-J346-J352</f>
        <v>0</v>
      </c>
      <c r="K358" s="156">
        <f t="shared" si="76"/>
        <v>0</v>
      </c>
      <c r="L358" s="156">
        <f t="shared" si="76"/>
        <v>0</v>
      </c>
      <c r="M358" s="156">
        <f t="shared" si="76"/>
        <v>0</v>
      </c>
      <c r="N358" s="156">
        <f t="shared" si="76"/>
        <v>0</v>
      </c>
      <c r="O358" s="156">
        <f t="shared" si="76"/>
        <v>0</v>
      </c>
      <c r="P358" s="156">
        <f>+P334-P340-P346-P352</f>
        <v>0</v>
      </c>
      <c r="Q358" s="156">
        <f t="shared" si="76"/>
        <v>0</v>
      </c>
      <c r="R358" s="156">
        <f t="shared" si="76"/>
        <v>0</v>
      </c>
    </row>
    <row r="359" spans="1:31" x14ac:dyDescent="0.3">
      <c r="J359" s="156">
        <f t="shared" ref="J359:R359" si="77">+J335-J341-J347-J353</f>
        <v>0</v>
      </c>
      <c r="K359" s="156">
        <f t="shared" si="77"/>
        <v>0</v>
      </c>
      <c r="L359" s="156">
        <f t="shared" si="77"/>
        <v>0</v>
      </c>
      <c r="M359" s="156">
        <f t="shared" si="77"/>
        <v>0</v>
      </c>
      <c r="N359" s="156">
        <f t="shared" si="77"/>
        <v>0</v>
      </c>
      <c r="O359" s="156">
        <f t="shared" si="77"/>
        <v>0</v>
      </c>
      <c r="P359" s="156">
        <f t="shared" si="77"/>
        <v>0</v>
      </c>
      <c r="Q359" s="156">
        <f t="shared" si="77"/>
        <v>0</v>
      </c>
      <c r="R359" s="156">
        <f t="shared" si="77"/>
        <v>0</v>
      </c>
    </row>
  </sheetData>
  <mergeCells count="40">
    <mergeCell ref="B1:R1"/>
    <mergeCell ref="B2:R2"/>
    <mergeCell ref="K8:O8"/>
    <mergeCell ref="P8:R8"/>
    <mergeCell ref="D266:E266"/>
    <mergeCell ref="B4:R4"/>
    <mergeCell ref="B5:R5"/>
    <mergeCell ref="Q6:R6"/>
    <mergeCell ref="D7:E7"/>
    <mergeCell ref="B8:B9"/>
    <mergeCell ref="C8:C9"/>
    <mergeCell ref="D8:E9"/>
    <mergeCell ref="F8:F9"/>
    <mergeCell ref="G8:G9"/>
    <mergeCell ref="D70:E70"/>
    <mergeCell ref="H8:H9"/>
    <mergeCell ref="I8:I9"/>
    <mergeCell ref="J8:J9"/>
    <mergeCell ref="C201:E201"/>
    <mergeCell ref="D62:E62"/>
    <mergeCell ref="D279:E279"/>
    <mergeCell ref="C75:E75"/>
    <mergeCell ref="C110:E110"/>
    <mergeCell ref="D177:E177"/>
    <mergeCell ref="D189:E189"/>
    <mergeCell ref="D268:E268"/>
    <mergeCell ref="B212:E212"/>
    <mergeCell ref="D248:E248"/>
    <mergeCell ref="D250:E250"/>
    <mergeCell ref="D255:E255"/>
    <mergeCell ref="B348:E348"/>
    <mergeCell ref="B349:F349"/>
    <mergeCell ref="D301:E301"/>
    <mergeCell ref="D325:E325"/>
    <mergeCell ref="C326:E326"/>
    <mergeCell ref="B331:E331"/>
    <mergeCell ref="B336:E336"/>
    <mergeCell ref="B337:F337"/>
    <mergeCell ref="B342:E342"/>
    <mergeCell ref="B343:F343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8" fitToHeight="0" orientation="landscape" r:id="rId1"/>
  <headerFooter alignWithMargins="0">
    <oddFooter>&amp;C - &amp;P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P132"/>
  <sheetViews>
    <sheetView view="pageBreakPreview" zoomScaleNormal="100" zoomScaleSheetLayoutView="100" workbookViewId="0">
      <selection activeCell="B4" sqref="B4:L4"/>
    </sheetView>
  </sheetViews>
  <sheetFormatPr defaultColWidth="9.140625" defaultRowHeight="15" x14ac:dyDescent="0.3"/>
  <cols>
    <col min="1" max="1" width="3.7109375" style="911" customWidth="1"/>
    <col min="2" max="2" width="5.7109375" style="901" customWidth="1"/>
    <col min="3" max="3" width="5.7109375" style="902" customWidth="1"/>
    <col min="4" max="4" width="59.7109375" style="903" customWidth="1"/>
    <col min="5" max="5" width="6.7109375" style="904" customWidth="1"/>
    <col min="6" max="7" width="13.7109375" style="959" customWidth="1"/>
    <col min="8" max="9" width="13.7109375" style="1454" customWidth="1"/>
    <col min="10" max="10" width="15.7109375" style="1949" customWidth="1"/>
    <col min="11" max="11" width="15.7109375" style="1928" customWidth="1"/>
    <col min="12" max="12" width="15.7109375" style="1949" customWidth="1"/>
    <col min="13" max="16384" width="9.140625" style="906"/>
  </cols>
  <sheetData>
    <row r="1" spans="1:250" ht="17.25" x14ac:dyDescent="0.35">
      <c r="A1" s="1452"/>
      <c r="B1" s="2184" t="s">
        <v>1309</v>
      </c>
      <c r="C1" s="2184"/>
      <c r="D1" s="2184"/>
      <c r="E1" s="2184"/>
      <c r="F1" s="2184"/>
      <c r="G1" s="2184"/>
      <c r="H1" s="2184"/>
      <c r="I1" s="2184"/>
      <c r="J1" s="2184"/>
      <c r="K1" s="2184"/>
      <c r="L1" s="2184"/>
    </row>
    <row r="2" spans="1:250" s="899" customFormat="1" ht="18" customHeight="1" x14ac:dyDescent="0.3">
      <c r="A2" s="1452"/>
      <c r="B2" s="2185" t="s">
        <v>1293</v>
      </c>
      <c r="C2" s="2185"/>
      <c r="D2" s="2185"/>
      <c r="E2" s="2185"/>
      <c r="F2" s="2185"/>
      <c r="G2" s="2185"/>
      <c r="H2" s="2185"/>
      <c r="I2" s="2185"/>
      <c r="J2" s="2185"/>
      <c r="K2" s="2185"/>
      <c r="L2" s="2185"/>
      <c r="M2" s="1453"/>
      <c r="N2" s="1453"/>
      <c r="O2" s="1453"/>
      <c r="P2" s="1453"/>
      <c r="Q2" s="1453"/>
      <c r="R2" s="1453"/>
      <c r="S2" s="1453"/>
      <c r="T2" s="1453"/>
      <c r="U2" s="1453"/>
      <c r="V2" s="1453"/>
      <c r="W2" s="1453"/>
      <c r="X2" s="1453"/>
      <c r="Y2" s="1453"/>
      <c r="Z2" s="1453"/>
      <c r="AA2" s="1453"/>
      <c r="AB2" s="1453"/>
      <c r="AC2" s="1453"/>
      <c r="AD2" s="1453"/>
      <c r="AE2" s="1453"/>
      <c r="AF2" s="1453"/>
      <c r="AG2" s="1453"/>
      <c r="AH2" s="1453"/>
      <c r="AI2" s="1453"/>
      <c r="AJ2" s="1453"/>
      <c r="AK2" s="1453"/>
      <c r="AL2" s="1453"/>
      <c r="AM2" s="1453"/>
      <c r="AN2" s="1453"/>
      <c r="AO2" s="1453"/>
      <c r="AP2" s="1453"/>
      <c r="AQ2" s="1453"/>
      <c r="AR2" s="1453"/>
      <c r="AS2" s="1453"/>
      <c r="AT2" s="1453"/>
      <c r="AU2" s="1453"/>
      <c r="AV2" s="1453"/>
      <c r="AW2" s="1453"/>
      <c r="AX2" s="1453"/>
      <c r="AY2" s="1453"/>
      <c r="AZ2" s="1453"/>
      <c r="BA2" s="1453"/>
      <c r="BB2" s="1453"/>
      <c r="BC2" s="1453"/>
      <c r="BD2" s="1453"/>
      <c r="BE2" s="1453"/>
      <c r="BF2" s="1453"/>
      <c r="BG2" s="1453"/>
      <c r="BH2" s="1453"/>
      <c r="BI2" s="1453"/>
      <c r="BJ2" s="1453"/>
      <c r="BK2" s="1453"/>
      <c r="BL2" s="1453"/>
      <c r="BM2" s="1453"/>
      <c r="BN2" s="1453"/>
      <c r="BO2" s="1453"/>
      <c r="BP2" s="1453"/>
      <c r="BQ2" s="1453"/>
      <c r="BR2" s="1453"/>
      <c r="BS2" s="1453"/>
      <c r="BT2" s="1453"/>
      <c r="BU2" s="1453"/>
      <c r="BV2" s="1453"/>
      <c r="BW2" s="1453"/>
      <c r="BX2" s="1453"/>
      <c r="BY2" s="1453"/>
      <c r="BZ2" s="1453"/>
      <c r="CA2" s="1453"/>
      <c r="CB2" s="1453"/>
      <c r="CC2" s="1453"/>
      <c r="CD2" s="1453"/>
      <c r="CE2" s="1453"/>
      <c r="CF2" s="1453"/>
      <c r="CG2" s="1453"/>
      <c r="CH2" s="1453"/>
      <c r="CI2" s="1453"/>
      <c r="CJ2" s="1453"/>
      <c r="CK2" s="1453"/>
      <c r="CL2" s="1453"/>
      <c r="CM2" s="1453"/>
      <c r="CN2" s="1453"/>
      <c r="CO2" s="1453"/>
      <c r="CP2" s="1453"/>
      <c r="CQ2" s="1453"/>
      <c r="CR2" s="1453"/>
      <c r="CS2" s="1453"/>
      <c r="CT2" s="1453"/>
      <c r="CU2" s="1453"/>
      <c r="CV2" s="1453"/>
      <c r="CW2" s="1453"/>
      <c r="CX2" s="1453"/>
      <c r="CY2" s="1453"/>
      <c r="CZ2" s="1453"/>
      <c r="DA2" s="1453"/>
      <c r="DB2" s="1453"/>
      <c r="DC2" s="1453"/>
      <c r="DD2" s="1453"/>
      <c r="DE2" s="1453"/>
      <c r="DF2" s="1453"/>
      <c r="DG2" s="1453"/>
      <c r="DH2" s="1453"/>
      <c r="DI2" s="1453"/>
      <c r="DJ2" s="1453"/>
      <c r="DK2" s="1453"/>
      <c r="DL2" s="1453"/>
      <c r="DM2" s="1453"/>
      <c r="DN2" s="1453"/>
      <c r="DO2" s="1453"/>
      <c r="DP2" s="1453"/>
      <c r="DQ2" s="1453"/>
      <c r="DR2" s="1453"/>
      <c r="DS2" s="1453"/>
      <c r="DT2" s="1453"/>
      <c r="DU2" s="1453"/>
      <c r="DV2" s="1453"/>
      <c r="DW2" s="1453"/>
      <c r="DX2" s="1453"/>
      <c r="DY2" s="1453"/>
      <c r="DZ2" s="1453"/>
      <c r="EA2" s="1453"/>
      <c r="EB2" s="1453"/>
      <c r="EC2" s="1453"/>
      <c r="ED2" s="1453"/>
      <c r="EE2" s="1453"/>
      <c r="EF2" s="1453"/>
      <c r="EG2" s="1453"/>
      <c r="EH2" s="1453"/>
      <c r="EI2" s="1453"/>
      <c r="EJ2" s="1453"/>
      <c r="EK2" s="1453"/>
      <c r="EL2" s="1453"/>
      <c r="EM2" s="1453"/>
      <c r="EN2" s="1453"/>
      <c r="EO2" s="1453"/>
      <c r="EP2" s="1453"/>
      <c r="EQ2" s="1453"/>
      <c r="ER2" s="1453"/>
      <c r="ES2" s="1453"/>
      <c r="ET2" s="1453"/>
      <c r="EU2" s="1453"/>
      <c r="EV2" s="1453"/>
      <c r="EW2" s="1453"/>
      <c r="EX2" s="1453"/>
      <c r="EY2" s="1453"/>
      <c r="EZ2" s="1453"/>
      <c r="FA2" s="1453"/>
      <c r="FB2" s="1453"/>
      <c r="FC2" s="1453"/>
      <c r="FD2" s="1453"/>
      <c r="FE2" s="1453"/>
      <c r="FF2" s="1453"/>
      <c r="FG2" s="1453"/>
      <c r="FH2" s="1453"/>
      <c r="FI2" s="1453"/>
      <c r="FJ2" s="1453"/>
      <c r="FK2" s="1453"/>
      <c r="FL2" s="1453"/>
      <c r="FM2" s="1453"/>
      <c r="FN2" s="1453"/>
      <c r="FO2" s="1453"/>
      <c r="FP2" s="1453"/>
      <c r="FQ2" s="1453"/>
      <c r="FR2" s="1453"/>
      <c r="FS2" s="1453"/>
      <c r="FT2" s="1453"/>
      <c r="FU2" s="1453"/>
      <c r="FV2" s="1453"/>
      <c r="FW2" s="1453"/>
      <c r="FX2" s="1453"/>
      <c r="FY2" s="1453"/>
      <c r="FZ2" s="1453"/>
      <c r="GA2" s="1453"/>
      <c r="GB2" s="1453"/>
      <c r="GC2" s="1453"/>
      <c r="GD2" s="1453"/>
      <c r="GE2" s="1453"/>
      <c r="GF2" s="1453"/>
      <c r="GG2" s="1453"/>
      <c r="GH2" s="1453"/>
      <c r="GI2" s="1453"/>
      <c r="GJ2" s="1453"/>
      <c r="GK2" s="1453"/>
      <c r="GL2" s="1453"/>
      <c r="GM2" s="1453"/>
      <c r="GN2" s="1453"/>
      <c r="GO2" s="1453"/>
      <c r="GP2" s="1453"/>
      <c r="GQ2" s="1453"/>
      <c r="GR2" s="1453"/>
      <c r="GS2" s="1453"/>
      <c r="GT2" s="1453"/>
      <c r="GU2" s="1453"/>
      <c r="GV2" s="1453"/>
      <c r="GW2" s="1453"/>
      <c r="GX2" s="1453"/>
      <c r="GY2" s="1453"/>
      <c r="GZ2" s="1453"/>
      <c r="HA2" s="1453"/>
      <c r="HB2" s="1453"/>
      <c r="HC2" s="1453"/>
      <c r="HD2" s="1453"/>
      <c r="HE2" s="1453"/>
      <c r="HF2" s="1453"/>
      <c r="HG2" s="1453"/>
      <c r="HH2" s="1453"/>
      <c r="HI2" s="1453"/>
      <c r="HJ2" s="1453"/>
      <c r="HK2" s="1453"/>
      <c r="HL2" s="1453"/>
      <c r="HM2" s="1453"/>
      <c r="HN2" s="1453"/>
      <c r="HO2" s="1453"/>
      <c r="HP2" s="1453"/>
      <c r="HQ2" s="1453"/>
      <c r="HR2" s="1453"/>
      <c r="HS2" s="1453"/>
      <c r="HT2" s="1453"/>
      <c r="HU2" s="1453"/>
      <c r="HV2" s="1453"/>
      <c r="HW2" s="1453"/>
      <c r="HX2" s="1453"/>
      <c r="HY2" s="1453"/>
      <c r="HZ2" s="1453"/>
      <c r="IA2" s="1453"/>
      <c r="IB2" s="1453"/>
      <c r="IC2" s="1453"/>
      <c r="ID2" s="1453"/>
      <c r="IE2" s="1453"/>
      <c r="IF2" s="1453"/>
      <c r="IG2" s="1453"/>
      <c r="IH2" s="1453"/>
      <c r="II2" s="1453"/>
      <c r="IJ2" s="1453"/>
      <c r="IK2" s="1453"/>
      <c r="IL2" s="1453"/>
      <c r="IM2" s="1453"/>
      <c r="IN2" s="1453"/>
      <c r="IO2" s="1453"/>
      <c r="IP2" s="1453"/>
    </row>
    <row r="3" spans="1:250" s="899" customFormat="1" ht="18" customHeight="1" x14ac:dyDescent="0.3">
      <c r="A3" s="1452"/>
      <c r="B3" s="2063"/>
      <c r="C3" s="2063"/>
      <c r="D3" s="2063"/>
      <c r="E3" s="2063"/>
      <c r="F3" s="2063"/>
      <c r="G3" s="2063"/>
      <c r="H3" s="2063"/>
      <c r="I3" s="2063"/>
      <c r="J3" s="2063"/>
      <c r="K3" s="2063"/>
      <c r="L3" s="2063"/>
      <c r="M3" s="1453"/>
      <c r="N3" s="1453"/>
      <c r="O3" s="1453"/>
      <c r="P3" s="1453"/>
      <c r="Q3" s="1453"/>
      <c r="R3" s="1453"/>
      <c r="S3" s="1453"/>
      <c r="T3" s="1453"/>
      <c r="U3" s="1453"/>
      <c r="V3" s="1453"/>
      <c r="W3" s="1453"/>
      <c r="X3" s="1453"/>
      <c r="Y3" s="1453"/>
      <c r="Z3" s="1453"/>
      <c r="AA3" s="1453"/>
      <c r="AB3" s="1453"/>
      <c r="AC3" s="1453"/>
      <c r="AD3" s="1453"/>
      <c r="AE3" s="1453"/>
      <c r="AF3" s="1453"/>
      <c r="AG3" s="1453"/>
      <c r="AH3" s="1453"/>
      <c r="AI3" s="1453"/>
      <c r="AJ3" s="1453"/>
      <c r="AK3" s="1453"/>
      <c r="AL3" s="1453"/>
      <c r="AM3" s="1453"/>
      <c r="AN3" s="1453"/>
      <c r="AO3" s="1453"/>
      <c r="AP3" s="1453"/>
      <c r="AQ3" s="1453"/>
      <c r="AR3" s="1453"/>
      <c r="AS3" s="1453"/>
      <c r="AT3" s="1453"/>
      <c r="AU3" s="1453"/>
      <c r="AV3" s="1453"/>
      <c r="AW3" s="1453"/>
      <c r="AX3" s="1453"/>
      <c r="AY3" s="1453"/>
      <c r="AZ3" s="1453"/>
      <c r="BA3" s="1453"/>
      <c r="BB3" s="1453"/>
      <c r="BC3" s="1453"/>
      <c r="BD3" s="1453"/>
      <c r="BE3" s="1453"/>
      <c r="BF3" s="1453"/>
      <c r="BG3" s="1453"/>
      <c r="BH3" s="1453"/>
      <c r="BI3" s="1453"/>
      <c r="BJ3" s="1453"/>
      <c r="BK3" s="1453"/>
      <c r="BL3" s="1453"/>
      <c r="BM3" s="1453"/>
      <c r="BN3" s="1453"/>
      <c r="BO3" s="1453"/>
      <c r="BP3" s="1453"/>
      <c r="BQ3" s="1453"/>
      <c r="BR3" s="1453"/>
      <c r="BS3" s="1453"/>
      <c r="BT3" s="1453"/>
      <c r="BU3" s="1453"/>
      <c r="BV3" s="1453"/>
      <c r="BW3" s="1453"/>
      <c r="BX3" s="1453"/>
      <c r="BY3" s="1453"/>
      <c r="BZ3" s="1453"/>
      <c r="CA3" s="1453"/>
      <c r="CB3" s="1453"/>
      <c r="CC3" s="1453"/>
      <c r="CD3" s="1453"/>
      <c r="CE3" s="1453"/>
      <c r="CF3" s="1453"/>
      <c r="CG3" s="1453"/>
      <c r="CH3" s="1453"/>
      <c r="CI3" s="1453"/>
      <c r="CJ3" s="1453"/>
      <c r="CK3" s="1453"/>
      <c r="CL3" s="1453"/>
      <c r="CM3" s="1453"/>
      <c r="CN3" s="1453"/>
      <c r="CO3" s="1453"/>
      <c r="CP3" s="1453"/>
      <c r="CQ3" s="1453"/>
      <c r="CR3" s="1453"/>
      <c r="CS3" s="1453"/>
      <c r="CT3" s="1453"/>
      <c r="CU3" s="1453"/>
      <c r="CV3" s="1453"/>
      <c r="CW3" s="1453"/>
      <c r="CX3" s="1453"/>
      <c r="CY3" s="1453"/>
      <c r="CZ3" s="1453"/>
      <c r="DA3" s="1453"/>
      <c r="DB3" s="1453"/>
      <c r="DC3" s="1453"/>
      <c r="DD3" s="1453"/>
      <c r="DE3" s="1453"/>
      <c r="DF3" s="1453"/>
      <c r="DG3" s="1453"/>
      <c r="DH3" s="1453"/>
      <c r="DI3" s="1453"/>
      <c r="DJ3" s="1453"/>
      <c r="DK3" s="1453"/>
      <c r="DL3" s="1453"/>
      <c r="DM3" s="1453"/>
      <c r="DN3" s="1453"/>
      <c r="DO3" s="1453"/>
      <c r="DP3" s="1453"/>
      <c r="DQ3" s="1453"/>
      <c r="DR3" s="1453"/>
      <c r="DS3" s="1453"/>
      <c r="DT3" s="1453"/>
      <c r="DU3" s="1453"/>
      <c r="DV3" s="1453"/>
      <c r="DW3" s="1453"/>
      <c r="DX3" s="1453"/>
      <c r="DY3" s="1453"/>
      <c r="DZ3" s="1453"/>
      <c r="EA3" s="1453"/>
      <c r="EB3" s="1453"/>
      <c r="EC3" s="1453"/>
      <c r="ED3" s="1453"/>
      <c r="EE3" s="1453"/>
      <c r="EF3" s="1453"/>
      <c r="EG3" s="1453"/>
      <c r="EH3" s="1453"/>
      <c r="EI3" s="1453"/>
      <c r="EJ3" s="1453"/>
      <c r="EK3" s="1453"/>
      <c r="EL3" s="1453"/>
      <c r="EM3" s="1453"/>
      <c r="EN3" s="1453"/>
      <c r="EO3" s="1453"/>
      <c r="EP3" s="1453"/>
      <c r="EQ3" s="1453"/>
      <c r="ER3" s="1453"/>
      <c r="ES3" s="1453"/>
      <c r="ET3" s="1453"/>
      <c r="EU3" s="1453"/>
      <c r="EV3" s="1453"/>
      <c r="EW3" s="1453"/>
      <c r="EX3" s="1453"/>
      <c r="EY3" s="1453"/>
      <c r="EZ3" s="1453"/>
      <c r="FA3" s="1453"/>
      <c r="FB3" s="1453"/>
      <c r="FC3" s="1453"/>
      <c r="FD3" s="1453"/>
      <c r="FE3" s="1453"/>
      <c r="FF3" s="1453"/>
      <c r="FG3" s="1453"/>
      <c r="FH3" s="1453"/>
      <c r="FI3" s="1453"/>
      <c r="FJ3" s="1453"/>
      <c r="FK3" s="1453"/>
      <c r="FL3" s="1453"/>
      <c r="FM3" s="1453"/>
      <c r="FN3" s="1453"/>
      <c r="FO3" s="1453"/>
      <c r="FP3" s="1453"/>
      <c r="FQ3" s="1453"/>
      <c r="FR3" s="1453"/>
      <c r="FS3" s="1453"/>
      <c r="FT3" s="1453"/>
      <c r="FU3" s="1453"/>
      <c r="FV3" s="1453"/>
      <c r="FW3" s="1453"/>
      <c r="FX3" s="1453"/>
      <c r="FY3" s="1453"/>
      <c r="FZ3" s="1453"/>
      <c r="GA3" s="1453"/>
      <c r="GB3" s="1453"/>
      <c r="GC3" s="1453"/>
      <c r="GD3" s="1453"/>
      <c r="GE3" s="1453"/>
      <c r="GF3" s="1453"/>
      <c r="GG3" s="1453"/>
      <c r="GH3" s="1453"/>
      <c r="GI3" s="1453"/>
      <c r="GJ3" s="1453"/>
      <c r="GK3" s="1453"/>
      <c r="GL3" s="1453"/>
      <c r="GM3" s="1453"/>
      <c r="GN3" s="1453"/>
      <c r="GO3" s="1453"/>
      <c r="GP3" s="1453"/>
      <c r="GQ3" s="1453"/>
      <c r="GR3" s="1453"/>
      <c r="GS3" s="1453"/>
      <c r="GT3" s="1453"/>
      <c r="GU3" s="1453"/>
      <c r="GV3" s="1453"/>
      <c r="GW3" s="1453"/>
      <c r="GX3" s="1453"/>
      <c r="GY3" s="1453"/>
      <c r="GZ3" s="1453"/>
      <c r="HA3" s="1453"/>
      <c r="HB3" s="1453"/>
      <c r="HC3" s="1453"/>
      <c r="HD3" s="1453"/>
      <c r="HE3" s="1453"/>
      <c r="HF3" s="1453"/>
      <c r="HG3" s="1453"/>
      <c r="HH3" s="1453"/>
      <c r="HI3" s="1453"/>
      <c r="HJ3" s="1453"/>
      <c r="HK3" s="1453"/>
      <c r="HL3" s="1453"/>
      <c r="HM3" s="1453"/>
      <c r="HN3" s="1453"/>
      <c r="HO3" s="1453"/>
      <c r="HP3" s="1453"/>
      <c r="HQ3" s="1453"/>
      <c r="HR3" s="1453"/>
      <c r="HS3" s="1453"/>
      <c r="HT3" s="1453"/>
      <c r="HU3" s="1453"/>
      <c r="HV3" s="1453"/>
      <c r="HW3" s="1453"/>
      <c r="HX3" s="1453"/>
      <c r="HY3" s="1453"/>
      <c r="HZ3" s="1453"/>
      <c r="IA3" s="1453"/>
      <c r="IB3" s="1453"/>
      <c r="IC3" s="1453"/>
      <c r="ID3" s="1453"/>
      <c r="IE3" s="1453"/>
      <c r="IF3" s="1453"/>
      <c r="IG3" s="1453"/>
      <c r="IH3" s="1453"/>
      <c r="II3" s="1453"/>
      <c r="IJ3" s="1453"/>
      <c r="IK3" s="1453"/>
      <c r="IL3" s="1453"/>
      <c r="IM3" s="1453"/>
      <c r="IN3" s="1453"/>
      <c r="IO3" s="1453"/>
      <c r="IP3" s="1453"/>
    </row>
    <row r="4" spans="1:250" s="899" customFormat="1" ht="24.75" customHeight="1" x14ac:dyDescent="0.35">
      <c r="A4" s="900"/>
      <c r="B4" s="2186" t="s">
        <v>142</v>
      </c>
      <c r="C4" s="2186"/>
      <c r="D4" s="2186"/>
      <c r="E4" s="2186"/>
      <c r="F4" s="2186"/>
      <c r="G4" s="2186"/>
      <c r="H4" s="2186"/>
      <c r="I4" s="2186"/>
      <c r="J4" s="2186"/>
      <c r="K4" s="2186"/>
      <c r="L4" s="2186"/>
    </row>
    <row r="5" spans="1:250" s="899" customFormat="1" ht="24.75" customHeight="1" x14ac:dyDescent="0.3">
      <c r="A5" s="900"/>
      <c r="B5" s="2187" t="s">
        <v>1281</v>
      </c>
      <c r="C5" s="2187"/>
      <c r="D5" s="2187"/>
      <c r="E5" s="2187"/>
      <c r="F5" s="2187"/>
      <c r="G5" s="2187"/>
      <c r="H5" s="2187"/>
      <c r="I5" s="2187"/>
      <c r="J5" s="2187"/>
      <c r="K5" s="2187"/>
      <c r="L5" s="2187"/>
    </row>
    <row r="6" spans="1:250" ht="18" customHeight="1" x14ac:dyDescent="0.3">
      <c r="A6" s="901"/>
      <c r="H6" s="905"/>
      <c r="I6" s="905"/>
      <c r="J6" s="1944"/>
      <c r="L6" s="1944" t="s">
        <v>0</v>
      </c>
    </row>
    <row r="7" spans="1:250" s="910" customFormat="1" ht="18" customHeight="1" thickBot="1" x14ac:dyDescent="0.35">
      <c r="A7" s="907"/>
      <c r="B7" s="908" t="s">
        <v>1</v>
      </c>
      <c r="C7" s="909" t="s">
        <v>3</v>
      </c>
      <c r="D7" s="909" t="s">
        <v>2</v>
      </c>
      <c r="E7" s="909" t="s">
        <v>4</v>
      </c>
      <c r="F7" s="909" t="s">
        <v>5</v>
      </c>
      <c r="G7" s="909" t="s">
        <v>15</v>
      </c>
      <c r="H7" s="909" t="s">
        <v>16</v>
      </c>
      <c r="I7" s="909" t="s">
        <v>17</v>
      </c>
      <c r="J7" s="909" t="s">
        <v>36</v>
      </c>
      <c r="K7" s="909" t="s">
        <v>30</v>
      </c>
      <c r="L7" s="909" t="s">
        <v>23</v>
      </c>
      <c r="M7" s="907"/>
      <c r="N7" s="907"/>
      <c r="O7" s="907"/>
      <c r="P7" s="907"/>
      <c r="Q7" s="907"/>
      <c r="R7" s="907"/>
      <c r="S7" s="907"/>
      <c r="T7" s="907"/>
      <c r="U7" s="907"/>
      <c r="V7" s="907"/>
      <c r="W7" s="907"/>
      <c r="X7" s="907"/>
      <c r="Y7" s="907"/>
      <c r="Z7" s="907"/>
      <c r="AA7" s="907"/>
      <c r="AB7" s="907"/>
      <c r="AC7" s="907"/>
      <c r="AD7" s="907"/>
      <c r="AE7" s="907"/>
      <c r="AF7" s="907"/>
      <c r="AG7" s="907"/>
      <c r="AH7" s="907"/>
      <c r="AI7" s="907"/>
      <c r="AJ7" s="907"/>
      <c r="AK7" s="907"/>
      <c r="AL7" s="907"/>
      <c r="AM7" s="907"/>
      <c r="AN7" s="907"/>
      <c r="AO7" s="907"/>
      <c r="AP7" s="907"/>
      <c r="AQ7" s="907"/>
      <c r="AR7" s="907"/>
      <c r="AS7" s="907"/>
      <c r="AT7" s="907"/>
      <c r="AU7" s="907"/>
      <c r="AV7" s="907"/>
      <c r="AW7" s="907"/>
      <c r="AX7" s="907"/>
      <c r="AY7" s="907"/>
      <c r="AZ7" s="907"/>
      <c r="BA7" s="907"/>
      <c r="BB7" s="907"/>
      <c r="BC7" s="907"/>
      <c r="BD7" s="907"/>
      <c r="BE7" s="907"/>
      <c r="BF7" s="907"/>
      <c r="BG7" s="907"/>
      <c r="BH7" s="907"/>
      <c r="BI7" s="907"/>
      <c r="BJ7" s="907"/>
      <c r="BK7" s="907"/>
      <c r="BL7" s="907"/>
      <c r="BM7" s="907"/>
      <c r="BN7" s="907"/>
      <c r="BO7" s="907"/>
      <c r="BP7" s="907"/>
      <c r="BQ7" s="907"/>
      <c r="BR7" s="907"/>
      <c r="BS7" s="907"/>
      <c r="BT7" s="907"/>
      <c r="BU7" s="907"/>
      <c r="BV7" s="907"/>
      <c r="BW7" s="907"/>
      <c r="BX7" s="907"/>
      <c r="BY7" s="907"/>
      <c r="BZ7" s="907"/>
      <c r="CA7" s="907"/>
      <c r="CB7" s="907"/>
      <c r="CC7" s="907"/>
      <c r="CD7" s="907"/>
      <c r="CE7" s="907"/>
      <c r="CF7" s="907"/>
      <c r="CG7" s="907"/>
      <c r="CH7" s="907"/>
      <c r="CI7" s="907"/>
      <c r="CJ7" s="907"/>
      <c r="CK7" s="907"/>
      <c r="CL7" s="907"/>
      <c r="CM7" s="907"/>
      <c r="CN7" s="907"/>
      <c r="CO7" s="907"/>
      <c r="CP7" s="907"/>
      <c r="CQ7" s="907"/>
      <c r="CR7" s="907"/>
      <c r="CS7" s="907"/>
      <c r="CT7" s="907"/>
      <c r="CU7" s="907"/>
      <c r="CV7" s="907"/>
      <c r="CW7" s="907"/>
      <c r="CX7" s="907"/>
      <c r="CY7" s="907"/>
      <c r="CZ7" s="907"/>
      <c r="DA7" s="907"/>
      <c r="DB7" s="907"/>
      <c r="DC7" s="907"/>
      <c r="DD7" s="907"/>
      <c r="DE7" s="907"/>
      <c r="DF7" s="907"/>
      <c r="DG7" s="907"/>
      <c r="DH7" s="907"/>
      <c r="DI7" s="907"/>
      <c r="DJ7" s="907"/>
      <c r="DK7" s="907"/>
      <c r="DL7" s="907"/>
      <c r="DM7" s="907"/>
      <c r="DN7" s="907"/>
      <c r="DO7" s="907"/>
      <c r="DP7" s="907"/>
      <c r="DQ7" s="907"/>
      <c r="DR7" s="907"/>
      <c r="DS7" s="907"/>
      <c r="DT7" s="907"/>
      <c r="DU7" s="907"/>
      <c r="DV7" s="907"/>
      <c r="DW7" s="907"/>
      <c r="DX7" s="907"/>
      <c r="DY7" s="907"/>
      <c r="DZ7" s="907"/>
      <c r="EA7" s="907"/>
      <c r="EB7" s="907"/>
      <c r="EC7" s="907"/>
      <c r="ED7" s="907"/>
      <c r="EE7" s="907"/>
      <c r="EF7" s="907"/>
      <c r="EG7" s="907"/>
      <c r="EH7" s="907"/>
      <c r="EI7" s="907"/>
      <c r="EJ7" s="907"/>
      <c r="EK7" s="907"/>
      <c r="EL7" s="907"/>
      <c r="EM7" s="907"/>
      <c r="EN7" s="907"/>
      <c r="EO7" s="907"/>
      <c r="EP7" s="907"/>
      <c r="EQ7" s="907"/>
      <c r="ER7" s="907"/>
      <c r="ES7" s="907"/>
      <c r="ET7" s="907"/>
      <c r="EU7" s="907"/>
      <c r="EV7" s="907"/>
      <c r="EW7" s="907"/>
      <c r="EX7" s="907"/>
      <c r="EY7" s="907"/>
      <c r="EZ7" s="907"/>
      <c r="FA7" s="907"/>
      <c r="FB7" s="907"/>
      <c r="FC7" s="907"/>
      <c r="FD7" s="907"/>
      <c r="FE7" s="907"/>
      <c r="FF7" s="907"/>
      <c r="FG7" s="907"/>
      <c r="FH7" s="907"/>
      <c r="FI7" s="907"/>
      <c r="FJ7" s="907"/>
      <c r="FK7" s="907"/>
      <c r="FL7" s="907"/>
      <c r="FM7" s="907"/>
      <c r="FN7" s="907"/>
      <c r="FO7" s="907"/>
      <c r="FP7" s="907"/>
      <c r="FQ7" s="907"/>
      <c r="FR7" s="907"/>
      <c r="FS7" s="907"/>
      <c r="FT7" s="907"/>
      <c r="FU7" s="907"/>
      <c r="FV7" s="907"/>
      <c r="FW7" s="907"/>
      <c r="FX7" s="907"/>
      <c r="FY7" s="907"/>
      <c r="FZ7" s="907"/>
      <c r="GA7" s="907"/>
      <c r="GB7" s="907"/>
      <c r="GC7" s="907"/>
      <c r="GD7" s="907"/>
      <c r="GE7" s="907"/>
      <c r="GF7" s="907"/>
      <c r="GG7" s="907"/>
      <c r="GH7" s="907"/>
      <c r="GI7" s="907"/>
      <c r="GJ7" s="907"/>
      <c r="GK7" s="907"/>
      <c r="GL7" s="907"/>
      <c r="GM7" s="907"/>
      <c r="GN7" s="907"/>
      <c r="GO7" s="907"/>
      <c r="GP7" s="907"/>
      <c r="GQ7" s="907"/>
      <c r="GR7" s="907"/>
      <c r="GS7" s="907"/>
      <c r="GT7" s="907"/>
      <c r="GU7" s="907"/>
      <c r="GV7" s="907"/>
      <c r="GW7" s="907"/>
      <c r="GX7" s="907"/>
      <c r="GY7" s="907"/>
      <c r="GZ7" s="907"/>
      <c r="HA7" s="907"/>
      <c r="HB7" s="907"/>
      <c r="HC7" s="907"/>
      <c r="HD7" s="907"/>
      <c r="HE7" s="907"/>
      <c r="HF7" s="907"/>
      <c r="HG7" s="907"/>
      <c r="HH7" s="907"/>
      <c r="HI7" s="907"/>
      <c r="HJ7" s="907"/>
      <c r="HK7" s="907"/>
      <c r="HL7" s="907"/>
      <c r="HM7" s="907"/>
      <c r="HN7" s="907"/>
      <c r="HO7" s="907"/>
      <c r="HP7" s="907"/>
      <c r="HQ7" s="907"/>
      <c r="HR7" s="907"/>
      <c r="HS7" s="907"/>
      <c r="HT7" s="907"/>
      <c r="HU7" s="907"/>
      <c r="HV7" s="907"/>
      <c r="HW7" s="907"/>
      <c r="HX7" s="907"/>
      <c r="HY7" s="907"/>
      <c r="HZ7" s="907"/>
      <c r="IA7" s="907"/>
      <c r="IB7" s="907"/>
      <c r="IC7" s="907"/>
      <c r="ID7" s="907"/>
      <c r="IE7" s="907"/>
      <c r="IF7" s="907"/>
      <c r="IG7" s="907"/>
      <c r="IH7" s="907"/>
      <c r="II7" s="907"/>
      <c r="IJ7" s="907"/>
      <c r="IK7" s="907"/>
      <c r="IL7" s="907"/>
      <c r="IM7" s="907"/>
      <c r="IN7" s="907"/>
      <c r="IO7" s="907"/>
      <c r="IP7" s="907"/>
    </row>
    <row r="8" spans="1:250" ht="30" customHeight="1" x14ac:dyDescent="0.3">
      <c r="B8" s="2188" t="s">
        <v>18</v>
      </c>
      <c r="C8" s="2190" t="s">
        <v>19</v>
      </c>
      <c r="D8" s="2192" t="s">
        <v>6</v>
      </c>
      <c r="E8" s="2194" t="s">
        <v>302</v>
      </c>
      <c r="F8" s="2196" t="s">
        <v>630</v>
      </c>
      <c r="G8" s="2196" t="s">
        <v>631</v>
      </c>
      <c r="H8" s="2198" t="s">
        <v>888</v>
      </c>
      <c r="I8" s="2206" t="s">
        <v>1044</v>
      </c>
      <c r="J8" s="2200" t="s">
        <v>1153</v>
      </c>
      <c r="K8" s="2202" t="s">
        <v>123</v>
      </c>
      <c r="L8" s="2204" t="s">
        <v>1150</v>
      </c>
    </row>
    <row r="9" spans="1:250" ht="60.75" customHeight="1" thickBot="1" x14ac:dyDescent="0.35">
      <c r="B9" s="2189"/>
      <c r="C9" s="2191"/>
      <c r="D9" s="2193"/>
      <c r="E9" s="2195"/>
      <c r="F9" s="2197"/>
      <c r="G9" s="2197"/>
      <c r="H9" s="2199"/>
      <c r="I9" s="2207"/>
      <c r="J9" s="2201"/>
      <c r="K9" s="2203"/>
      <c r="L9" s="2205"/>
    </row>
    <row r="10" spans="1:250" ht="20.100000000000001" customHeight="1" x14ac:dyDescent="0.3">
      <c r="A10" s="911">
        <v>1</v>
      </c>
      <c r="B10" s="1716"/>
      <c r="C10" s="2173" t="s">
        <v>231</v>
      </c>
      <c r="D10" s="2174"/>
      <c r="E10" s="1717"/>
      <c r="F10" s="1718"/>
      <c r="G10" s="1718"/>
      <c r="H10" s="1899"/>
      <c r="I10" s="1904"/>
      <c r="J10" s="1720"/>
      <c r="K10" s="1929"/>
      <c r="L10" s="1719"/>
    </row>
    <row r="11" spans="1:250" s="917" customFormat="1" ht="22.5" customHeight="1" x14ac:dyDescent="0.3">
      <c r="A11" s="912">
        <v>2</v>
      </c>
      <c r="B11" s="913">
        <v>1</v>
      </c>
      <c r="C11" s="914" t="s">
        <v>314</v>
      </c>
      <c r="D11" s="916"/>
      <c r="E11" s="915" t="s">
        <v>23</v>
      </c>
      <c r="F11" s="966">
        <v>1695</v>
      </c>
      <c r="G11" s="961">
        <v>1800</v>
      </c>
      <c r="H11" s="1737">
        <v>3100</v>
      </c>
      <c r="I11" s="1905"/>
      <c r="J11" s="1945"/>
      <c r="K11" s="1953"/>
      <c r="L11" s="1950"/>
    </row>
    <row r="12" spans="1:250" s="919" customFormat="1" ht="18" customHeight="1" x14ac:dyDescent="0.3">
      <c r="A12" s="901">
        <v>3</v>
      </c>
      <c r="B12" s="913"/>
      <c r="C12" s="918">
        <v>1</v>
      </c>
      <c r="D12" s="925" t="s">
        <v>803</v>
      </c>
      <c r="E12" s="915"/>
      <c r="F12" s="962"/>
      <c r="G12" s="963"/>
      <c r="H12" s="1738"/>
      <c r="I12" s="1906">
        <v>510</v>
      </c>
      <c r="J12" s="1946">
        <v>502</v>
      </c>
      <c r="K12" s="1954"/>
      <c r="L12" s="1951">
        <f>SUM(J12:K12)</f>
        <v>502</v>
      </c>
    </row>
    <row r="13" spans="1:250" s="919" customFormat="1" ht="44.25" customHeight="1" x14ac:dyDescent="0.3">
      <c r="A13" s="2041">
        <v>4</v>
      </c>
      <c r="B13" s="913"/>
      <c r="C13" s="930">
        <v>2</v>
      </c>
      <c r="D13" s="973" t="s">
        <v>1208</v>
      </c>
      <c r="E13" s="915"/>
      <c r="F13" s="962"/>
      <c r="G13" s="963"/>
      <c r="H13" s="1738"/>
      <c r="I13" s="1906"/>
      <c r="J13" s="1946">
        <v>20</v>
      </c>
      <c r="K13" s="1954">
        <v>58</v>
      </c>
      <c r="L13" s="1951">
        <f>SUM(J13:K13)</f>
        <v>78</v>
      </c>
    </row>
    <row r="14" spans="1:250" s="919" customFormat="1" ht="18" customHeight="1" x14ac:dyDescent="0.3">
      <c r="A14" s="912">
        <v>5</v>
      </c>
      <c r="B14" s="913"/>
      <c r="C14" s="920" t="s">
        <v>469</v>
      </c>
      <c r="D14" s="921"/>
      <c r="E14" s="915"/>
      <c r="F14" s="962">
        <v>217</v>
      </c>
      <c r="G14" s="963">
        <v>900</v>
      </c>
      <c r="H14" s="1738">
        <v>1294</v>
      </c>
      <c r="I14" s="1906"/>
      <c r="J14" s="1946"/>
      <c r="K14" s="1954"/>
      <c r="L14" s="1951"/>
    </row>
    <row r="15" spans="1:250" s="919" customFormat="1" ht="18" customHeight="1" x14ac:dyDescent="0.3">
      <c r="A15" s="901">
        <v>6</v>
      </c>
      <c r="B15" s="913"/>
      <c r="C15" s="915">
        <v>3</v>
      </c>
      <c r="D15" s="925" t="s">
        <v>804</v>
      </c>
      <c r="E15" s="915"/>
      <c r="F15" s="962"/>
      <c r="G15" s="963"/>
      <c r="H15" s="1738"/>
      <c r="I15" s="1906">
        <v>200</v>
      </c>
      <c r="J15" s="1946">
        <v>0</v>
      </c>
      <c r="K15" s="1954"/>
      <c r="L15" s="1951">
        <f>SUM(J15:K15)</f>
        <v>0</v>
      </c>
    </row>
    <row r="16" spans="1:250" s="919" customFormat="1" ht="29.25" customHeight="1" x14ac:dyDescent="0.3">
      <c r="A16" s="911">
        <v>7</v>
      </c>
      <c r="B16" s="913"/>
      <c r="C16" s="930">
        <v>4</v>
      </c>
      <c r="D16" s="973" t="s">
        <v>1209</v>
      </c>
      <c r="E16" s="915"/>
      <c r="F16" s="962"/>
      <c r="G16" s="963"/>
      <c r="H16" s="1738"/>
      <c r="I16" s="1906"/>
      <c r="J16" s="1946"/>
      <c r="K16" s="1954">
        <v>80</v>
      </c>
      <c r="L16" s="1951">
        <f>SUM(J16:K16)</f>
        <v>80</v>
      </c>
    </row>
    <row r="17" spans="1:12" s="917" customFormat="1" ht="22.5" customHeight="1" x14ac:dyDescent="0.3">
      <c r="A17" s="912">
        <v>8</v>
      </c>
      <c r="B17" s="913">
        <v>2</v>
      </c>
      <c r="C17" s="922" t="s">
        <v>313</v>
      </c>
      <c r="D17" s="916"/>
      <c r="E17" s="915" t="s">
        <v>23</v>
      </c>
      <c r="F17" s="966">
        <v>2509</v>
      </c>
      <c r="G17" s="961">
        <v>3300</v>
      </c>
      <c r="H17" s="1737">
        <v>3496</v>
      </c>
      <c r="I17" s="1905"/>
      <c r="J17" s="1945"/>
      <c r="K17" s="1953"/>
      <c r="L17" s="1950"/>
    </row>
    <row r="18" spans="1:12" s="919" customFormat="1" ht="18" customHeight="1" x14ac:dyDescent="0.3">
      <c r="A18" s="901">
        <v>9</v>
      </c>
      <c r="B18" s="913"/>
      <c r="C18" s="918">
        <v>1</v>
      </c>
      <c r="D18" s="925" t="s">
        <v>988</v>
      </c>
      <c r="E18" s="915"/>
      <c r="F18" s="962"/>
      <c r="G18" s="963"/>
      <c r="H18" s="1738"/>
      <c r="I18" s="1906">
        <v>700</v>
      </c>
      <c r="J18" s="1946">
        <v>700</v>
      </c>
      <c r="K18" s="1954"/>
      <c r="L18" s="1951">
        <f>SUM(J18:K18)</f>
        <v>700</v>
      </c>
    </row>
    <row r="19" spans="1:12" s="919" customFormat="1" ht="18" customHeight="1" x14ac:dyDescent="0.3">
      <c r="A19" s="911">
        <v>10</v>
      </c>
      <c r="B19" s="913"/>
      <c r="C19" s="1696">
        <v>2</v>
      </c>
      <c r="D19" s="973" t="s">
        <v>989</v>
      </c>
      <c r="E19" s="915"/>
      <c r="F19" s="962"/>
      <c r="G19" s="963"/>
      <c r="H19" s="1738"/>
      <c r="I19" s="1906"/>
      <c r="J19" s="1946">
        <v>4137</v>
      </c>
      <c r="K19" s="1954"/>
      <c r="L19" s="1951">
        <f>SUM(J19:K19)</f>
        <v>4137</v>
      </c>
    </row>
    <row r="20" spans="1:12" s="919" customFormat="1" ht="60" customHeight="1" x14ac:dyDescent="0.3">
      <c r="A20" s="2042">
        <v>11</v>
      </c>
      <c r="B20" s="913"/>
      <c r="C20" s="1934">
        <v>3</v>
      </c>
      <c r="D20" s="973" t="s">
        <v>1178</v>
      </c>
      <c r="E20" s="915"/>
      <c r="F20" s="962"/>
      <c r="G20" s="963"/>
      <c r="H20" s="1738"/>
      <c r="I20" s="1906"/>
      <c r="J20" s="1946">
        <v>2550</v>
      </c>
      <c r="K20" s="1954">
        <f>199+500+100+100</f>
        <v>899</v>
      </c>
      <c r="L20" s="1951">
        <f>SUM(J20:K20)</f>
        <v>3449</v>
      </c>
    </row>
    <row r="21" spans="1:12" s="919" customFormat="1" ht="18" customHeight="1" x14ac:dyDescent="0.3">
      <c r="A21" s="901">
        <v>12</v>
      </c>
      <c r="B21" s="913"/>
      <c r="C21" s="2179" t="s">
        <v>470</v>
      </c>
      <c r="D21" s="2180"/>
      <c r="E21" s="915"/>
      <c r="F21" s="962">
        <v>1162</v>
      </c>
      <c r="G21" s="963"/>
      <c r="H21" s="1738">
        <v>1094</v>
      </c>
      <c r="I21" s="1906"/>
      <c r="J21" s="1946"/>
      <c r="K21" s="1954"/>
      <c r="L21" s="1951"/>
    </row>
    <row r="22" spans="1:12" s="919" customFormat="1" ht="18" customHeight="1" x14ac:dyDescent="0.3">
      <c r="A22" s="911">
        <v>13</v>
      </c>
      <c r="B22" s="913"/>
      <c r="C22" s="1696">
        <v>4</v>
      </c>
      <c r="D22" s="973" t="s">
        <v>1006</v>
      </c>
      <c r="E22" s="915"/>
      <c r="F22" s="962"/>
      <c r="G22" s="963"/>
      <c r="H22" s="1738"/>
      <c r="I22" s="1906"/>
      <c r="J22" s="1946">
        <v>2817</v>
      </c>
      <c r="K22" s="1954"/>
      <c r="L22" s="1951">
        <f>SUM(J22:K22)</f>
        <v>2817</v>
      </c>
    </row>
    <row r="23" spans="1:12" s="919" customFormat="1" ht="58.5" customHeight="1" x14ac:dyDescent="0.3">
      <c r="A23" s="2042">
        <v>14</v>
      </c>
      <c r="B23" s="913"/>
      <c r="C23" s="1934">
        <v>5</v>
      </c>
      <c r="D23" s="973" t="s">
        <v>1180</v>
      </c>
      <c r="E23" s="915"/>
      <c r="F23" s="962"/>
      <c r="G23" s="963"/>
      <c r="H23" s="1738"/>
      <c r="I23" s="1906"/>
      <c r="J23" s="1946">
        <v>1240</v>
      </c>
      <c r="K23" s="1954">
        <f>121+300+100</f>
        <v>521</v>
      </c>
      <c r="L23" s="1951">
        <f>SUM(J23:K23)</f>
        <v>1761</v>
      </c>
    </row>
    <row r="24" spans="1:12" s="919" customFormat="1" ht="20.100000000000001" customHeight="1" x14ac:dyDescent="0.3">
      <c r="A24" s="901">
        <v>15</v>
      </c>
      <c r="B24" s="913"/>
      <c r="C24" s="1696">
        <v>6</v>
      </c>
      <c r="D24" s="973" t="s">
        <v>1117</v>
      </c>
      <c r="E24" s="915"/>
      <c r="F24" s="962"/>
      <c r="G24" s="963"/>
      <c r="H24" s="1738"/>
      <c r="I24" s="1906"/>
      <c r="J24" s="1946">
        <v>200</v>
      </c>
      <c r="K24" s="1954"/>
      <c r="L24" s="1951">
        <f>SUM(J24:K24)</f>
        <v>200</v>
      </c>
    </row>
    <row r="25" spans="1:12" s="917" customFormat="1" ht="22.5" customHeight="1" x14ac:dyDescent="0.3">
      <c r="A25" s="911">
        <v>16</v>
      </c>
      <c r="B25" s="913">
        <v>3</v>
      </c>
      <c r="C25" s="922" t="s">
        <v>267</v>
      </c>
      <c r="D25" s="916"/>
      <c r="E25" s="915" t="s">
        <v>23</v>
      </c>
      <c r="F25" s="966">
        <v>5920</v>
      </c>
      <c r="G25" s="961">
        <v>1500</v>
      </c>
      <c r="H25" s="1737">
        <v>6208</v>
      </c>
      <c r="I25" s="1905"/>
      <c r="J25" s="1946"/>
      <c r="K25" s="1953"/>
      <c r="L25" s="1951"/>
    </row>
    <row r="26" spans="1:12" s="919" customFormat="1" ht="45" customHeight="1" x14ac:dyDescent="0.3">
      <c r="A26" s="2042">
        <v>17</v>
      </c>
      <c r="B26" s="913"/>
      <c r="C26" s="926">
        <v>1</v>
      </c>
      <c r="D26" s="925" t="s">
        <v>1171</v>
      </c>
      <c r="E26" s="915"/>
      <c r="F26" s="962"/>
      <c r="G26" s="963"/>
      <c r="H26" s="1738"/>
      <c r="I26" s="1906"/>
      <c r="J26" s="1946">
        <v>780</v>
      </c>
      <c r="K26" s="1954">
        <v>413</v>
      </c>
      <c r="L26" s="1951">
        <f t="shared" ref="L26:L42" si="0">SUM(J26:K26)</f>
        <v>1193</v>
      </c>
    </row>
    <row r="27" spans="1:12" s="919" customFormat="1" ht="20.100000000000001" customHeight="1" x14ac:dyDescent="0.3">
      <c r="A27" s="901">
        <v>18</v>
      </c>
      <c r="B27" s="913"/>
      <c r="C27" s="918">
        <v>2</v>
      </c>
      <c r="D27" s="973" t="s">
        <v>1111</v>
      </c>
      <c r="E27" s="915"/>
      <c r="F27" s="962"/>
      <c r="G27" s="963"/>
      <c r="H27" s="1738"/>
      <c r="I27" s="1906"/>
      <c r="J27" s="1946">
        <v>220</v>
      </c>
      <c r="K27" s="1954"/>
      <c r="L27" s="1951">
        <f t="shared" si="0"/>
        <v>220</v>
      </c>
    </row>
    <row r="28" spans="1:12" s="919" customFormat="1" ht="18" customHeight="1" x14ac:dyDescent="0.3">
      <c r="A28" s="911">
        <v>19</v>
      </c>
      <c r="B28" s="913"/>
      <c r="C28" s="920" t="s">
        <v>667</v>
      </c>
      <c r="D28" s="921"/>
      <c r="E28" s="915"/>
      <c r="F28" s="962">
        <v>7972</v>
      </c>
      <c r="G28" s="963">
        <v>1500</v>
      </c>
      <c r="H28" s="1738">
        <v>3386</v>
      </c>
      <c r="I28" s="1906"/>
      <c r="J28" s="1946"/>
      <c r="K28" s="1954"/>
      <c r="L28" s="1951">
        <f t="shared" si="0"/>
        <v>0</v>
      </c>
    </row>
    <row r="29" spans="1:12" s="919" customFormat="1" ht="20.100000000000001" customHeight="1" x14ac:dyDescent="0.3">
      <c r="A29" s="912">
        <v>20</v>
      </c>
      <c r="B29" s="913"/>
      <c r="C29" s="2011">
        <v>3</v>
      </c>
      <c r="D29" s="1991" t="s">
        <v>1172</v>
      </c>
      <c r="E29" s="915"/>
      <c r="F29" s="962"/>
      <c r="G29" s="963"/>
      <c r="H29" s="1738"/>
      <c r="I29" s="1906"/>
      <c r="J29" s="1946">
        <v>320</v>
      </c>
      <c r="K29" s="1954">
        <v>28</v>
      </c>
      <c r="L29" s="1951">
        <f t="shared" si="0"/>
        <v>348</v>
      </c>
    </row>
    <row r="30" spans="1:12" s="917" customFormat="1" ht="22.5" customHeight="1" x14ac:dyDescent="0.3">
      <c r="A30" s="901">
        <v>21</v>
      </c>
      <c r="B30" s="913">
        <v>4</v>
      </c>
      <c r="C30" s="922" t="s">
        <v>268</v>
      </c>
      <c r="D30" s="916"/>
      <c r="E30" s="915" t="s">
        <v>23</v>
      </c>
      <c r="F30" s="966">
        <v>3926</v>
      </c>
      <c r="G30" s="961">
        <v>1000</v>
      </c>
      <c r="H30" s="1737">
        <v>1347</v>
      </c>
      <c r="I30" s="1905"/>
      <c r="J30" s="1946"/>
      <c r="K30" s="1953"/>
      <c r="L30" s="1951">
        <f t="shared" si="0"/>
        <v>0</v>
      </c>
    </row>
    <row r="31" spans="1:12" s="919" customFormat="1" ht="44.25" customHeight="1" x14ac:dyDescent="0.3">
      <c r="A31" s="2041">
        <v>22</v>
      </c>
      <c r="B31" s="913"/>
      <c r="C31" s="926">
        <v>1</v>
      </c>
      <c r="D31" s="925" t="s">
        <v>1168</v>
      </c>
      <c r="E31" s="915"/>
      <c r="F31" s="962"/>
      <c r="G31" s="963"/>
      <c r="H31" s="1738"/>
      <c r="I31" s="1906"/>
      <c r="J31" s="1946"/>
      <c r="K31" s="1954">
        <v>1170</v>
      </c>
      <c r="L31" s="1951">
        <f t="shared" si="0"/>
        <v>1170</v>
      </c>
    </row>
    <row r="32" spans="1:12" s="919" customFormat="1" ht="18" customHeight="1" x14ac:dyDescent="0.3">
      <c r="A32" s="912">
        <v>23</v>
      </c>
      <c r="B32" s="913"/>
      <c r="C32" s="923" t="s">
        <v>471</v>
      </c>
      <c r="D32" s="925"/>
      <c r="E32" s="915"/>
      <c r="F32" s="962">
        <v>2560</v>
      </c>
      <c r="G32" s="963">
        <v>900</v>
      </c>
      <c r="H32" s="1738">
        <v>2216</v>
      </c>
      <c r="I32" s="1906"/>
      <c r="J32" s="1946"/>
      <c r="K32" s="1954"/>
      <c r="L32" s="1951">
        <f t="shared" si="0"/>
        <v>0</v>
      </c>
    </row>
    <row r="33" spans="1:12" s="919" customFormat="1" ht="18" customHeight="1" x14ac:dyDescent="0.3">
      <c r="A33" s="901">
        <v>24</v>
      </c>
      <c r="B33" s="913"/>
      <c r="C33" s="918">
        <v>2</v>
      </c>
      <c r="D33" s="925" t="s">
        <v>474</v>
      </c>
      <c r="E33" s="915"/>
      <c r="F33" s="962"/>
      <c r="G33" s="963"/>
      <c r="H33" s="1738"/>
      <c r="I33" s="1906"/>
      <c r="J33" s="1946"/>
      <c r="K33" s="1954"/>
      <c r="L33" s="1951">
        <f t="shared" si="0"/>
        <v>0</v>
      </c>
    </row>
    <row r="34" spans="1:12" s="917" customFormat="1" ht="22.5" customHeight="1" x14ac:dyDescent="0.3">
      <c r="A34" s="911">
        <v>25</v>
      </c>
      <c r="B34" s="913">
        <v>5</v>
      </c>
      <c r="C34" s="922" t="s">
        <v>269</v>
      </c>
      <c r="D34" s="916"/>
      <c r="E34" s="915" t="s">
        <v>23</v>
      </c>
      <c r="F34" s="966">
        <v>4964</v>
      </c>
      <c r="G34" s="961">
        <v>2400</v>
      </c>
      <c r="H34" s="1737">
        <v>6273</v>
      </c>
      <c r="I34" s="1905"/>
      <c r="J34" s="1946"/>
      <c r="K34" s="1953"/>
      <c r="L34" s="1951">
        <f t="shared" si="0"/>
        <v>0</v>
      </c>
    </row>
    <row r="35" spans="1:12" s="919" customFormat="1" ht="18" customHeight="1" x14ac:dyDescent="0.3">
      <c r="A35" s="912">
        <v>26</v>
      </c>
      <c r="B35" s="913"/>
      <c r="C35" s="918">
        <v>1</v>
      </c>
      <c r="D35" s="925" t="s">
        <v>1223</v>
      </c>
      <c r="E35" s="915"/>
      <c r="F35" s="962"/>
      <c r="G35" s="963"/>
      <c r="H35" s="1738"/>
      <c r="I35" s="1906"/>
      <c r="J35" s="1946">
        <v>200</v>
      </c>
      <c r="K35" s="1954"/>
      <c r="L35" s="1951">
        <f t="shared" si="0"/>
        <v>200</v>
      </c>
    </row>
    <row r="36" spans="1:12" s="919" customFormat="1" ht="18" customHeight="1" x14ac:dyDescent="0.3">
      <c r="A36" s="901">
        <v>27</v>
      </c>
      <c r="B36" s="913"/>
      <c r="C36" s="923" t="s">
        <v>472</v>
      </c>
      <c r="D36" s="925"/>
      <c r="E36" s="915"/>
      <c r="F36" s="962">
        <v>4686</v>
      </c>
      <c r="G36" s="963">
        <v>2900</v>
      </c>
      <c r="H36" s="1738">
        <v>6233</v>
      </c>
      <c r="I36" s="1906"/>
      <c r="J36" s="1946"/>
      <c r="K36" s="1954"/>
      <c r="L36" s="1951">
        <f t="shared" si="0"/>
        <v>0</v>
      </c>
    </row>
    <row r="37" spans="1:12" s="919" customFormat="1" ht="18" customHeight="1" x14ac:dyDescent="0.3">
      <c r="A37" s="911">
        <v>28</v>
      </c>
      <c r="B37" s="913"/>
      <c r="C37" s="918">
        <v>2</v>
      </c>
      <c r="D37" s="925" t="s">
        <v>1223</v>
      </c>
      <c r="E37" s="915"/>
      <c r="F37" s="962"/>
      <c r="G37" s="963"/>
      <c r="H37" s="1738"/>
      <c r="I37" s="1906"/>
      <c r="J37" s="1946">
        <v>200</v>
      </c>
      <c r="K37" s="1954"/>
      <c r="L37" s="1951">
        <f t="shared" si="0"/>
        <v>200</v>
      </c>
    </row>
    <row r="38" spans="1:12" s="917" customFormat="1" ht="22.5" customHeight="1" x14ac:dyDescent="0.3">
      <c r="A38" s="912">
        <v>29</v>
      </c>
      <c r="B38" s="913">
        <v>6</v>
      </c>
      <c r="C38" s="922" t="s">
        <v>270</v>
      </c>
      <c r="D38" s="916"/>
      <c r="E38" s="915" t="s">
        <v>23</v>
      </c>
      <c r="F38" s="966">
        <v>527</v>
      </c>
      <c r="G38" s="961">
        <v>500</v>
      </c>
      <c r="H38" s="1737">
        <v>6174</v>
      </c>
      <c r="I38" s="1905"/>
      <c r="J38" s="1946"/>
      <c r="K38" s="1953"/>
      <c r="L38" s="1951">
        <f t="shared" si="0"/>
        <v>0</v>
      </c>
    </row>
    <row r="39" spans="1:12" s="919" customFormat="1" ht="74.25" customHeight="1" x14ac:dyDescent="0.3">
      <c r="A39" s="902">
        <v>30</v>
      </c>
      <c r="B39" s="913"/>
      <c r="C39" s="926">
        <v>1</v>
      </c>
      <c r="D39" s="925" t="s">
        <v>1174</v>
      </c>
      <c r="E39" s="915"/>
      <c r="F39" s="962"/>
      <c r="G39" s="963"/>
      <c r="H39" s="1738"/>
      <c r="I39" s="1906"/>
      <c r="J39" s="1946">
        <v>1460</v>
      </c>
      <c r="K39" s="1954">
        <v>165</v>
      </c>
      <c r="L39" s="1951">
        <f t="shared" si="0"/>
        <v>1625</v>
      </c>
    </row>
    <row r="40" spans="1:12" s="919" customFormat="1" ht="20.100000000000001" customHeight="1" x14ac:dyDescent="0.3">
      <c r="A40" s="911">
        <v>31</v>
      </c>
      <c r="B40" s="913"/>
      <c r="C40" s="918">
        <v>2</v>
      </c>
      <c r="D40" s="925" t="s">
        <v>1118</v>
      </c>
      <c r="E40" s="915"/>
      <c r="F40" s="962"/>
      <c r="G40" s="963"/>
      <c r="H40" s="1738"/>
      <c r="I40" s="1906"/>
      <c r="J40" s="1946">
        <v>200</v>
      </c>
      <c r="K40" s="1954">
        <v>300</v>
      </c>
      <c r="L40" s="1951">
        <f t="shared" si="0"/>
        <v>500</v>
      </c>
    </row>
    <row r="41" spans="1:12" s="919" customFormat="1" ht="18" customHeight="1" x14ac:dyDescent="0.3">
      <c r="A41" s="912">
        <v>32</v>
      </c>
      <c r="B41" s="913"/>
      <c r="C41" s="923" t="s">
        <v>473</v>
      </c>
      <c r="D41" s="925"/>
      <c r="E41" s="915"/>
      <c r="F41" s="962">
        <v>15</v>
      </c>
      <c r="G41" s="963">
        <v>600</v>
      </c>
      <c r="H41" s="1738">
        <v>324</v>
      </c>
      <c r="I41" s="1906"/>
      <c r="J41" s="1946"/>
      <c r="K41" s="1954"/>
      <c r="L41" s="1951">
        <f t="shared" si="0"/>
        <v>0</v>
      </c>
    </row>
    <row r="42" spans="1:12" s="919" customFormat="1" ht="29.25" customHeight="1" x14ac:dyDescent="0.3">
      <c r="A42" s="902">
        <v>33</v>
      </c>
      <c r="B42" s="913"/>
      <c r="C42" s="926">
        <v>3</v>
      </c>
      <c r="D42" s="925" t="s">
        <v>1175</v>
      </c>
      <c r="E42" s="915"/>
      <c r="F42" s="962"/>
      <c r="G42" s="963"/>
      <c r="H42" s="1738"/>
      <c r="I42" s="1906"/>
      <c r="J42" s="1946">
        <v>401</v>
      </c>
      <c r="K42" s="1954">
        <v>145</v>
      </c>
      <c r="L42" s="1951">
        <f t="shared" si="0"/>
        <v>546</v>
      </c>
    </row>
    <row r="43" spans="1:12" s="917" customFormat="1" ht="22.5" customHeight="1" x14ac:dyDescent="0.3">
      <c r="A43" s="911">
        <v>34</v>
      </c>
      <c r="B43" s="913">
        <v>7</v>
      </c>
      <c r="C43" s="914" t="s">
        <v>389</v>
      </c>
      <c r="D43" s="916"/>
      <c r="E43" s="915" t="s">
        <v>23</v>
      </c>
      <c r="F43" s="960"/>
      <c r="G43" s="961"/>
      <c r="H43" s="1739"/>
      <c r="I43" s="1907"/>
      <c r="J43" s="1945"/>
      <c r="K43" s="1953"/>
      <c r="L43" s="1950"/>
    </row>
    <row r="44" spans="1:12" s="919" customFormat="1" ht="18" customHeight="1" x14ac:dyDescent="0.3">
      <c r="A44" s="912">
        <v>35</v>
      </c>
      <c r="B44" s="913"/>
      <c r="C44" s="923" t="s">
        <v>551</v>
      </c>
      <c r="D44" s="924"/>
      <c r="E44" s="915"/>
      <c r="F44" s="962">
        <v>1083</v>
      </c>
      <c r="G44" s="963">
        <v>300</v>
      </c>
      <c r="H44" s="1738">
        <v>1129</v>
      </c>
      <c r="I44" s="1906"/>
      <c r="J44" s="1946"/>
      <c r="K44" s="1954"/>
      <c r="L44" s="1951"/>
    </row>
    <row r="45" spans="1:12" s="919" customFormat="1" ht="18" customHeight="1" x14ac:dyDescent="0.3">
      <c r="A45" s="901">
        <v>36</v>
      </c>
      <c r="B45" s="913"/>
      <c r="C45" s="918">
        <v>1</v>
      </c>
      <c r="D45" s="925" t="s">
        <v>1193</v>
      </c>
      <c r="E45" s="915"/>
      <c r="F45" s="962"/>
      <c r="G45" s="963"/>
      <c r="H45" s="1738"/>
      <c r="I45" s="1906">
        <v>120</v>
      </c>
      <c r="J45" s="1946">
        <v>120</v>
      </c>
      <c r="K45" s="1954">
        <v>30</v>
      </c>
      <c r="L45" s="1951">
        <f t="shared" ref="L45:L46" si="1">SUM(J45:K45)</f>
        <v>150</v>
      </c>
    </row>
    <row r="46" spans="1:12" s="919" customFormat="1" ht="18" customHeight="1" x14ac:dyDescent="0.3">
      <c r="A46" s="911">
        <v>37</v>
      </c>
      <c r="B46" s="913"/>
      <c r="C46" s="918">
        <v>2</v>
      </c>
      <c r="D46" s="925" t="s">
        <v>805</v>
      </c>
      <c r="E46" s="915"/>
      <c r="F46" s="962"/>
      <c r="G46" s="963"/>
      <c r="H46" s="1738"/>
      <c r="I46" s="1906">
        <v>300</v>
      </c>
      <c r="J46" s="1946">
        <v>300</v>
      </c>
      <c r="K46" s="1954"/>
      <c r="L46" s="1951">
        <f t="shared" si="1"/>
        <v>300</v>
      </c>
    </row>
    <row r="47" spans="1:12" s="919" customFormat="1" ht="18" customHeight="1" x14ac:dyDescent="0.3">
      <c r="A47" s="912">
        <v>38</v>
      </c>
      <c r="B47" s="913"/>
      <c r="C47" s="923" t="s">
        <v>475</v>
      </c>
      <c r="D47" s="924"/>
      <c r="E47" s="915"/>
      <c r="F47" s="962">
        <v>1293</v>
      </c>
      <c r="G47" s="963">
        <v>320</v>
      </c>
      <c r="H47" s="1738">
        <v>1450</v>
      </c>
      <c r="I47" s="1906"/>
      <c r="J47" s="1946"/>
      <c r="K47" s="1954"/>
      <c r="L47" s="1951"/>
    </row>
    <row r="48" spans="1:12" s="919" customFormat="1" ht="18" customHeight="1" x14ac:dyDescent="0.3">
      <c r="A48" s="901">
        <v>39</v>
      </c>
      <c r="B48" s="913"/>
      <c r="C48" s="918">
        <v>3</v>
      </c>
      <c r="D48" s="925" t="s">
        <v>1194</v>
      </c>
      <c r="E48" s="915"/>
      <c r="F48" s="962"/>
      <c r="G48" s="963"/>
      <c r="H48" s="1738"/>
      <c r="I48" s="1906">
        <v>190</v>
      </c>
      <c r="J48" s="1946">
        <v>190</v>
      </c>
      <c r="K48" s="1954">
        <v>70</v>
      </c>
      <c r="L48" s="1951">
        <f>SUM(J48:K48)</f>
        <v>260</v>
      </c>
    </row>
    <row r="49" spans="1:12" s="919" customFormat="1" ht="18" customHeight="1" x14ac:dyDescent="0.3">
      <c r="A49" s="911">
        <v>40</v>
      </c>
      <c r="B49" s="913"/>
      <c r="C49" s="923" t="s">
        <v>476</v>
      </c>
      <c r="D49" s="924"/>
      <c r="E49" s="915"/>
      <c r="F49" s="962">
        <v>2601</v>
      </c>
      <c r="G49" s="963">
        <v>1300</v>
      </c>
      <c r="H49" s="1738">
        <v>2493</v>
      </c>
      <c r="I49" s="1906"/>
      <c r="J49" s="1946"/>
      <c r="K49" s="1954"/>
      <c r="L49" s="1951"/>
    </row>
    <row r="50" spans="1:12" s="919" customFormat="1" ht="18" customHeight="1" x14ac:dyDescent="0.3">
      <c r="A50" s="912">
        <v>41</v>
      </c>
      <c r="B50" s="913"/>
      <c r="C50" s="918">
        <v>4</v>
      </c>
      <c r="D50" s="925" t="s">
        <v>1195</v>
      </c>
      <c r="E50" s="915"/>
      <c r="F50" s="962"/>
      <c r="G50" s="963"/>
      <c r="H50" s="1738"/>
      <c r="I50" s="1906">
        <v>260</v>
      </c>
      <c r="J50" s="1946">
        <v>260</v>
      </c>
      <c r="K50" s="1954">
        <v>100</v>
      </c>
      <c r="L50" s="1951">
        <f>SUM(J50:K50)</f>
        <v>360</v>
      </c>
    </row>
    <row r="51" spans="1:12" s="919" customFormat="1" ht="18" customHeight="1" x14ac:dyDescent="0.3">
      <c r="A51" s="901">
        <v>42</v>
      </c>
      <c r="B51" s="913"/>
      <c r="C51" s="923" t="s">
        <v>478</v>
      </c>
      <c r="D51" s="925"/>
      <c r="E51" s="915"/>
      <c r="F51" s="962">
        <v>2227</v>
      </c>
      <c r="G51" s="963">
        <v>1500</v>
      </c>
      <c r="H51" s="1738">
        <v>3057</v>
      </c>
      <c r="I51" s="1906"/>
      <c r="J51" s="1946"/>
      <c r="K51" s="1954"/>
      <c r="L51" s="1951"/>
    </row>
    <row r="52" spans="1:12" s="919" customFormat="1" ht="29.25" customHeight="1" x14ac:dyDescent="0.3">
      <c r="A52" s="2041">
        <v>43</v>
      </c>
      <c r="B52" s="913"/>
      <c r="C52" s="926">
        <v>5</v>
      </c>
      <c r="D52" s="925" t="s">
        <v>1196</v>
      </c>
      <c r="E52" s="915"/>
      <c r="F52" s="962"/>
      <c r="G52" s="963"/>
      <c r="H52" s="1738"/>
      <c r="I52" s="1906">
        <v>340</v>
      </c>
      <c r="J52" s="1946">
        <v>340</v>
      </c>
      <c r="K52" s="1954">
        <v>80</v>
      </c>
      <c r="L52" s="1951">
        <f>SUM(J52:K52)</f>
        <v>420</v>
      </c>
    </row>
    <row r="53" spans="1:12" s="919" customFormat="1" ht="18" customHeight="1" x14ac:dyDescent="0.3">
      <c r="A53" s="912">
        <v>44</v>
      </c>
      <c r="B53" s="913"/>
      <c r="C53" s="923" t="s">
        <v>477</v>
      </c>
      <c r="D53" s="924"/>
      <c r="E53" s="915"/>
      <c r="F53" s="962">
        <v>1803</v>
      </c>
      <c r="G53" s="963">
        <v>800</v>
      </c>
      <c r="H53" s="1738">
        <v>1244</v>
      </c>
      <c r="I53" s="1906"/>
      <c r="J53" s="1946"/>
      <c r="K53" s="1954"/>
      <c r="L53" s="1951"/>
    </row>
    <row r="54" spans="1:12" s="919" customFormat="1" ht="18" customHeight="1" x14ac:dyDescent="0.3">
      <c r="A54" s="901">
        <v>45</v>
      </c>
      <c r="B54" s="913"/>
      <c r="C54" s="918">
        <v>6</v>
      </c>
      <c r="D54" s="925" t="s">
        <v>1197</v>
      </c>
      <c r="E54" s="915"/>
      <c r="F54" s="962"/>
      <c r="G54" s="963"/>
      <c r="H54" s="1738"/>
      <c r="I54" s="1906">
        <v>220</v>
      </c>
      <c r="J54" s="1946">
        <v>220</v>
      </c>
      <c r="K54" s="1954">
        <v>70</v>
      </c>
      <c r="L54" s="1951">
        <f>SUM(J54:K54)</f>
        <v>290</v>
      </c>
    </row>
    <row r="55" spans="1:12" s="919" customFormat="1" ht="18" customHeight="1" x14ac:dyDescent="0.3">
      <c r="A55" s="911">
        <v>46</v>
      </c>
      <c r="B55" s="913"/>
      <c r="C55" s="923" t="s">
        <v>806</v>
      </c>
      <c r="D55" s="924"/>
      <c r="E55" s="915"/>
      <c r="F55" s="962"/>
      <c r="G55" s="963"/>
      <c r="H55" s="1738">
        <v>193</v>
      </c>
      <c r="I55" s="1906"/>
      <c r="J55" s="1946"/>
      <c r="K55" s="1954"/>
      <c r="L55" s="1951"/>
    </row>
    <row r="56" spans="1:12" s="919" customFormat="1" ht="18" customHeight="1" x14ac:dyDescent="0.3">
      <c r="A56" s="912">
        <v>47</v>
      </c>
      <c r="B56" s="913"/>
      <c r="C56" s="923" t="s">
        <v>436</v>
      </c>
      <c r="D56" s="925"/>
      <c r="E56" s="915"/>
      <c r="F56" s="962">
        <v>5072</v>
      </c>
      <c r="G56" s="961">
        <v>2260</v>
      </c>
      <c r="H56" s="1737">
        <v>15436</v>
      </c>
      <c r="I56" s="1905"/>
      <c r="J56" s="1945"/>
      <c r="K56" s="1953"/>
      <c r="L56" s="1951"/>
    </row>
    <row r="57" spans="1:12" s="919" customFormat="1" ht="45.75" customHeight="1" x14ac:dyDescent="0.3">
      <c r="A57" s="902">
        <v>48</v>
      </c>
      <c r="B57" s="913"/>
      <c r="C57" s="1933">
        <v>7</v>
      </c>
      <c r="D57" s="973" t="s">
        <v>1048</v>
      </c>
      <c r="E57" s="915"/>
      <c r="F57" s="962"/>
      <c r="G57" s="961"/>
      <c r="H57" s="1737"/>
      <c r="I57" s="1905"/>
      <c r="J57" s="1946">
        <v>1000</v>
      </c>
      <c r="K57" s="1955"/>
      <c r="L57" s="1951">
        <f t="shared" ref="L57" si="2">SUM(J57:K57)</f>
        <v>1000</v>
      </c>
    </row>
    <row r="58" spans="1:12" s="919" customFormat="1" ht="18" customHeight="1" x14ac:dyDescent="0.3">
      <c r="A58" s="911">
        <v>49</v>
      </c>
      <c r="B58" s="913"/>
      <c r="C58" s="1058" t="s">
        <v>807</v>
      </c>
      <c r="D58" s="925"/>
      <c r="E58" s="915"/>
      <c r="F58" s="962"/>
      <c r="G58" s="961"/>
      <c r="H58" s="1737"/>
      <c r="I58" s="1905"/>
      <c r="J58" s="1945"/>
      <c r="K58" s="1953"/>
      <c r="L58" s="1950"/>
    </row>
    <row r="59" spans="1:12" s="919" customFormat="1" ht="18" customHeight="1" x14ac:dyDescent="0.3">
      <c r="A59" s="912">
        <v>50</v>
      </c>
      <c r="B59" s="913"/>
      <c r="C59" s="918">
        <v>8</v>
      </c>
      <c r="D59" s="925" t="s">
        <v>808</v>
      </c>
      <c r="E59" s="915"/>
      <c r="F59" s="962"/>
      <c r="G59" s="963"/>
      <c r="H59" s="1738"/>
      <c r="I59" s="1906">
        <v>200</v>
      </c>
      <c r="J59" s="1946">
        <v>200</v>
      </c>
      <c r="K59" s="1954"/>
      <c r="L59" s="1951">
        <f>SUM(J59:K59)</f>
        <v>200</v>
      </c>
    </row>
    <row r="60" spans="1:12" s="917" customFormat="1" ht="22.5" customHeight="1" x14ac:dyDescent="0.3">
      <c r="A60" s="901">
        <v>51</v>
      </c>
      <c r="B60" s="913">
        <v>8</v>
      </c>
      <c r="C60" s="922" t="s">
        <v>125</v>
      </c>
      <c r="D60" s="916"/>
      <c r="E60" s="915" t="s">
        <v>23</v>
      </c>
      <c r="F60" s="966">
        <v>905</v>
      </c>
      <c r="G60" s="961"/>
      <c r="H60" s="1737">
        <v>2004</v>
      </c>
      <c r="I60" s="1905"/>
      <c r="J60" s="1945"/>
      <c r="K60" s="1953"/>
      <c r="L60" s="1950"/>
    </row>
    <row r="61" spans="1:12" s="919" customFormat="1" ht="18" customHeight="1" x14ac:dyDescent="0.3">
      <c r="A61" s="911">
        <v>52</v>
      </c>
      <c r="B61" s="913"/>
      <c r="C61" s="918">
        <v>1</v>
      </c>
      <c r="D61" s="925" t="s">
        <v>990</v>
      </c>
      <c r="E61" s="915"/>
      <c r="F61" s="962"/>
      <c r="G61" s="963"/>
      <c r="H61" s="1738"/>
      <c r="I61" s="1906"/>
      <c r="J61" s="1946">
        <v>59</v>
      </c>
      <c r="K61" s="1954"/>
      <c r="L61" s="1951">
        <f t="shared" ref="L61:L62" si="3">SUM(J61:K61)</f>
        <v>59</v>
      </c>
    </row>
    <row r="62" spans="1:12" s="919" customFormat="1" ht="30.75" customHeight="1" x14ac:dyDescent="0.3">
      <c r="A62" s="2042">
        <v>53</v>
      </c>
      <c r="B62" s="913"/>
      <c r="C62" s="926">
        <v>2</v>
      </c>
      <c r="D62" s="973" t="s">
        <v>1189</v>
      </c>
      <c r="E62" s="915"/>
      <c r="F62" s="962"/>
      <c r="G62" s="963"/>
      <c r="H62" s="1738"/>
      <c r="I62" s="1906"/>
      <c r="J62" s="1946">
        <v>600</v>
      </c>
      <c r="K62" s="1954"/>
      <c r="L62" s="1951">
        <f t="shared" si="3"/>
        <v>600</v>
      </c>
    </row>
    <row r="63" spans="1:12" s="917" customFormat="1" ht="22.5" customHeight="1" x14ac:dyDescent="0.3">
      <c r="A63" s="901">
        <v>54</v>
      </c>
      <c r="B63" s="913">
        <v>9</v>
      </c>
      <c r="C63" s="922" t="s">
        <v>544</v>
      </c>
      <c r="D63" s="916"/>
      <c r="E63" s="915" t="s">
        <v>23</v>
      </c>
      <c r="F63" s="960"/>
      <c r="G63" s="961">
        <v>4385</v>
      </c>
      <c r="H63" s="1737">
        <v>5998</v>
      </c>
      <c r="I63" s="1905"/>
      <c r="J63" s="1945"/>
      <c r="K63" s="1953"/>
      <c r="L63" s="1950"/>
    </row>
    <row r="64" spans="1:12" s="919" customFormat="1" ht="59.25" customHeight="1" x14ac:dyDescent="0.3">
      <c r="A64" s="2041">
        <v>55</v>
      </c>
      <c r="B64" s="913"/>
      <c r="C64" s="926">
        <v>1</v>
      </c>
      <c r="D64" s="925" t="s">
        <v>1140</v>
      </c>
      <c r="E64" s="915"/>
      <c r="F64" s="962"/>
      <c r="G64" s="963"/>
      <c r="H64" s="1738"/>
      <c r="I64" s="1906">
        <v>500</v>
      </c>
      <c r="J64" s="1946">
        <v>500</v>
      </c>
      <c r="K64" s="1954"/>
      <c r="L64" s="1951">
        <f t="shared" ref="L64:L69" si="4">SUM(J64:K64)</f>
        <v>500</v>
      </c>
    </row>
    <row r="65" spans="1:12" s="919" customFormat="1" ht="60" customHeight="1" x14ac:dyDescent="0.3">
      <c r="A65" s="2042">
        <v>56</v>
      </c>
      <c r="B65" s="913"/>
      <c r="C65" s="926">
        <v>2</v>
      </c>
      <c r="D65" s="925" t="s">
        <v>1041</v>
      </c>
      <c r="E65" s="915"/>
      <c r="F65" s="962"/>
      <c r="G65" s="963"/>
      <c r="H65" s="1738"/>
      <c r="I65" s="1906">
        <v>300</v>
      </c>
      <c r="J65" s="1946">
        <v>300</v>
      </c>
      <c r="K65" s="1954"/>
      <c r="L65" s="1951">
        <f t="shared" si="4"/>
        <v>300</v>
      </c>
    </row>
    <row r="66" spans="1:12" s="919" customFormat="1" ht="60.75" customHeight="1" x14ac:dyDescent="0.3">
      <c r="A66" s="902">
        <v>57</v>
      </c>
      <c r="B66" s="913"/>
      <c r="C66" s="926">
        <v>3</v>
      </c>
      <c r="D66" s="925" t="s">
        <v>1064</v>
      </c>
      <c r="E66" s="915"/>
      <c r="F66" s="962"/>
      <c r="G66" s="963"/>
      <c r="H66" s="1738"/>
      <c r="I66" s="1906">
        <v>200</v>
      </c>
      <c r="J66" s="1946">
        <v>200</v>
      </c>
      <c r="K66" s="1954"/>
      <c r="L66" s="1951">
        <f t="shared" si="4"/>
        <v>200</v>
      </c>
    </row>
    <row r="67" spans="1:12" s="919" customFormat="1" ht="18" customHeight="1" x14ac:dyDescent="0.3">
      <c r="A67" s="911">
        <v>58</v>
      </c>
      <c r="B67" s="913"/>
      <c r="C67" s="918">
        <v>4</v>
      </c>
      <c r="D67" s="925" t="s">
        <v>1042</v>
      </c>
      <c r="E67" s="915"/>
      <c r="F67" s="962"/>
      <c r="G67" s="963"/>
      <c r="H67" s="1738"/>
      <c r="I67" s="1906">
        <v>150</v>
      </c>
      <c r="J67" s="1946">
        <v>150</v>
      </c>
      <c r="K67" s="1954"/>
      <c r="L67" s="1951">
        <f t="shared" si="4"/>
        <v>150</v>
      </c>
    </row>
    <row r="68" spans="1:12" s="919" customFormat="1" ht="18" customHeight="1" x14ac:dyDescent="0.3">
      <c r="A68" s="912">
        <v>59</v>
      </c>
      <c r="B68" s="913"/>
      <c r="C68" s="1696">
        <v>5</v>
      </c>
      <c r="D68" s="973" t="s">
        <v>1115</v>
      </c>
      <c r="E68" s="915"/>
      <c r="F68" s="962"/>
      <c r="G68" s="963"/>
      <c r="H68" s="1738"/>
      <c r="I68" s="1906"/>
      <c r="J68" s="1946">
        <v>1400</v>
      </c>
      <c r="K68" s="1954"/>
      <c r="L68" s="1951">
        <f t="shared" si="4"/>
        <v>1400</v>
      </c>
    </row>
    <row r="69" spans="1:12" s="919" customFormat="1" ht="28.5" customHeight="1" x14ac:dyDescent="0.3">
      <c r="A69" s="901">
        <v>60</v>
      </c>
      <c r="B69" s="913"/>
      <c r="C69" s="1934">
        <v>6</v>
      </c>
      <c r="D69" s="973" t="s">
        <v>1188</v>
      </c>
      <c r="E69" s="915"/>
      <c r="F69" s="962"/>
      <c r="G69" s="963"/>
      <c r="H69" s="1738"/>
      <c r="I69" s="1906"/>
      <c r="J69" s="1946"/>
      <c r="K69" s="1954">
        <v>700</v>
      </c>
      <c r="L69" s="1951">
        <f t="shared" si="4"/>
        <v>700</v>
      </c>
    </row>
    <row r="70" spans="1:12" s="917" customFormat="1" ht="22.5" customHeight="1" x14ac:dyDescent="0.3">
      <c r="A70" s="911">
        <v>61</v>
      </c>
      <c r="B70" s="913">
        <v>10</v>
      </c>
      <c r="C70" s="914" t="s">
        <v>546</v>
      </c>
      <c r="D70" s="916"/>
      <c r="E70" s="915" t="s">
        <v>23</v>
      </c>
      <c r="F70" s="966">
        <v>13964</v>
      </c>
      <c r="G70" s="961">
        <v>5000</v>
      </c>
      <c r="H70" s="1737">
        <v>4955</v>
      </c>
      <c r="I70" s="1905"/>
      <c r="J70" s="1945"/>
      <c r="K70" s="1953"/>
      <c r="L70" s="1950"/>
    </row>
    <row r="71" spans="1:12" s="919" customFormat="1" ht="18" hidden="1" customHeight="1" x14ac:dyDescent="0.3">
      <c r="A71" s="912">
        <v>62</v>
      </c>
      <c r="B71" s="913"/>
      <c r="C71" s="918">
        <v>1</v>
      </c>
      <c r="D71" s="925" t="s">
        <v>474</v>
      </c>
      <c r="E71" s="915"/>
      <c r="F71" s="962"/>
      <c r="G71" s="963"/>
      <c r="H71" s="1738"/>
      <c r="I71" s="1906"/>
      <c r="J71" s="1946"/>
      <c r="K71" s="1954"/>
      <c r="L71" s="1951"/>
    </row>
    <row r="72" spans="1:12" s="1063" customFormat="1" ht="30" customHeight="1" x14ac:dyDescent="0.2">
      <c r="A72" s="901">
        <v>63</v>
      </c>
      <c r="B72" s="1059"/>
      <c r="C72" s="926">
        <v>1</v>
      </c>
      <c r="D72" s="1060" t="s">
        <v>809</v>
      </c>
      <c r="E72" s="930"/>
      <c r="F72" s="1061"/>
      <c r="G72" s="1062"/>
      <c r="H72" s="1740"/>
      <c r="I72" s="1908">
        <v>4050</v>
      </c>
      <c r="J72" s="1946">
        <v>4050</v>
      </c>
      <c r="K72" s="1954"/>
      <c r="L72" s="1951">
        <f>SUM(J72:K72)</f>
        <v>4050</v>
      </c>
    </row>
    <row r="73" spans="1:12" s="1063" customFormat="1" ht="18" customHeight="1" x14ac:dyDescent="0.3">
      <c r="A73" s="911">
        <v>64</v>
      </c>
      <c r="B73" s="1059"/>
      <c r="C73" s="918">
        <v>2</v>
      </c>
      <c r="D73" s="973" t="s">
        <v>993</v>
      </c>
      <c r="E73" s="930"/>
      <c r="F73" s="1061"/>
      <c r="G73" s="1062"/>
      <c r="H73" s="1740"/>
      <c r="I73" s="1908"/>
      <c r="J73" s="1946">
        <v>1268</v>
      </c>
      <c r="K73" s="1954"/>
      <c r="L73" s="1951">
        <f>SUM(J73:K73)</f>
        <v>1268</v>
      </c>
    </row>
    <row r="74" spans="1:12" s="1063" customFormat="1" ht="18" customHeight="1" x14ac:dyDescent="0.3">
      <c r="A74" s="912">
        <v>65</v>
      </c>
      <c r="B74" s="1059"/>
      <c r="C74" s="918">
        <v>3</v>
      </c>
      <c r="D74" s="973" t="s">
        <v>994</v>
      </c>
      <c r="E74" s="930"/>
      <c r="F74" s="1061"/>
      <c r="G74" s="1062"/>
      <c r="H74" s="1740"/>
      <c r="I74" s="1908"/>
      <c r="J74" s="1946">
        <v>1000</v>
      </c>
      <c r="K74" s="1954"/>
      <c r="L74" s="1951">
        <f>SUM(J74:K74)</f>
        <v>1000</v>
      </c>
    </row>
    <row r="75" spans="1:12" s="917" customFormat="1" ht="22.5" customHeight="1" x14ac:dyDescent="0.3">
      <c r="A75" s="901">
        <v>66</v>
      </c>
      <c r="B75" s="913">
        <v>11</v>
      </c>
      <c r="C75" s="922" t="s">
        <v>528</v>
      </c>
      <c r="D75" s="916"/>
      <c r="E75" s="915" t="s">
        <v>23</v>
      </c>
      <c r="F75" s="966">
        <v>10145</v>
      </c>
      <c r="G75" s="961">
        <v>4400</v>
      </c>
      <c r="H75" s="1737">
        <v>8894</v>
      </c>
      <c r="I75" s="1905"/>
      <c r="J75" s="1945"/>
      <c r="K75" s="1953"/>
      <c r="L75" s="1950"/>
    </row>
    <row r="76" spans="1:12" s="919" customFormat="1" ht="18" customHeight="1" x14ac:dyDescent="0.3">
      <c r="A76" s="911">
        <v>67</v>
      </c>
      <c r="B76" s="913"/>
      <c r="C76" s="918">
        <v>1</v>
      </c>
      <c r="D76" s="925" t="s">
        <v>993</v>
      </c>
      <c r="E76" s="915"/>
      <c r="F76" s="962"/>
      <c r="G76" s="963"/>
      <c r="H76" s="1738"/>
      <c r="I76" s="1906"/>
      <c r="J76" s="1946">
        <v>794</v>
      </c>
      <c r="K76" s="1954"/>
      <c r="L76" s="1951">
        <f t="shared" ref="L76:L80" si="5">SUM(J76:K76)</f>
        <v>794</v>
      </c>
    </row>
    <row r="77" spans="1:12" s="919" customFormat="1" ht="18" customHeight="1" x14ac:dyDescent="0.3">
      <c r="A77" s="912">
        <v>68</v>
      </c>
      <c r="B77" s="913"/>
      <c r="C77" s="918">
        <v>2</v>
      </c>
      <c r="D77" s="973" t="s">
        <v>1046</v>
      </c>
      <c r="E77" s="915"/>
      <c r="F77" s="962"/>
      <c r="G77" s="963"/>
      <c r="H77" s="1738"/>
      <c r="I77" s="1906"/>
      <c r="J77" s="1946">
        <v>643</v>
      </c>
      <c r="K77" s="1954"/>
      <c r="L77" s="1951">
        <f t="shared" si="5"/>
        <v>643</v>
      </c>
    </row>
    <row r="78" spans="1:12" s="919" customFormat="1" ht="18" customHeight="1" x14ac:dyDescent="0.3">
      <c r="A78" s="901">
        <v>69</v>
      </c>
      <c r="B78" s="913"/>
      <c r="C78" s="918">
        <v>3</v>
      </c>
      <c r="D78" s="973" t="s">
        <v>1047</v>
      </c>
      <c r="E78" s="915"/>
      <c r="F78" s="962"/>
      <c r="G78" s="963"/>
      <c r="H78" s="1738"/>
      <c r="I78" s="1906"/>
      <c r="J78" s="1946">
        <v>345</v>
      </c>
      <c r="K78" s="1954"/>
      <c r="L78" s="1951">
        <f t="shared" si="5"/>
        <v>345</v>
      </c>
    </row>
    <row r="79" spans="1:12" s="919" customFormat="1" ht="18" customHeight="1" x14ac:dyDescent="0.3">
      <c r="A79" s="911">
        <v>70</v>
      </c>
      <c r="B79" s="913"/>
      <c r="C79" s="918">
        <v>4</v>
      </c>
      <c r="D79" s="973" t="s">
        <v>991</v>
      </c>
      <c r="E79" s="915"/>
      <c r="F79" s="962"/>
      <c r="G79" s="963"/>
      <c r="H79" s="1738"/>
      <c r="I79" s="1906"/>
      <c r="J79" s="1946">
        <v>173</v>
      </c>
      <c r="K79" s="1954"/>
      <c r="L79" s="1951">
        <f t="shared" si="5"/>
        <v>173</v>
      </c>
    </row>
    <row r="80" spans="1:12" s="919" customFormat="1" ht="18" customHeight="1" x14ac:dyDescent="0.3">
      <c r="A80" s="912">
        <v>71</v>
      </c>
      <c r="B80" s="913"/>
      <c r="C80" s="918">
        <v>5</v>
      </c>
      <c r="D80" s="973" t="s">
        <v>1124</v>
      </c>
      <c r="E80" s="915"/>
      <c r="F80" s="962"/>
      <c r="G80" s="963"/>
      <c r="H80" s="1738"/>
      <c r="I80" s="1906"/>
      <c r="J80" s="1946">
        <v>127</v>
      </c>
      <c r="K80" s="1954"/>
      <c r="L80" s="1951">
        <f t="shared" si="5"/>
        <v>127</v>
      </c>
    </row>
    <row r="81" spans="1:12" s="917" customFormat="1" ht="22.5" customHeight="1" x14ac:dyDescent="0.3">
      <c r="A81" s="901">
        <v>72</v>
      </c>
      <c r="B81" s="913">
        <v>12</v>
      </c>
      <c r="C81" s="922" t="s">
        <v>25</v>
      </c>
      <c r="D81" s="916"/>
      <c r="E81" s="915" t="s">
        <v>23</v>
      </c>
      <c r="F81" s="966">
        <v>7550</v>
      </c>
      <c r="G81" s="961">
        <v>2000</v>
      </c>
      <c r="H81" s="1737">
        <f>1106+1737+1848+92</f>
        <v>4783</v>
      </c>
      <c r="I81" s="1905"/>
      <c r="J81" s="1945"/>
      <c r="K81" s="1953"/>
      <c r="L81" s="1950"/>
    </row>
    <row r="82" spans="1:12" s="919" customFormat="1" ht="18" hidden="1" customHeight="1" x14ac:dyDescent="0.3">
      <c r="A82" s="911">
        <v>73</v>
      </c>
      <c r="B82" s="913"/>
      <c r="C82" s="918">
        <v>1</v>
      </c>
      <c r="D82" s="925" t="s">
        <v>474</v>
      </c>
      <c r="E82" s="915"/>
      <c r="F82" s="962"/>
      <c r="G82" s="963"/>
      <c r="H82" s="1738"/>
      <c r="I82" s="1906"/>
      <c r="J82" s="1946"/>
      <c r="K82" s="1954"/>
      <c r="L82" s="1951"/>
    </row>
    <row r="83" spans="1:12" s="919" customFormat="1" ht="30" x14ac:dyDescent="0.3">
      <c r="A83" s="2042">
        <v>74</v>
      </c>
      <c r="B83" s="913"/>
      <c r="C83" s="926">
        <v>1</v>
      </c>
      <c r="D83" s="925" t="s">
        <v>437</v>
      </c>
      <c r="E83" s="915"/>
      <c r="F83" s="962">
        <v>21775</v>
      </c>
      <c r="G83" s="963">
        <v>15000</v>
      </c>
      <c r="H83" s="1738">
        <v>20716</v>
      </c>
      <c r="I83" s="1906">
        <v>16000</v>
      </c>
      <c r="J83" s="1946">
        <v>56000</v>
      </c>
      <c r="K83" s="1954">
        <v>6000</v>
      </c>
      <c r="L83" s="1951">
        <f>SUM(J83:K83)</f>
        <v>62000</v>
      </c>
    </row>
    <row r="84" spans="1:12" s="919" customFormat="1" ht="30" x14ac:dyDescent="0.3">
      <c r="A84" s="902">
        <v>75</v>
      </c>
      <c r="B84" s="913"/>
      <c r="C84" s="926">
        <v>2</v>
      </c>
      <c r="D84" s="925" t="s">
        <v>809</v>
      </c>
      <c r="E84" s="915"/>
      <c r="F84" s="962"/>
      <c r="G84" s="963"/>
      <c r="H84" s="1738"/>
      <c r="I84" s="1906">
        <v>2400</v>
      </c>
      <c r="J84" s="1946">
        <v>2400</v>
      </c>
      <c r="K84" s="1954"/>
      <c r="L84" s="1951">
        <f>SUM(J84:K84)</f>
        <v>2400</v>
      </c>
    </row>
    <row r="85" spans="1:12" s="919" customFormat="1" ht="18" customHeight="1" x14ac:dyDescent="0.3">
      <c r="A85" s="911">
        <v>76</v>
      </c>
      <c r="B85" s="913"/>
      <c r="C85" s="918">
        <v>3</v>
      </c>
      <c r="D85" s="973" t="s">
        <v>992</v>
      </c>
      <c r="E85" s="915"/>
      <c r="F85" s="962"/>
      <c r="G85" s="963"/>
      <c r="H85" s="1738"/>
      <c r="I85" s="1906"/>
      <c r="J85" s="1946">
        <v>12633</v>
      </c>
      <c r="K85" s="1954">
        <v>2207</v>
      </c>
      <c r="L85" s="1951">
        <f>SUM(J85:K85)</f>
        <v>14840</v>
      </c>
    </row>
    <row r="86" spans="1:12" s="919" customFormat="1" ht="30" x14ac:dyDescent="0.3">
      <c r="A86" s="2042">
        <v>77</v>
      </c>
      <c r="B86" s="913"/>
      <c r="C86" s="926">
        <v>4</v>
      </c>
      <c r="D86" s="973" t="s">
        <v>1141</v>
      </c>
      <c r="E86" s="915"/>
      <c r="F86" s="962"/>
      <c r="G86" s="963"/>
      <c r="H86" s="1738"/>
      <c r="I86" s="1906"/>
      <c r="J86" s="1946">
        <v>935</v>
      </c>
      <c r="K86" s="1954">
        <v>299</v>
      </c>
      <c r="L86" s="1951">
        <f>SUM(J86:K86)</f>
        <v>1234</v>
      </c>
    </row>
    <row r="87" spans="1:12" s="919" customFormat="1" ht="18" customHeight="1" x14ac:dyDescent="0.3">
      <c r="A87" s="901">
        <v>78</v>
      </c>
      <c r="B87" s="913"/>
      <c r="C87" s="918">
        <v>5</v>
      </c>
      <c r="D87" s="973" t="s">
        <v>1203</v>
      </c>
      <c r="E87" s="915"/>
      <c r="F87" s="962"/>
      <c r="G87" s="963"/>
      <c r="H87" s="1738"/>
      <c r="I87" s="1906"/>
      <c r="J87" s="1946">
        <v>15</v>
      </c>
      <c r="K87" s="1954">
        <v>635</v>
      </c>
      <c r="L87" s="1951">
        <f t="shared" ref="L87:L88" si="6">SUM(J87:K87)</f>
        <v>650</v>
      </c>
    </row>
    <row r="88" spans="1:12" s="919" customFormat="1" ht="30" x14ac:dyDescent="0.3">
      <c r="A88" s="2041">
        <v>79</v>
      </c>
      <c r="B88" s="913"/>
      <c r="C88" s="926">
        <v>6</v>
      </c>
      <c r="D88" s="973" t="s">
        <v>1116</v>
      </c>
      <c r="E88" s="915"/>
      <c r="F88" s="962"/>
      <c r="G88" s="963"/>
      <c r="H88" s="1738"/>
      <c r="I88" s="1906"/>
      <c r="J88" s="1946">
        <v>420</v>
      </c>
      <c r="K88" s="1954">
        <v>110</v>
      </c>
      <c r="L88" s="1951">
        <f t="shared" si="6"/>
        <v>530</v>
      </c>
    </row>
    <row r="89" spans="1:12" s="917" customFormat="1" ht="22.5" customHeight="1" x14ac:dyDescent="0.3">
      <c r="A89" s="912">
        <v>80</v>
      </c>
      <c r="B89" s="913">
        <v>13</v>
      </c>
      <c r="C89" s="922" t="s">
        <v>34</v>
      </c>
      <c r="D89" s="916"/>
      <c r="E89" s="915" t="s">
        <v>23</v>
      </c>
      <c r="F89" s="966">
        <f>7372-1016</f>
        <v>6356</v>
      </c>
      <c r="G89" s="961">
        <v>25158</v>
      </c>
      <c r="H89" s="1737">
        <v>50840</v>
      </c>
      <c r="I89" s="1905"/>
      <c r="J89" s="1945"/>
      <c r="K89" s="1953"/>
      <c r="L89" s="1950"/>
    </row>
    <row r="90" spans="1:12" s="919" customFormat="1" ht="28.5" customHeight="1" x14ac:dyDescent="0.3">
      <c r="A90" s="902">
        <v>81</v>
      </c>
      <c r="B90" s="913"/>
      <c r="C90" s="926">
        <v>1</v>
      </c>
      <c r="D90" s="925" t="s">
        <v>995</v>
      </c>
      <c r="E90" s="915"/>
      <c r="F90" s="962"/>
      <c r="G90" s="963"/>
      <c r="H90" s="1738"/>
      <c r="I90" s="1906">
        <v>700</v>
      </c>
      <c r="J90" s="1946">
        <v>890</v>
      </c>
      <c r="K90" s="1954"/>
      <c r="L90" s="1951">
        <f t="shared" ref="L90:L99" si="7">SUM(J90:K90)</f>
        <v>890</v>
      </c>
    </row>
    <row r="91" spans="1:12" s="919" customFormat="1" ht="18" customHeight="1" x14ac:dyDescent="0.3">
      <c r="A91" s="911">
        <v>82</v>
      </c>
      <c r="B91" s="913"/>
      <c r="C91" s="918">
        <v>2</v>
      </c>
      <c r="D91" s="973" t="s">
        <v>810</v>
      </c>
      <c r="E91" s="915"/>
      <c r="F91" s="962"/>
      <c r="G91" s="963"/>
      <c r="H91" s="1738"/>
      <c r="I91" s="1906">
        <v>500</v>
      </c>
      <c r="J91" s="1946">
        <v>900</v>
      </c>
      <c r="K91" s="1954"/>
      <c r="L91" s="1951">
        <f t="shared" si="7"/>
        <v>900</v>
      </c>
    </row>
    <row r="92" spans="1:12" s="919" customFormat="1" ht="45" customHeight="1" x14ac:dyDescent="0.3">
      <c r="A92" s="2042">
        <v>83</v>
      </c>
      <c r="B92" s="913"/>
      <c r="C92" s="926">
        <v>3</v>
      </c>
      <c r="D92" s="974" t="s">
        <v>811</v>
      </c>
      <c r="E92" s="915"/>
      <c r="F92" s="962">
        <v>1016</v>
      </c>
      <c r="G92" s="963">
        <v>53846</v>
      </c>
      <c r="H92" s="1738">
        <v>54424</v>
      </c>
      <c r="I92" s="1906"/>
      <c r="J92" s="1946"/>
      <c r="K92" s="1954"/>
      <c r="L92" s="1951">
        <f t="shared" si="7"/>
        <v>0</v>
      </c>
    </row>
    <row r="93" spans="1:12" s="919" customFormat="1" ht="18" customHeight="1" x14ac:dyDescent="0.3">
      <c r="A93" s="901">
        <v>84</v>
      </c>
      <c r="B93" s="913"/>
      <c r="C93" s="918">
        <v>4</v>
      </c>
      <c r="D93" s="973" t="s">
        <v>1032</v>
      </c>
      <c r="E93" s="1698"/>
      <c r="F93" s="1699"/>
      <c r="G93" s="1455"/>
      <c r="H93" s="1739"/>
      <c r="I93" s="1907"/>
      <c r="J93" s="1947">
        <v>1000</v>
      </c>
      <c r="K93" s="1953"/>
      <c r="L93" s="1952">
        <f t="shared" si="7"/>
        <v>1000</v>
      </c>
    </row>
    <row r="94" spans="1:12" s="919" customFormat="1" ht="31.5" customHeight="1" x14ac:dyDescent="0.3">
      <c r="A94" s="2041">
        <v>85</v>
      </c>
      <c r="B94" s="913"/>
      <c r="C94" s="926">
        <v>5</v>
      </c>
      <c r="D94" s="973" t="s">
        <v>996</v>
      </c>
      <c r="E94" s="1698"/>
      <c r="F94" s="1699"/>
      <c r="G94" s="1455"/>
      <c r="H94" s="1739"/>
      <c r="I94" s="1907"/>
      <c r="J94" s="1947">
        <v>1804</v>
      </c>
      <c r="K94" s="1953"/>
      <c r="L94" s="1952">
        <f t="shared" si="7"/>
        <v>1804</v>
      </c>
    </row>
    <row r="95" spans="1:12" s="919" customFormat="1" ht="18" customHeight="1" x14ac:dyDescent="0.3">
      <c r="A95" s="912">
        <v>86</v>
      </c>
      <c r="B95" s="913"/>
      <c r="C95" s="918">
        <v>6</v>
      </c>
      <c r="D95" s="973" t="s">
        <v>1031</v>
      </c>
      <c r="E95" s="1698"/>
      <c r="F95" s="1699"/>
      <c r="G95" s="1455"/>
      <c r="H95" s="1739"/>
      <c r="I95" s="1907"/>
      <c r="J95" s="1947">
        <v>110</v>
      </c>
      <c r="K95" s="1953"/>
      <c r="L95" s="1952">
        <f t="shared" si="7"/>
        <v>110</v>
      </c>
    </row>
    <row r="96" spans="1:12" s="919" customFormat="1" ht="18" customHeight="1" x14ac:dyDescent="0.3">
      <c r="A96" s="901">
        <v>87</v>
      </c>
      <c r="B96" s="913"/>
      <c r="C96" s="918">
        <v>7</v>
      </c>
      <c r="D96" s="973" t="s">
        <v>1126</v>
      </c>
      <c r="E96" s="1698"/>
      <c r="F96" s="1699"/>
      <c r="G96" s="1455"/>
      <c r="H96" s="1739"/>
      <c r="I96" s="1907"/>
      <c r="J96" s="1947">
        <v>2500</v>
      </c>
      <c r="K96" s="1953"/>
      <c r="L96" s="1952">
        <f t="shared" si="7"/>
        <v>2500</v>
      </c>
    </row>
    <row r="97" spans="1:12" s="919" customFormat="1" ht="18" customHeight="1" x14ac:dyDescent="0.3">
      <c r="A97" s="911">
        <v>88</v>
      </c>
      <c r="B97" s="913"/>
      <c r="C97" s="918">
        <v>8</v>
      </c>
      <c r="D97" s="973" t="s">
        <v>1127</v>
      </c>
      <c r="E97" s="1698"/>
      <c r="F97" s="1699"/>
      <c r="G97" s="1455"/>
      <c r="H97" s="1739"/>
      <c r="I97" s="1907"/>
      <c r="J97" s="1947">
        <v>175</v>
      </c>
      <c r="K97" s="1953"/>
      <c r="L97" s="1952">
        <f t="shared" si="7"/>
        <v>175</v>
      </c>
    </row>
    <row r="98" spans="1:12" s="919" customFormat="1" ht="18" customHeight="1" x14ac:dyDescent="0.3">
      <c r="A98" s="912">
        <v>89</v>
      </c>
      <c r="B98" s="913"/>
      <c r="C98" s="918">
        <v>9</v>
      </c>
      <c r="D98" s="973" t="s">
        <v>1128</v>
      </c>
      <c r="E98" s="1698"/>
      <c r="F98" s="1699"/>
      <c r="G98" s="1455"/>
      <c r="H98" s="1739"/>
      <c r="I98" s="1907"/>
      <c r="J98" s="1947">
        <v>600</v>
      </c>
      <c r="K98" s="1953"/>
      <c r="L98" s="1952">
        <f t="shared" si="7"/>
        <v>600</v>
      </c>
    </row>
    <row r="99" spans="1:12" s="919" customFormat="1" ht="18" customHeight="1" x14ac:dyDescent="0.3">
      <c r="A99" s="901">
        <v>90</v>
      </c>
      <c r="B99" s="913"/>
      <c r="C99" s="918">
        <v>10</v>
      </c>
      <c r="D99" s="973" t="s">
        <v>1130</v>
      </c>
      <c r="E99" s="1698"/>
      <c r="F99" s="1699"/>
      <c r="G99" s="1455"/>
      <c r="H99" s="1739"/>
      <c r="I99" s="1907"/>
      <c r="J99" s="1947">
        <v>300</v>
      </c>
      <c r="K99" s="1953"/>
      <c r="L99" s="1952">
        <f t="shared" si="7"/>
        <v>300</v>
      </c>
    </row>
    <row r="100" spans="1:12" s="917" customFormat="1" ht="22.5" customHeight="1" x14ac:dyDescent="0.3">
      <c r="A100" s="911">
        <v>91</v>
      </c>
      <c r="B100" s="913">
        <v>14</v>
      </c>
      <c r="C100" s="922" t="s">
        <v>529</v>
      </c>
      <c r="D100" s="916"/>
      <c r="E100" s="915" t="s">
        <v>24</v>
      </c>
      <c r="F100" s="966">
        <v>6210</v>
      </c>
      <c r="G100" s="961">
        <v>4000</v>
      </c>
      <c r="H100" s="1737">
        <v>2197</v>
      </c>
      <c r="I100" s="1905"/>
      <c r="J100" s="1945"/>
      <c r="K100" s="1953"/>
      <c r="L100" s="1950"/>
    </row>
    <row r="101" spans="1:12" s="919" customFormat="1" ht="30" x14ac:dyDescent="0.3">
      <c r="A101" s="2042">
        <v>92</v>
      </c>
      <c r="B101" s="913"/>
      <c r="C101" s="926">
        <v>1</v>
      </c>
      <c r="D101" s="973" t="s">
        <v>812</v>
      </c>
      <c r="E101" s="915"/>
      <c r="F101" s="962">
        <v>597</v>
      </c>
      <c r="G101" s="963">
        <v>1879</v>
      </c>
      <c r="H101" s="1738">
        <v>835</v>
      </c>
      <c r="I101" s="1906">
        <v>2831</v>
      </c>
      <c r="J101" s="1946">
        <v>869</v>
      </c>
      <c r="K101" s="1954"/>
      <c r="L101" s="1951">
        <f>SUM(J101:K101)</f>
        <v>869</v>
      </c>
    </row>
    <row r="102" spans="1:12" s="919" customFormat="1" ht="45" x14ac:dyDescent="0.3">
      <c r="A102" s="902">
        <v>93</v>
      </c>
      <c r="B102" s="913"/>
      <c r="C102" s="926">
        <v>2</v>
      </c>
      <c r="D102" s="973" t="s">
        <v>1142</v>
      </c>
      <c r="E102" s="915"/>
      <c r="F102" s="962"/>
      <c r="G102" s="963"/>
      <c r="H102" s="1738"/>
      <c r="I102" s="1906"/>
      <c r="J102" s="1946">
        <v>2847</v>
      </c>
      <c r="K102" s="1954"/>
      <c r="L102" s="1951">
        <f>SUM(J102:K102)</f>
        <v>2847</v>
      </c>
    </row>
    <row r="103" spans="1:12" s="919" customFormat="1" ht="18" customHeight="1" x14ac:dyDescent="0.3">
      <c r="A103" s="911">
        <v>94</v>
      </c>
      <c r="B103" s="913"/>
      <c r="C103" s="918">
        <v>3</v>
      </c>
      <c r="D103" s="973" t="s">
        <v>1121</v>
      </c>
      <c r="E103" s="915"/>
      <c r="F103" s="962"/>
      <c r="G103" s="963"/>
      <c r="H103" s="1738"/>
      <c r="I103" s="1906"/>
      <c r="J103" s="1946">
        <v>187</v>
      </c>
      <c r="K103" s="1954"/>
      <c r="L103" s="1951">
        <f t="shared" ref="L103:L105" si="8">SUM(J103:K103)</f>
        <v>187</v>
      </c>
    </row>
    <row r="104" spans="1:12" s="919" customFormat="1" ht="30" x14ac:dyDescent="0.3">
      <c r="A104" s="2042">
        <v>95</v>
      </c>
      <c r="B104" s="913"/>
      <c r="C104" s="926">
        <v>4</v>
      </c>
      <c r="D104" s="973" t="s">
        <v>1122</v>
      </c>
      <c r="E104" s="915"/>
      <c r="F104" s="962"/>
      <c r="G104" s="963"/>
      <c r="H104" s="1738"/>
      <c r="I104" s="1906"/>
      <c r="J104" s="1946">
        <v>27</v>
      </c>
      <c r="K104" s="1954"/>
      <c r="L104" s="1951">
        <f t="shared" si="8"/>
        <v>27</v>
      </c>
    </row>
    <row r="105" spans="1:12" s="919" customFormat="1" ht="18" customHeight="1" x14ac:dyDescent="0.3">
      <c r="A105" s="901">
        <v>96</v>
      </c>
      <c r="B105" s="913"/>
      <c r="C105" s="918">
        <v>5</v>
      </c>
      <c r="D105" s="973" t="s">
        <v>1123</v>
      </c>
      <c r="E105" s="915"/>
      <c r="F105" s="962"/>
      <c r="G105" s="963"/>
      <c r="H105" s="1738"/>
      <c r="I105" s="1906"/>
      <c r="J105" s="1946">
        <v>112</v>
      </c>
      <c r="K105" s="1954"/>
      <c r="L105" s="1951">
        <f t="shared" si="8"/>
        <v>112</v>
      </c>
    </row>
    <row r="106" spans="1:12" s="917" customFormat="1" ht="22.5" customHeight="1" x14ac:dyDescent="0.3">
      <c r="A106" s="911">
        <v>97</v>
      </c>
      <c r="B106" s="913">
        <v>15</v>
      </c>
      <c r="C106" s="922" t="s">
        <v>157</v>
      </c>
      <c r="D106" s="916"/>
      <c r="E106" s="915" t="s">
        <v>24</v>
      </c>
      <c r="F106" s="966">
        <v>12216</v>
      </c>
      <c r="G106" s="961">
        <v>1500</v>
      </c>
      <c r="H106" s="1737">
        <v>22457</v>
      </c>
      <c r="I106" s="1905"/>
      <c r="J106" s="1945"/>
      <c r="K106" s="1953"/>
      <c r="L106" s="1950"/>
    </row>
    <row r="107" spans="1:12" s="919" customFormat="1" ht="149.25" customHeight="1" x14ac:dyDescent="0.3">
      <c r="A107" s="2042">
        <v>98</v>
      </c>
      <c r="B107" s="913"/>
      <c r="C107" s="926">
        <v>1</v>
      </c>
      <c r="D107" s="925" t="s">
        <v>1239</v>
      </c>
      <c r="E107" s="915"/>
      <c r="F107" s="962"/>
      <c r="G107" s="963"/>
      <c r="H107" s="1738"/>
      <c r="I107" s="1906">
        <v>2000</v>
      </c>
      <c r="J107" s="1946">
        <v>5122</v>
      </c>
      <c r="K107" s="1954">
        <f>830+1067</f>
        <v>1897</v>
      </c>
      <c r="L107" s="1951">
        <f>SUM(J107:K107)</f>
        <v>7019</v>
      </c>
    </row>
    <row r="108" spans="1:12" s="919" customFormat="1" ht="30" x14ac:dyDescent="0.3">
      <c r="A108" s="902">
        <v>99</v>
      </c>
      <c r="B108" s="913"/>
      <c r="C108" s="1934">
        <v>2</v>
      </c>
      <c r="D108" s="973" t="s">
        <v>1062</v>
      </c>
      <c r="E108" s="915"/>
      <c r="F108" s="962"/>
      <c r="G108" s="963"/>
      <c r="H108" s="1738"/>
      <c r="I108" s="1906"/>
      <c r="J108" s="1946">
        <v>9961</v>
      </c>
      <c r="K108" s="1954"/>
      <c r="L108" s="1951">
        <f>SUM(J108:K108)</f>
        <v>9961</v>
      </c>
    </row>
    <row r="109" spans="1:12" s="919" customFormat="1" ht="18" customHeight="1" x14ac:dyDescent="0.3">
      <c r="A109" s="911">
        <v>100</v>
      </c>
      <c r="B109" s="913"/>
      <c r="C109" s="1696">
        <v>3</v>
      </c>
      <c r="D109" s="973" t="s">
        <v>1139</v>
      </c>
      <c r="E109" s="915"/>
      <c r="F109" s="962"/>
      <c r="G109" s="963"/>
      <c r="H109" s="1738"/>
      <c r="I109" s="1906"/>
      <c r="J109" s="1946">
        <v>6120</v>
      </c>
      <c r="K109" s="1954"/>
      <c r="L109" s="1951">
        <f>SUM(J109:K109)</f>
        <v>6120</v>
      </c>
    </row>
    <row r="110" spans="1:12" s="919" customFormat="1" ht="30" x14ac:dyDescent="0.3">
      <c r="A110" s="2042">
        <v>101</v>
      </c>
      <c r="B110" s="913"/>
      <c r="C110" s="1934">
        <v>4</v>
      </c>
      <c r="D110" s="973" t="s">
        <v>1238</v>
      </c>
      <c r="E110" s="915"/>
      <c r="F110" s="962"/>
      <c r="G110" s="963"/>
      <c r="H110" s="1738"/>
      <c r="I110" s="1906"/>
      <c r="J110" s="1946"/>
      <c r="K110" s="1954">
        <v>808</v>
      </c>
      <c r="L110" s="1951">
        <f t="shared" ref="L110:L114" si="9">SUM(J110:K110)</f>
        <v>808</v>
      </c>
    </row>
    <row r="111" spans="1:12" s="919" customFormat="1" ht="30" x14ac:dyDescent="0.3">
      <c r="A111" s="902">
        <v>102</v>
      </c>
      <c r="B111" s="913"/>
      <c r="C111" s="1934">
        <v>5</v>
      </c>
      <c r="D111" s="973" t="s">
        <v>1240</v>
      </c>
      <c r="E111" s="915"/>
      <c r="F111" s="962"/>
      <c r="G111" s="963"/>
      <c r="H111" s="1738"/>
      <c r="I111" s="1906"/>
      <c r="J111" s="1946"/>
      <c r="K111" s="1954">
        <f>50+650+117</f>
        <v>817</v>
      </c>
      <c r="L111" s="1951">
        <f t="shared" si="9"/>
        <v>817</v>
      </c>
    </row>
    <row r="112" spans="1:12" s="919" customFormat="1" ht="18" customHeight="1" x14ac:dyDescent="0.3">
      <c r="A112" s="911">
        <v>103</v>
      </c>
      <c r="B112" s="913"/>
      <c r="C112" s="1696">
        <v>6</v>
      </c>
      <c r="D112" s="973" t="s">
        <v>1241</v>
      </c>
      <c r="E112" s="915"/>
      <c r="F112" s="962"/>
      <c r="G112" s="963"/>
      <c r="H112" s="1738"/>
      <c r="I112" s="1906"/>
      <c r="J112" s="1946"/>
      <c r="K112" s="1954">
        <v>378</v>
      </c>
      <c r="L112" s="1951">
        <f t="shared" si="9"/>
        <v>378</v>
      </c>
    </row>
    <row r="113" spans="1:12" s="917" customFormat="1" ht="22.5" customHeight="1" x14ac:dyDescent="0.3">
      <c r="A113" s="2042">
        <v>104</v>
      </c>
      <c r="B113" s="913">
        <v>16</v>
      </c>
      <c r="C113" s="927" t="s">
        <v>271</v>
      </c>
      <c r="D113" s="916"/>
      <c r="E113" s="915" t="s">
        <v>23</v>
      </c>
      <c r="F113" s="966">
        <v>8876</v>
      </c>
      <c r="G113" s="961">
        <v>1000</v>
      </c>
      <c r="H113" s="1737">
        <v>9248</v>
      </c>
      <c r="I113" s="1905"/>
      <c r="J113" s="1945"/>
      <c r="K113" s="1953"/>
      <c r="L113" s="1950"/>
    </row>
    <row r="114" spans="1:12" s="917" customFormat="1" ht="18" customHeight="1" thickBot="1" x14ac:dyDescent="0.35">
      <c r="A114" s="902">
        <v>105</v>
      </c>
      <c r="B114" s="2022"/>
      <c r="C114" s="1696">
        <v>1</v>
      </c>
      <c r="D114" s="973" t="s">
        <v>1251</v>
      </c>
      <c r="E114" s="2023"/>
      <c r="F114" s="2024"/>
      <c r="G114" s="2025"/>
      <c r="H114" s="2026"/>
      <c r="I114" s="2027"/>
      <c r="J114" s="2028"/>
      <c r="K114" s="2029">
        <v>2000</v>
      </c>
      <c r="L114" s="1951">
        <f t="shared" si="9"/>
        <v>2000</v>
      </c>
    </row>
    <row r="115" spans="1:12" s="928" customFormat="1" ht="36" customHeight="1" thickTop="1" thickBot="1" x14ac:dyDescent="0.25">
      <c r="A115" s="2041">
        <v>106</v>
      </c>
      <c r="B115" s="2181" t="s">
        <v>670</v>
      </c>
      <c r="C115" s="2182"/>
      <c r="D115" s="2183"/>
      <c r="E115" s="967"/>
      <c r="F115" s="968">
        <f t="shared" ref="F115:L115" si="10">SUM(F11:F114)</f>
        <v>139842</v>
      </c>
      <c r="G115" s="969">
        <f t="shared" si="10"/>
        <v>141948</v>
      </c>
      <c r="H115" s="1741">
        <f t="shared" si="10"/>
        <v>253498</v>
      </c>
      <c r="I115" s="1909">
        <f t="shared" si="10"/>
        <v>32671</v>
      </c>
      <c r="J115" s="1897">
        <f t="shared" si="10"/>
        <v>136113</v>
      </c>
      <c r="K115" s="1956">
        <f t="shared" si="10"/>
        <v>19980</v>
      </c>
      <c r="L115" s="1456">
        <f t="shared" si="10"/>
        <v>156093</v>
      </c>
    </row>
    <row r="116" spans="1:12" s="917" customFormat="1" ht="22.5" customHeight="1" x14ac:dyDescent="0.3">
      <c r="A116" s="2042">
        <v>107</v>
      </c>
      <c r="B116" s="913">
        <v>17</v>
      </c>
      <c r="C116" s="929" t="s">
        <v>26</v>
      </c>
      <c r="D116" s="916"/>
      <c r="E116" s="915" t="s">
        <v>23</v>
      </c>
      <c r="F116" s="960"/>
      <c r="G116" s="961"/>
      <c r="H116" s="1737"/>
      <c r="I116" s="1905"/>
      <c r="J116" s="1945"/>
      <c r="K116" s="1953"/>
      <c r="L116" s="1950"/>
    </row>
    <row r="117" spans="1:12" s="919" customFormat="1" ht="18" customHeight="1" x14ac:dyDescent="0.3">
      <c r="A117" s="901">
        <v>108</v>
      </c>
      <c r="B117" s="913"/>
      <c r="C117" s="918">
        <v>1</v>
      </c>
      <c r="D117" s="925" t="s">
        <v>438</v>
      </c>
      <c r="E117" s="915"/>
      <c r="F117" s="962"/>
      <c r="G117" s="963">
        <v>889</v>
      </c>
      <c r="H117" s="1738"/>
      <c r="I117" s="1906">
        <v>889</v>
      </c>
      <c r="J117" s="1946">
        <v>889</v>
      </c>
      <c r="K117" s="1954"/>
      <c r="L117" s="1951">
        <f t="shared" ref="L117:L121" si="11">SUM(J117:K117)</f>
        <v>889</v>
      </c>
    </row>
    <row r="118" spans="1:12" s="919" customFormat="1" ht="30" x14ac:dyDescent="0.3">
      <c r="A118" s="2041">
        <v>109</v>
      </c>
      <c r="B118" s="913"/>
      <c r="C118" s="930">
        <v>2</v>
      </c>
      <c r="D118" s="925" t="s">
        <v>1131</v>
      </c>
      <c r="E118" s="915"/>
      <c r="F118" s="962">
        <v>2728</v>
      </c>
      <c r="G118" s="963">
        <v>3556</v>
      </c>
      <c r="H118" s="1738">
        <v>1718</v>
      </c>
      <c r="I118" s="1906">
        <v>6096</v>
      </c>
      <c r="J118" s="1946">
        <v>7594</v>
      </c>
      <c r="K118" s="1954"/>
      <c r="L118" s="1951">
        <f t="shared" si="11"/>
        <v>7594</v>
      </c>
    </row>
    <row r="119" spans="1:12" s="919" customFormat="1" ht="18" customHeight="1" x14ac:dyDescent="0.3">
      <c r="A119" s="912">
        <v>110</v>
      </c>
      <c r="B119" s="913"/>
      <c r="C119" s="915">
        <v>3</v>
      </c>
      <c r="D119" s="925" t="s">
        <v>35</v>
      </c>
      <c r="E119" s="915"/>
      <c r="F119" s="962">
        <v>12879</v>
      </c>
      <c r="G119" s="963">
        <v>18380</v>
      </c>
      <c r="H119" s="1738">
        <v>22105</v>
      </c>
      <c r="I119" s="1906">
        <v>18380</v>
      </c>
      <c r="J119" s="1946">
        <v>24074</v>
      </c>
      <c r="K119" s="1954"/>
      <c r="L119" s="1951">
        <f t="shared" si="11"/>
        <v>24074</v>
      </c>
    </row>
    <row r="120" spans="1:12" s="919" customFormat="1" ht="18" customHeight="1" x14ac:dyDescent="0.3">
      <c r="A120" s="901">
        <v>111</v>
      </c>
      <c r="B120" s="913"/>
      <c r="C120" s="915">
        <v>4</v>
      </c>
      <c r="D120" s="925" t="s">
        <v>813</v>
      </c>
      <c r="E120" s="915"/>
      <c r="F120" s="962"/>
      <c r="G120" s="963"/>
      <c r="H120" s="1738"/>
      <c r="I120" s="1906">
        <v>9000</v>
      </c>
      <c r="J120" s="1946">
        <v>0</v>
      </c>
      <c r="K120" s="1954"/>
      <c r="L120" s="1951">
        <f t="shared" si="11"/>
        <v>0</v>
      </c>
    </row>
    <row r="121" spans="1:12" s="919" customFormat="1" ht="18" customHeight="1" thickBot="1" x14ac:dyDescent="0.35">
      <c r="A121" s="911">
        <v>112</v>
      </c>
      <c r="B121" s="913"/>
      <c r="C121" s="915">
        <v>5</v>
      </c>
      <c r="D121" s="925" t="s">
        <v>1014</v>
      </c>
      <c r="E121" s="915"/>
      <c r="F121" s="962"/>
      <c r="G121" s="961"/>
      <c r="H121" s="1739"/>
      <c r="I121" s="1914"/>
      <c r="J121" s="1946">
        <v>30</v>
      </c>
      <c r="K121" s="1954"/>
      <c r="L121" s="1951">
        <f t="shared" si="11"/>
        <v>30</v>
      </c>
    </row>
    <row r="122" spans="1:12" s="928" customFormat="1" ht="36" customHeight="1" thickTop="1" thickBot="1" x14ac:dyDescent="0.25">
      <c r="A122" s="2042">
        <v>113</v>
      </c>
      <c r="B122" s="2181" t="s">
        <v>671</v>
      </c>
      <c r="C122" s="2182"/>
      <c r="D122" s="2183"/>
      <c r="E122" s="967"/>
      <c r="F122" s="968">
        <f>SUM(F116:F121)</f>
        <v>15607</v>
      </c>
      <c r="G122" s="969">
        <f t="shared" ref="G122:L122" si="12">SUM(G116:G121)</f>
        <v>22825</v>
      </c>
      <c r="H122" s="1741">
        <f>SUM(H116:H121)</f>
        <v>23823</v>
      </c>
      <c r="I122" s="1909">
        <f t="shared" ref="I122:J122" si="13">SUM(I116:I121)</f>
        <v>34365</v>
      </c>
      <c r="J122" s="1897">
        <f t="shared" si="13"/>
        <v>32587</v>
      </c>
      <c r="K122" s="1956">
        <f>SUM(K116:K121)</f>
        <v>0</v>
      </c>
      <c r="L122" s="1456">
        <f t="shared" si="12"/>
        <v>32587</v>
      </c>
    </row>
    <row r="123" spans="1:12" s="928" customFormat="1" ht="36" customHeight="1" thickBot="1" x14ac:dyDescent="0.25">
      <c r="A123" s="902">
        <v>114</v>
      </c>
      <c r="B123" s="2176" t="s">
        <v>1005</v>
      </c>
      <c r="C123" s="2177"/>
      <c r="D123" s="2178"/>
      <c r="E123" s="970"/>
      <c r="F123" s="971">
        <f t="shared" ref="F123:L123" si="14">SUM(F122,F115)</f>
        <v>155449</v>
      </c>
      <c r="G123" s="972">
        <f t="shared" si="14"/>
        <v>164773</v>
      </c>
      <c r="H123" s="1742">
        <f t="shared" si="14"/>
        <v>277321</v>
      </c>
      <c r="I123" s="1910">
        <f t="shared" si="14"/>
        <v>67036</v>
      </c>
      <c r="J123" s="1898">
        <f t="shared" si="14"/>
        <v>168700</v>
      </c>
      <c r="K123" s="1957">
        <f t="shared" si="14"/>
        <v>19980</v>
      </c>
      <c r="L123" s="1457">
        <f t="shared" si="14"/>
        <v>188680</v>
      </c>
    </row>
    <row r="124" spans="1:12" s="928" customFormat="1" ht="20.100000000000001" customHeight="1" x14ac:dyDescent="0.2">
      <c r="A124" s="911">
        <v>115</v>
      </c>
      <c r="B124" s="1732"/>
      <c r="C124" s="2175" t="s">
        <v>232</v>
      </c>
      <c r="D124" s="2175"/>
      <c r="E124" s="2175"/>
      <c r="F124" s="1721"/>
      <c r="G124" s="1722"/>
      <c r="H124" s="1900"/>
      <c r="I124" s="1911"/>
      <c r="J124" s="1725"/>
      <c r="K124" s="1958"/>
      <c r="L124" s="1733"/>
    </row>
    <row r="125" spans="1:12" s="928" customFormat="1" ht="30.75" customHeight="1" x14ac:dyDescent="0.3">
      <c r="A125" s="2042">
        <v>116</v>
      </c>
      <c r="B125" s="1829">
        <v>1</v>
      </c>
      <c r="C125" s="1896">
        <v>1</v>
      </c>
      <c r="D125" s="973" t="s">
        <v>1114</v>
      </c>
      <c r="E125" s="915" t="s">
        <v>23</v>
      </c>
      <c r="F125" s="1723"/>
      <c r="G125" s="1724"/>
      <c r="H125" s="1901"/>
      <c r="I125" s="1912"/>
      <c r="J125" s="1726">
        <v>208</v>
      </c>
      <c r="K125" s="1930">
        <v>-38</v>
      </c>
      <c r="L125" s="1734">
        <f>SUM(J125:K125)</f>
        <v>170</v>
      </c>
    </row>
    <row r="126" spans="1:12" s="928" customFormat="1" ht="35.25" customHeight="1" thickBot="1" x14ac:dyDescent="0.35">
      <c r="A126" s="902">
        <v>117</v>
      </c>
      <c r="B126" s="1829">
        <v>2</v>
      </c>
      <c r="C126" s="1896">
        <v>1</v>
      </c>
      <c r="D126" s="973" t="s">
        <v>1063</v>
      </c>
      <c r="E126" s="915" t="s">
        <v>23</v>
      </c>
      <c r="F126" s="1727"/>
      <c r="G126" s="1728"/>
      <c r="H126" s="1902"/>
      <c r="I126" s="1913"/>
      <c r="J126" s="1729">
        <v>2947</v>
      </c>
      <c r="K126" s="1931"/>
      <c r="L126" s="1735">
        <f>SUM(J126:K126)</f>
        <v>2947</v>
      </c>
    </row>
    <row r="127" spans="1:12" s="928" customFormat="1" ht="18" customHeight="1" thickBot="1" x14ac:dyDescent="0.25">
      <c r="A127" s="911">
        <v>118</v>
      </c>
      <c r="B127" s="2176" t="s">
        <v>1004</v>
      </c>
      <c r="C127" s="2177"/>
      <c r="D127" s="2178"/>
      <c r="E127" s="970"/>
      <c r="F127" s="971"/>
      <c r="G127" s="1730"/>
      <c r="H127" s="1742"/>
      <c r="I127" s="1910">
        <f>SUM(I125:I126)</f>
        <v>0</v>
      </c>
      <c r="J127" s="1731">
        <f>SUM(J125:J126)</f>
        <v>3155</v>
      </c>
      <c r="K127" s="1932">
        <f>SUM(K125:K126)</f>
        <v>-38</v>
      </c>
      <c r="L127" s="1736">
        <f>SUM(L125:L126)</f>
        <v>3117</v>
      </c>
    </row>
    <row r="128" spans="1:12" s="928" customFormat="1" ht="36" customHeight="1" thickBot="1" x14ac:dyDescent="0.25">
      <c r="A128" s="2042">
        <v>119</v>
      </c>
      <c r="B128" s="2176" t="s">
        <v>1003</v>
      </c>
      <c r="C128" s="2177"/>
      <c r="D128" s="2178"/>
      <c r="E128" s="970"/>
      <c r="F128" s="971">
        <f>F127+F123</f>
        <v>155449</v>
      </c>
      <c r="G128" s="971">
        <f t="shared" ref="G128:H128" si="15">G127+G123</f>
        <v>164773</v>
      </c>
      <c r="H128" s="1903">
        <f t="shared" si="15"/>
        <v>277321</v>
      </c>
      <c r="I128" s="1910">
        <f>I127+I123</f>
        <v>67036</v>
      </c>
      <c r="J128" s="1731">
        <f>J127+J123</f>
        <v>171855</v>
      </c>
      <c r="K128" s="1957">
        <f>K127+K123</f>
        <v>19942</v>
      </c>
      <c r="L128" s="1736">
        <f>L127+L123</f>
        <v>191797</v>
      </c>
    </row>
    <row r="129" spans="1:250" ht="18" customHeight="1" x14ac:dyDescent="0.3">
      <c r="B129" s="1458"/>
      <c r="C129" s="1459" t="s">
        <v>27</v>
      </c>
      <c r="D129" s="1458"/>
      <c r="E129" s="1460"/>
      <c r="F129" s="964"/>
      <c r="G129" s="965"/>
      <c r="H129" s="931"/>
      <c r="I129" s="931"/>
      <c r="J129" s="1948"/>
      <c r="K129" s="1959"/>
      <c r="L129" s="1948"/>
    </row>
    <row r="130" spans="1:250" s="932" customFormat="1" ht="18" customHeight="1" x14ac:dyDescent="0.3">
      <c r="A130" s="911"/>
      <c r="B130" s="1458" t="s">
        <v>28</v>
      </c>
      <c r="C130" s="1458"/>
      <c r="D130" s="1458"/>
      <c r="E130" s="1460"/>
      <c r="F130" s="1461"/>
      <c r="G130" s="965"/>
      <c r="H130" s="931"/>
      <c r="I130" s="931"/>
      <c r="J130" s="1948"/>
      <c r="K130" s="1959"/>
      <c r="L130" s="1948"/>
      <c r="M130" s="906"/>
      <c r="N130" s="906"/>
      <c r="O130" s="906"/>
      <c r="P130" s="906"/>
      <c r="Q130" s="906"/>
      <c r="R130" s="906"/>
      <c r="S130" s="906"/>
      <c r="T130" s="906"/>
      <c r="U130" s="906"/>
      <c r="V130" s="906"/>
      <c r="W130" s="906"/>
      <c r="X130" s="906"/>
      <c r="Y130" s="906"/>
      <c r="Z130" s="906"/>
      <c r="AA130" s="906"/>
      <c r="AB130" s="906"/>
      <c r="AC130" s="906"/>
      <c r="AD130" s="906"/>
      <c r="AE130" s="906"/>
      <c r="AF130" s="906"/>
      <c r="AG130" s="906"/>
      <c r="AH130" s="906"/>
      <c r="AI130" s="906"/>
      <c r="AJ130" s="906"/>
      <c r="AK130" s="906"/>
      <c r="AL130" s="906"/>
      <c r="AM130" s="906"/>
      <c r="AN130" s="906"/>
      <c r="AO130" s="906"/>
      <c r="AP130" s="906"/>
      <c r="AQ130" s="906"/>
      <c r="AR130" s="906"/>
      <c r="AS130" s="906"/>
      <c r="AT130" s="906"/>
      <c r="AU130" s="906"/>
      <c r="AV130" s="906"/>
      <c r="AW130" s="906"/>
      <c r="AX130" s="906"/>
      <c r="AY130" s="906"/>
      <c r="AZ130" s="906"/>
      <c r="BA130" s="906"/>
      <c r="BB130" s="906"/>
      <c r="BC130" s="906"/>
      <c r="BD130" s="906"/>
      <c r="BE130" s="906"/>
      <c r="BF130" s="906"/>
      <c r="BG130" s="906"/>
      <c r="BH130" s="906"/>
      <c r="BI130" s="906"/>
      <c r="BJ130" s="906"/>
      <c r="BK130" s="906"/>
      <c r="BL130" s="906"/>
      <c r="BM130" s="906"/>
      <c r="BN130" s="906"/>
      <c r="BO130" s="906"/>
      <c r="BP130" s="906"/>
      <c r="BQ130" s="906"/>
      <c r="BR130" s="906"/>
      <c r="BS130" s="906"/>
      <c r="BT130" s="906"/>
      <c r="BU130" s="906"/>
      <c r="BV130" s="906"/>
      <c r="BW130" s="906"/>
      <c r="BX130" s="906"/>
      <c r="BY130" s="906"/>
      <c r="BZ130" s="906"/>
      <c r="CA130" s="906"/>
      <c r="CB130" s="906"/>
      <c r="CC130" s="906"/>
      <c r="CD130" s="906"/>
      <c r="CE130" s="906"/>
      <c r="CF130" s="906"/>
      <c r="CG130" s="906"/>
      <c r="CH130" s="906"/>
      <c r="CI130" s="906"/>
      <c r="CJ130" s="906"/>
      <c r="CK130" s="906"/>
      <c r="CL130" s="906"/>
      <c r="CM130" s="906"/>
      <c r="CN130" s="906"/>
      <c r="CO130" s="906"/>
      <c r="CP130" s="906"/>
      <c r="CQ130" s="906"/>
      <c r="CR130" s="906"/>
      <c r="CS130" s="906"/>
      <c r="CT130" s="906"/>
      <c r="CU130" s="906"/>
      <c r="CV130" s="906"/>
      <c r="CW130" s="906"/>
      <c r="CX130" s="906"/>
      <c r="CY130" s="906"/>
      <c r="CZ130" s="906"/>
      <c r="DA130" s="906"/>
      <c r="DB130" s="906"/>
      <c r="DC130" s="906"/>
      <c r="DD130" s="906"/>
      <c r="DE130" s="906"/>
      <c r="DF130" s="906"/>
      <c r="DG130" s="906"/>
      <c r="DH130" s="906"/>
      <c r="DI130" s="906"/>
      <c r="DJ130" s="906"/>
      <c r="DK130" s="906"/>
      <c r="DL130" s="906"/>
      <c r="DM130" s="906"/>
      <c r="DN130" s="906"/>
      <c r="DO130" s="906"/>
      <c r="DP130" s="906"/>
      <c r="DQ130" s="906"/>
      <c r="DR130" s="906"/>
      <c r="DS130" s="906"/>
      <c r="DT130" s="906"/>
      <c r="DU130" s="906"/>
      <c r="DV130" s="906"/>
      <c r="DW130" s="906"/>
      <c r="DX130" s="906"/>
      <c r="DY130" s="906"/>
      <c r="DZ130" s="906"/>
      <c r="EA130" s="906"/>
      <c r="EB130" s="906"/>
      <c r="EC130" s="906"/>
      <c r="ED130" s="906"/>
      <c r="EE130" s="906"/>
      <c r="EF130" s="906"/>
      <c r="EG130" s="906"/>
      <c r="EH130" s="906"/>
      <c r="EI130" s="906"/>
      <c r="EJ130" s="906"/>
      <c r="EK130" s="906"/>
      <c r="EL130" s="906"/>
      <c r="EM130" s="906"/>
      <c r="EN130" s="906"/>
      <c r="EO130" s="906"/>
      <c r="EP130" s="906"/>
      <c r="EQ130" s="906"/>
      <c r="ER130" s="906"/>
      <c r="ES130" s="906"/>
      <c r="ET130" s="906"/>
      <c r="EU130" s="906"/>
      <c r="EV130" s="906"/>
      <c r="EW130" s="906"/>
      <c r="EX130" s="906"/>
      <c r="EY130" s="906"/>
      <c r="EZ130" s="906"/>
      <c r="FA130" s="906"/>
      <c r="FB130" s="906"/>
      <c r="FC130" s="906"/>
      <c r="FD130" s="906"/>
      <c r="FE130" s="906"/>
      <c r="FF130" s="906"/>
      <c r="FG130" s="906"/>
      <c r="FH130" s="906"/>
      <c r="FI130" s="906"/>
      <c r="FJ130" s="906"/>
      <c r="FK130" s="906"/>
      <c r="FL130" s="906"/>
      <c r="FM130" s="906"/>
      <c r="FN130" s="906"/>
      <c r="FO130" s="906"/>
      <c r="FP130" s="906"/>
      <c r="FQ130" s="906"/>
      <c r="FR130" s="906"/>
      <c r="FS130" s="906"/>
      <c r="FT130" s="906"/>
      <c r="FU130" s="906"/>
      <c r="FV130" s="906"/>
      <c r="FW130" s="906"/>
      <c r="FX130" s="906"/>
      <c r="FY130" s="906"/>
      <c r="FZ130" s="906"/>
      <c r="GA130" s="906"/>
      <c r="GB130" s="906"/>
      <c r="GC130" s="906"/>
      <c r="GD130" s="906"/>
      <c r="GE130" s="906"/>
      <c r="GF130" s="906"/>
      <c r="GG130" s="906"/>
      <c r="GH130" s="906"/>
      <c r="GI130" s="906"/>
      <c r="GJ130" s="906"/>
      <c r="GK130" s="906"/>
      <c r="GL130" s="906"/>
      <c r="GM130" s="906"/>
      <c r="GN130" s="906"/>
      <c r="GO130" s="906"/>
      <c r="GP130" s="906"/>
      <c r="GQ130" s="906"/>
      <c r="GR130" s="906"/>
      <c r="GS130" s="906"/>
      <c r="GT130" s="906"/>
      <c r="GU130" s="906"/>
      <c r="GV130" s="906"/>
      <c r="GW130" s="906"/>
      <c r="GX130" s="906"/>
      <c r="GY130" s="906"/>
      <c r="GZ130" s="906"/>
      <c r="HA130" s="906"/>
      <c r="HB130" s="906"/>
      <c r="HC130" s="906"/>
      <c r="HD130" s="906"/>
      <c r="HE130" s="906"/>
      <c r="HF130" s="906"/>
      <c r="HG130" s="906"/>
      <c r="HH130" s="906"/>
      <c r="HI130" s="906"/>
      <c r="HJ130" s="906"/>
      <c r="HK130" s="906"/>
      <c r="HL130" s="906"/>
      <c r="HM130" s="906"/>
      <c r="HN130" s="906"/>
      <c r="HO130" s="906"/>
      <c r="HP130" s="906"/>
      <c r="HQ130" s="906"/>
      <c r="HR130" s="906"/>
      <c r="HS130" s="906"/>
      <c r="HT130" s="906"/>
      <c r="HU130" s="906"/>
      <c r="HV130" s="906"/>
      <c r="HW130" s="906"/>
      <c r="HX130" s="906"/>
      <c r="HY130" s="906"/>
      <c r="HZ130" s="906"/>
      <c r="IA130" s="906"/>
      <c r="IB130" s="906"/>
      <c r="IC130" s="906"/>
      <c r="ID130" s="906"/>
      <c r="IE130" s="906"/>
      <c r="IF130" s="906"/>
      <c r="IG130" s="906"/>
      <c r="IH130" s="906"/>
      <c r="II130" s="906"/>
      <c r="IJ130" s="906"/>
      <c r="IK130" s="906"/>
      <c r="IL130" s="906"/>
      <c r="IM130" s="906"/>
      <c r="IN130" s="906"/>
      <c r="IO130" s="906"/>
      <c r="IP130" s="906"/>
    </row>
    <row r="131" spans="1:250" s="932" customFormat="1" ht="18" customHeight="1" x14ac:dyDescent="0.3">
      <c r="A131" s="911"/>
      <c r="B131" s="1458" t="s">
        <v>29</v>
      </c>
      <c r="C131" s="1458"/>
      <c r="D131" s="1458"/>
      <c r="E131" s="1460"/>
      <c r="F131" s="1461"/>
      <c r="G131" s="965"/>
      <c r="H131" s="931"/>
      <c r="I131" s="931"/>
      <c r="J131" s="1948"/>
      <c r="K131" s="1959"/>
      <c r="L131" s="1948"/>
      <c r="M131" s="906"/>
      <c r="N131" s="906"/>
      <c r="O131" s="906"/>
      <c r="P131" s="906"/>
      <c r="Q131" s="906"/>
      <c r="R131" s="906"/>
      <c r="S131" s="906"/>
      <c r="T131" s="906"/>
      <c r="U131" s="906"/>
      <c r="V131" s="906"/>
      <c r="W131" s="906"/>
      <c r="X131" s="906"/>
      <c r="Y131" s="906"/>
      <c r="Z131" s="906"/>
      <c r="AA131" s="906"/>
      <c r="AB131" s="906"/>
      <c r="AC131" s="906"/>
      <c r="AD131" s="906"/>
      <c r="AE131" s="906"/>
      <c r="AF131" s="906"/>
      <c r="AG131" s="906"/>
      <c r="AH131" s="906"/>
      <c r="AI131" s="906"/>
      <c r="AJ131" s="906"/>
      <c r="AK131" s="906"/>
      <c r="AL131" s="906"/>
      <c r="AM131" s="906"/>
      <c r="AN131" s="906"/>
      <c r="AO131" s="906"/>
      <c r="AP131" s="906"/>
      <c r="AQ131" s="906"/>
      <c r="AR131" s="906"/>
      <c r="AS131" s="906"/>
      <c r="AT131" s="906"/>
      <c r="AU131" s="906"/>
      <c r="AV131" s="906"/>
      <c r="AW131" s="906"/>
      <c r="AX131" s="906"/>
      <c r="AY131" s="906"/>
      <c r="AZ131" s="906"/>
      <c r="BA131" s="906"/>
      <c r="BB131" s="906"/>
      <c r="BC131" s="906"/>
      <c r="BD131" s="906"/>
      <c r="BE131" s="906"/>
      <c r="BF131" s="906"/>
      <c r="BG131" s="906"/>
      <c r="BH131" s="906"/>
      <c r="BI131" s="906"/>
      <c r="BJ131" s="906"/>
      <c r="BK131" s="906"/>
      <c r="BL131" s="906"/>
      <c r="BM131" s="906"/>
      <c r="BN131" s="906"/>
      <c r="BO131" s="906"/>
      <c r="BP131" s="906"/>
      <c r="BQ131" s="906"/>
      <c r="BR131" s="906"/>
      <c r="BS131" s="906"/>
      <c r="BT131" s="906"/>
      <c r="BU131" s="906"/>
      <c r="BV131" s="906"/>
      <c r="BW131" s="906"/>
      <c r="BX131" s="906"/>
      <c r="BY131" s="906"/>
      <c r="BZ131" s="906"/>
      <c r="CA131" s="906"/>
      <c r="CB131" s="906"/>
      <c r="CC131" s="906"/>
      <c r="CD131" s="906"/>
      <c r="CE131" s="906"/>
      <c r="CF131" s="906"/>
      <c r="CG131" s="906"/>
      <c r="CH131" s="906"/>
      <c r="CI131" s="906"/>
      <c r="CJ131" s="906"/>
      <c r="CK131" s="906"/>
      <c r="CL131" s="906"/>
      <c r="CM131" s="906"/>
      <c r="CN131" s="906"/>
      <c r="CO131" s="906"/>
      <c r="CP131" s="906"/>
      <c r="CQ131" s="906"/>
      <c r="CR131" s="906"/>
      <c r="CS131" s="906"/>
      <c r="CT131" s="906"/>
      <c r="CU131" s="906"/>
      <c r="CV131" s="906"/>
      <c r="CW131" s="906"/>
      <c r="CX131" s="906"/>
      <c r="CY131" s="906"/>
      <c r="CZ131" s="906"/>
      <c r="DA131" s="906"/>
      <c r="DB131" s="906"/>
      <c r="DC131" s="906"/>
      <c r="DD131" s="906"/>
      <c r="DE131" s="906"/>
      <c r="DF131" s="906"/>
      <c r="DG131" s="906"/>
      <c r="DH131" s="906"/>
      <c r="DI131" s="906"/>
      <c r="DJ131" s="906"/>
      <c r="DK131" s="906"/>
      <c r="DL131" s="906"/>
      <c r="DM131" s="906"/>
      <c r="DN131" s="906"/>
      <c r="DO131" s="906"/>
      <c r="DP131" s="906"/>
      <c r="DQ131" s="906"/>
      <c r="DR131" s="906"/>
      <c r="DS131" s="906"/>
      <c r="DT131" s="906"/>
      <c r="DU131" s="906"/>
      <c r="DV131" s="906"/>
      <c r="DW131" s="906"/>
      <c r="DX131" s="906"/>
      <c r="DY131" s="906"/>
      <c r="DZ131" s="906"/>
      <c r="EA131" s="906"/>
      <c r="EB131" s="906"/>
      <c r="EC131" s="906"/>
      <c r="ED131" s="906"/>
      <c r="EE131" s="906"/>
      <c r="EF131" s="906"/>
      <c r="EG131" s="906"/>
      <c r="EH131" s="906"/>
      <c r="EI131" s="906"/>
      <c r="EJ131" s="906"/>
      <c r="EK131" s="906"/>
      <c r="EL131" s="906"/>
      <c r="EM131" s="906"/>
      <c r="EN131" s="906"/>
      <c r="EO131" s="906"/>
      <c r="EP131" s="906"/>
      <c r="EQ131" s="906"/>
      <c r="ER131" s="906"/>
      <c r="ES131" s="906"/>
      <c r="ET131" s="906"/>
      <c r="EU131" s="906"/>
      <c r="EV131" s="906"/>
      <c r="EW131" s="906"/>
      <c r="EX131" s="906"/>
      <c r="EY131" s="906"/>
      <c r="EZ131" s="906"/>
      <c r="FA131" s="906"/>
      <c r="FB131" s="906"/>
      <c r="FC131" s="906"/>
      <c r="FD131" s="906"/>
      <c r="FE131" s="906"/>
      <c r="FF131" s="906"/>
      <c r="FG131" s="906"/>
      <c r="FH131" s="906"/>
      <c r="FI131" s="906"/>
      <c r="FJ131" s="906"/>
      <c r="FK131" s="906"/>
      <c r="FL131" s="906"/>
      <c r="FM131" s="906"/>
      <c r="FN131" s="906"/>
      <c r="FO131" s="906"/>
      <c r="FP131" s="906"/>
      <c r="FQ131" s="906"/>
      <c r="FR131" s="906"/>
      <c r="FS131" s="906"/>
      <c r="FT131" s="906"/>
      <c r="FU131" s="906"/>
      <c r="FV131" s="906"/>
      <c r="FW131" s="906"/>
      <c r="FX131" s="906"/>
      <c r="FY131" s="906"/>
      <c r="FZ131" s="906"/>
      <c r="GA131" s="906"/>
      <c r="GB131" s="906"/>
      <c r="GC131" s="906"/>
      <c r="GD131" s="906"/>
      <c r="GE131" s="906"/>
      <c r="GF131" s="906"/>
      <c r="GG131" s="906"/>
      <c r="GH131" s="906"/>
      <c r="GI131" s="906"/>
      <c r="GJ131" s="906"/>
      <c r="GK131" s="906"/>
      <c r="GL131" s="906"/>
      <c r="GM131" s="906"/>
      <c r="GN131" s="906"/>
      <c r="GO131" s="906"/>
      <c r="GP131" s="906"/>
      <c r="GQ131" s="906"/>
      <c r="GR131" s="906"/>
      <c r="GS131" s="906"/>
      <c r="GT131" s="906"/>
      <c r="GU131" s="906"/>
      <c r="GV131" s="906"/>
      <c r="GW131" s="906"/>
      <c r="GX131" s="906"/>
      <c r="GY131" s="906"/>
      <c r="GZ131" s="906"/>
      <c r="HA131" s="906"/>
      <c r="HB131" s="906"/>
      <c r="HC131" s="906"/>
      <c r="HD131" s="906"/>
      <c r="HE131" s="906"/>
      <c r="HF131" s="906"/>
      <c r="HG131" s="906"/>
      <c r="HH131" s="906"/>
      <c r="HI131" s="906"/>
      <c r="HJ131" s="906"/>
      <c r="HK131" s="906"/>
      <c r="HL131" s="906"/>
      <c r="HM131" s="906"/>
      <c r="HN131" s="906"/>
      <c r="HO131" s="906"/>
      <c r="HP131" s="906"/>
      <c r="HQ131" s="906"/>
      <c r="HR131" s="906"/>
      <c r="HS131" s="906"/>
      <c r="HT131" s="906"/>
      <c r="HU131" s="906"/>
      <c r="HV131" s="906"/>
      <c r="HW131" s="906"/>
      <c r="HX131" s="906"/>
      <c r="HY131" s="906"/>
      <c r="HZ131" s="906"/>
      <c r="IA131" s="906"/>
      <c r="IB131" s="906"/>
      <c r="IC131" s="906"/>
      <c r="ID131" s="906"/>
      <c r="IE131" s="906"/>
      <c r="IF131" s="906"/>
      <c r="IG131" s="906"/>
      <c r="IH131" s="906"/>
      <c r="II131" s="906"/>
      <c r="IJ131" s="906"/>
      <c r="IK131" s="906"/>
      <c r="IL131" s="906"/>
      <c r="IM131" s="906"/>
      <c r="IN131" s="906"/>
      <c r="IO131" s="906"/>
      <c r="IP131" s="906"/>
    </row>
    <row r="132" spans="1:250" s="932" customFormat="1" x14ac:dyDescent="0.3">
      <c r="A132" s="911"/>
      <c r="B132" s="901"/>
      <c r="C132" s="902"/>
      <c r="D132" s="903"/>
      <c r="E132" s="904"/>
      <c r="F132" s="959"/>
      <c r="G132" s="959"/>
      <c r="H132" s="1454"/>
      <c r="I132" s="1454"/>
      <c r="J132" s="1949"/>
      <c r="K132" s="1928"/>
      <c r="L132" s="1949"/>
      <c r="M132" s="906"/>
      <c r="N132" s="906"/>
      <c r="O132" s="906"/>
      <c r="P132" s="906"/>
      <c r="Q132" s="906"/>
      <c r="R132" s="906"/>
      <c r="S132" s="906"/>
      <c r="T132" s="906"/>
      <c r="U132" s="906"/>
      <c r="V132" s="906"/>
      <c r="W132" s="906"/>
      <c r="X132" s="906"/>
      <c r="Y132" s="906"/>
      <c r="Z132" s="906"/>
      <c r="AA132" s="906"/>
      <c r="AB132" s="906"/>
      <c r="AC132" s="906"/>
      <c r="AD132" s="906"/>
      <c r="AE132" s="906"/>
      <c r="AF132" s="906"/>
      <c r="AG132" s="906"/>
      <c r="AH132" s="906"/>
      <c r="AI132" s="906"/>
      <c r="AJ132" s="906"/>
      <c r="AK132" s="906"/>
      <c r="AL132" s="906"/>
      <c r="AM132" s="906"/>
      <c r="AN132" s="906"/>
      <c r="AO132" s="906"/>
      <c r="AP132" s="906"/>
      <c r="AQ132" s="906"/>
      <c r="AR132" s="906"/>
      <c r="AS132" s="906"/>
      <c r="AT132" s="906"/>
      <c r="AU132" s="906"/>
      <c r="AV132" s="906"/>
      <c r="AW132" s="906"/>
      <c r="AX132" s="906"/>
      <c r="AY132" s="906"/>
      <c r="AZ132" s="906"/>
      <c r="BA132" s="906"/>
      <c r="BB132" s="906"/>
      <c r="BC132" s="906"/>
      <c r="BD132" s="906"/>
      <c r="BE132" s="906"/>
      <c r="BF132" s="906"/>
      <c r="BG132" s="906"/>
      <c r="BH132" s="906"/>
      <c r="BI132" s="906"/>
      <c r="BJ132" s="906"/>
      <c r="BK132" s="906"/>
      <c r="BL132" s="906"/>
      <c r="BM132" s="906"/>
      <c r="BN132" s="906"/>
      <c r="BO132" s="906"/>
      <c r="BP132" s="906"/>
      <c r="BQ132" s="906"/>
      <c r="BR132" s="906"/>
      <c r="BS132" s="906"/>
      <c r="BT132" s="906"/>
      <c r="BU132" s="906"/>
      <c r="BV132" s="906"/>
      <c r="BW132" s="906"/>
      <c r="BX132" s="906"/>
      <c r="BY132" s="906"/>
      <c r="BZ132" s="906"/>
      <c r="CA132" s="906"/>
      <c r="CB132" s="906"/>
      <c r="CC132" s="906"/>
      <c r="CD132" s="906"/>
      <c r="CE132" s="906"/>
      <c r="CF132" s="906"/>
      <c r="CG132" s="906"/>
      <c r="CH132" s="906"/>
      <c r="CI132" s="906"/>
      <c r="CJ132" s="906"/>
      <c r="CK132" s="906"/>
      <c r="CL132" s="906"/>
      <c r="CM132" s="906"/>
      <c r="CN132" s="906"/>
      <c r="CO132" s="906"/>
      <c r="CP132" s="906"/>
      <c r="CQ132" s="906"/>
      <c r="CR132" s="906"/>
      <c r="CS132" s="906"/>
      <c r="CT132" s="906"/>
      <c r="CU132" s="906"/>
      <c r="CV132" s="906"/>
      <c r="CW132" s="906"/>
      <c r="CX132" s="906"/>
      <c r="CY132" s="906"/>
      <c r="CZ132" s="906"/>
      <c r="DA132" s="906"/>
      <c r="DB132" s="906"/>
      <c r="DC132" s="906"/>
      <c r="DD132" s="906"/>
      <c r="DE132" s="906"/>
      <c r="DF132" s="906"/>
      <c r="DG132" s="906"/>
      <c r="DH132" s="906"/>
      <c r="DI132" s="906"/>
      <c r="DJ132" s="906"/>
      <c r="DK132" s="906"/>
      <c r="DL132" s="906"/>
      <c r="DM132" s="906"/>
      <c r="DN132" s="906"/>
      <c r="DO132" s="906"/>
      <c r="DP132" s="906"/>
      <c r="DQ132" s="906"/>
      <c r="DR132" s="906"/>
      <c r="DS132" s="906"/>
      <c r="DT132" s="906"/>
      <c r="DU132" s="906"/>
      <c r="DV132" s="906"/>
      <c r="DW132" s="906"/>
      <c r="DX132" s="906"/>
      <c r="DY132" s="906"/>
      <c r="DZ132" s="906"/>
      <c r="EA132" s="906"/>
      <c r="EB132" s="906"/>
      <c r="EC132" s="906"/>
      <c r="ED132" s="906"/>
      <c r="EE132" s="906"/>
      <c r="EF132" s="906"/>
      <c r="EG132" s="906"/>
      <c r="EH132" s="906"/>
      <c r="EI132" s="906"/>
      <c r="EJ132" s="906"/>
      <c r="EK132" s="906"/>
      <c r="EL132" s="906"/>
      <c r="EM132" s="906"/>
      <c r="EN132" s="906"/>
      <c r="EO132" s="906"/>
      <c r="EP132" s="906"/>
      <c r="EQ132" s="906"/>
      <c r="ER132" s="906"/>
      <c r="ES132" s="906"/>
      <c r="ET132" s="906"/>
      <c r="EU132" s="906"/>
      <c r="EV132" s="906"/>
      <c r="EW132" s="906"/>
      <c r="EX132" s="906"/>
      <c r="EY132" s="906"/>
      <c r="EZ132" s="906"/>
      <c r="FA132" s="906"/>
      <c r="FB132" s="906"/>
      <c r="FC132" s="906"/>
      <c r="FD132" s="906"/>
      <c r="FE132" s="906"/>
      <c r="FF132" s="906"/>
      <c r="FG132" s="906"/>
      <c r="FH132" s="906"/>
      <c r="FI132" s="906"/>
      <c r="FJ132" s="906"/>
      <c r="FK132" s="906"/>
      <c r="FL132" s="906"/>
      <c r="FM132" s="906"/>
      <c r="FN132" s="906"/>
      <c r="FO132" s="906"/>
      <c r="FP132" s="906"/>
      <c r="FQ132" s="906"/>
      <c r="FR132" s="906"/>
      <c r="FS132" s="906"/>
      <c r="FT132" s="906"/>
      <c r="FU132" s="906"/>
      <c r="FV132" s="906"/>
      <c r="FW132" s="906"/>
      <c r="FX132" s="906"/>
      <c r="FY132" s="906"/>
      <c r="FZ132" s="906"/>
      <c r="GA132" s="906"/>
      <c r="GB132" s="906"/>
      <c r="GC132" s="906"/>
      <c r="GD132" s="906"/>
      <c r="GE132" s="906"/>
      <c r="GF132" s="906"/>
      <c r="GG132" s="906"/>
      <c r="GH132" s="906"/>
      <c r="GI132" s="906"/>
      <c r="GJ132" s="906"/>
      <c r="GK132" s="906"/>
      <c r="GL132" s="906"/>
      <c r="GM132" s="906"/>
      <c r="GN132" s="906"/>
      <c r="GO132" s="906"/>
      <c r="GP132" s="906"/>
      <c r="GQ132" s="906"/>
      <c r="GR132" s="906"/>
      <c r="GS132" s="906"/>
      <c r="GT132" s="906"/>
      <c r="GU132" s="906"/>
      <c r="GV132" s="906"/>
      <c r="GW132" s="906"/>
      <c r="GX132" s="906"/>
      <c r="GY132" s="906"/>
      <c r="GZ132" s="906"/>
      <c r="HA132" s="906"/>
      <c r="HB132" s="906"/>
      <c r="HC132" s="906"/>
      <c r="HD132" s="906"/>
      <c r="HE132" s="906"/>
      <c r="HF132" s="906"/>
      <c r="HG132" s="906"/>
      <c r="HH132" s="906"/>
      <c r="HI132" s="906"/>
      <c r="HJ132" s="906"/>
      <c r="HK132" s="906"/>
      <c r="HL132" s="906"/>
      <c r="HM132" s="906"/>
      <c r="HN132" s="906"/>
      <c r="HO132" s="906"/>
      <c r="HP132" s="906"/>
      <c r="HQ132" s="906"/>
      <c r="HR132" s="906"/>
      <c r="HS132" s="906"/>
      <c r="HT132" s="906"/>
      <c r="HU132" s="906"/>
      <c r="HV132" s="906"/>
      <c r="HW132" s="906"/>
      <c r="HX132" s="906"/>
      <c r="HY132" s="906"/>
      <c r="HZ132" s="906"/>
      <c r="IA132" s="906"/>
      <c r="IB132" s="906"/>
      <c r="IC132" s="906"/>
      <c r="ID132" s="906"/>
      <c r="IE132" s="906"/>
      <c r="IF132" s="906"/>
      <c r="IG132" s="906"/>
      <c r="IH132" s="906"/>
      <c r="II132" s="906"/>
      <c r="IJ132" s="906"/>
      <c r="IK132" s="906"/>
      <c r="IL132" s="906"/>
      <c r="IM132" s="906"/>
      <c r="IN132" s="906"/>
      <c r="IO132" s="906"/>
      <c r="IP132" s="906"/>
    </row>
  </sheetData>
  <mergeCells count="23">
    <mergeCell ref="B1:L1"/>
    <mergeCell ref="B2:L2"/>
    <mergeCell ref="B4:L4"/>
    <mergeCell ref="B5:L5"/>
    <mergeCell ref="B8:B9"/>
    <mergeCell ref="C8:C9"/>
    <mergeCell ref="D8:D9"/>
    <mergeCell ref="E8:E9"/>
    <mergeCell ref="F8:F9"/>
    <mergeCell ref="G8:G9"/>
    <mergeCell ref="H8:H9"/>
    <mergeCell ref="J8:J9"/>
    <mergeCell ref="K8:K9"/>
    <mergeCell ref="L8:L9"/>
    <mergeCell ref="I8:I9"/>
    <mergeCell ref="C10:D10"/>
    <mergeCell ref="C124:E124"/>
    <mergeCell ref="B127:D127"/>
    <mergeCell ref="B128:D128"/>
    <mergeCell ref="C21:D21"/>
    <mergeCell ref="B123:D123"/>
    <mergeCell ref="B115:D115"/>
    <mergeCell ref="B122:D122"/>
  </mergeCells>
  <printOptions horizontalCentered="1"/>
  <pageMargins left="0.19685039370078741" right="0.19685039370078741" top="0.78740157480314965" bottom="0.59055118110236227" header="0.31496062992125984" footer="0.31496062992125984"/>
  <pageSetup paperSize="9" scale="55" fitToHeight="0" orientation="portrait" r:id="rId1"/>
  <headerFooter alignWithMargins="0">
    <oddFooter>&amp;C-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16"/>
  <sheetViews>
    <sheetView view="pageBreakPreview" zoomScaleNormal="75" zoomScaleSheetLayoutView="100" workbookViewId="0">
      <selection activeCell="E3" sqref="E3"/>
    </sheetView>
  </sheetViews>
  <sheetFormatPr defaultColWidth="9.140625" defaultRowHeight="17.25" x14ac:dyDescent="0.35"/>
  <cols>
    <col min="1" max="1" width="3.7109375" style="590" customWidth="1"/>
    <col min="2" max="2" width="5.7109375" style="3" customWidth="1"/>
    <col min="3" max="3" width="5.7109375" style="7" customWidth="1"/>
    <col min="4" max="4" width="87.7109375" style="16" customWidth="1"/>
    <col min="5" max="7" width="11.7109375" style="4" customWidth="1"/>
    <col min="8" max="8" width="6.7109375" style="3" customWidth="1"/>
    <col min="9" max="9" width="12.7109375" style="13" customWidth="1"/>
    <col min="10" max="14" width="12.7109375" style="378" customWidth="1"/>
    <col min="15" max="15" width="9.28515625" style="4" bestFit="1" customWidth="1"/>
    <col min="16" max="16384" width="9.140625" style="4"/>
  </cols>
  <sheetData>
    <row r="1" spans="1:16" x14ac:dyDescent="0.35">
      <c r="A1" s="936"/>
      <c r="B1" s="2242" t="s">
        <v>1310</v>
      </c>
      <c r="C1" s="2242"/>
      <c r="D1" s="2242"/>
      <c r="E1" s="2242"/>
      <c r="F1" s="2242"/>
      <c r="G1" s="2242"/>
      <c r="H1" s="2242"/>
      <c r="I1" s="2242"/>
      <c r="J1" s="2242"/>
      <c r="K1" s="2242"/>
      <c r="L1" s="2242"/>
      <c r="M1" s="2242"/>
      <c r="N1" s="2242"/>
    </row>
    <row r="2" spans="1:16" ht="16.5" x14ac:dyDescent="0.3">
      <c r="A2" s="936"/>
      <c r="B2" s="2243" t="s">
        <v>1294</v>
      </c>
      <c r="C2" s="2243"/>
      <c r="D2" s="2243"/>
      <c r="E2" s="2243"/>
      <c r="F2" s="2243"/>
      <c r="G2" s="2243"/>
      <c r="H2" s="2243"/>
      <c r="I2" s="2243"/>
      <c r="J2" s="2243"/>
      <c r="K2" s="2243"/>
      <c r="L2" s="2243"/>
      <c r="M2" s="2243"/>
      <c r="N2" s="2243"/>
    </row>
    <row r="3" spans="1:16" ht="16.5" x14ac:dyDescent="0.3">
      <c r="A3" s="936"/>
      <c r="B3" s="2054"/>
      <c r="C3" s="2054"/>
      <c r="D3" s="2054"/>
      <c r="E3" s="2054"/>
      <c r="F3" s="2054"/>
      <c r="G3" s="2054"/>
      <c r="H3" s="2054"/>
      <c r="I3" s="2054"/>
      <c r="J3" s="2054"/>
      <c r="K3" s="2054"/>
      <c r="L3" s="2054"/>
      <c r="M3" s="2054"/>
      <c r="N3" s="2054"/>
    </row>
    <row r="4" spans="1:16" ht="24.75" customHeight="1" x14ac:dyDescent="0.35">
      <c r="A4" s="936"/>
      <c r="B4" s="2249" t="s">
        <v>14</v>
      </c>
      <c r="C4" s="2249"/>
      <c r="D4" s="2249"/>
      <c r="E4" s="2249"/>
      <c r="F4" s="2249"/>
      <c r="G4" s="2249"/>
      <c r="H4" s="2249"/>
      <c r="I4" s="2249"/>
      <c r="J4" s="2249"/>
      <c r="K4" s="2249"/>
      <c r="L4" s="2249"/>
      <c r="M4" s="2249"/>
      <c r="N4" s="2249"/>
    </row>
    <row r="5" spans="1:16" s="6" customFormat="1" ht="24.75" customHeight="1" x14ac:dyDescent="0.2">
      <c r="A5" s="936"/>
      <c r="B5" s="2250" t="s">
        <v>1282</v>
      </c>
      <c r="C5" s="2250"/>
      <c r="D5" s="2250"/>
      <c r="E5" s="2250"/>
      <c r="F5" s="2250"/>
      <c r="G5" s="2250"/>
      <c r="H5" s="2250"/>
      <c r="I5" s="2250"/>
      <c r="J5" s="2250"/>
      <c r="K5" s="2250"/>
      <c r="L5" s="2250"/>
      <c r="M5" s="2250"/>
      <c r="N5" s="2250"/>
    </row>
    <row r="6" spans="1:16" s="376" customFormat="1" ht="15" x14ac:dyDescent="0.3">
      <c r="A6" s="935"/>
      <c r="B6" s="937"/>
      <c r="C6" s="938"/>
      <c r="D6" s="939"/>
      <c r="G6" s="1781"/>
      <c r="H6" s="940"/>
      <c r="I6" s="941"/>
      <c r="J6" s="896"/>
      <c r="K6" s="896"/>
      <c r="L6" s="896"/>
      <c r="M6" s="2251" t="s">
        <v>0</v>
      </c>
      <c r="N6" s="2251"/>
    </row>
    <row r="7" spans="1:16" s="116" customFormat="1" ht="18" customHeight="1" thickBot="1" x14ac:dyDescent="0.35">
      <c r="A7" s="942"/>
      <c r="B7" s="116" t="s">
        <v>1</v>
      </c>
      <c r="C7" s="943" t="s">
        <v>3</v>
      </c>
      <c r="D7" s="944" t="s">
        <v>2</v>
      </c>
      <c r="E7" s="116" t="s">
        <v>4</v>
      </c>
      <c r="F7" s="116" t="s">
        <v>5</v>
      </c>
      <c r="G7" s="116" t="s">
        <v>15</v>
      </c>
      <c r="H7" s="945" t="s">
        <v>16</v>
      </c>
      <c r="I7" s="943" t="s">
        <v>17</v>
      </c>
      <c r="J7" s="943" t="s">
        <v>36</v>
      </c>
      <c r="K7" s="943" t="s">
        <v>30</v>
      </c>
      <c r="L7" s="943" t="s">
        <v>23</v>
      </c>
      <c r="M7" s="943" t="s">
        <v>37</v>
      </c>
      <c r="N7" s="943" t="s">
        <v>38</v>
      </c>
    </row>
    <row r="8" spans="1:16" s="1822" customFormat="1" ht="34.5" customHeight="1" x14ac:dyDescent="0.2">
      <c r="A8" s="590"/>
      <c r="B8" s="2215" t="s">
        <v>18</v>
      </c>
      <c r="C8" s="2217" t="s">
        <v>19</v>
      </c>
      <c r="D8" s="2221" t="s">
        <v>6</v>
      </c>
      <c r="E8" s="2213" t="s">
        <v>633</v>
      </c>
      <c r="F8" s="2213" t="s">
        <v>631</v>
      </c>
      <c r="G8" s="2219" t="s">
        <v>888</v>
      </c>
      <c r="H8" s="2223" t="s">
        <v>20</v>
      </c>
      <c r="I8" s="2209" t="s">
        <v>634</v>
      </c>
      <c r="J8" s="2211" t="s">
        <v>39</v>
      </c>
      <c r="K8" s="2211"/>
      <c r="L8" s="2211"/>
      <c r="M8" s="2211"/>
      <c r="N8" s="2212"/>
    </row>
    <row r="9" spans="1:16" s="1822" customFormat="1" ht="45.75" thickBot="1" x14ac:dyDescent="0.25">
      <c r="A9" s="590"/>
      <c r="B9" s="2216"/>
      <c r="C9" s="2218"/>
      <c r="D9" s="2222"/>
      <c r="E9" s="2214"/>
      <c r="F9" s="2214"/>
      <c r="G9" s="2220"/>
      <c r="H9" s="2224"/>
      <c r="I9" s="2210"/>
      <c r="J9" s="2049" t="s">
        <v>40</v>
      </c>
      <c r="K9" s="2049" t="s">
        <v>41</v>
      </c>
      <c r="L9" s="2049" t="s">
        <v>42</v>
      </c>
      <c r="M9" s="2049" t="s">
        <v>223</v>
      </c>
      <c r="N9" s="934" t="s">
        <v>43</v>
      </c>
    </row>
    <row r="10" spans="1:16" s="1822" customFormat="1" ht="23.25" customHeight="1" x14ac:dyDescent="0.3">
      <c r="A10" s="590">
        <v>1</v>
      </c>
      <c r="B10" s="946">
        <v>18</v>
      </c>
      <c r="C10" s="947" t="s">
        <v>668</v>
      </c>
      <c r="D10" s="948"/>
      <c r="E10" s="949"/>
      <c r="F10" s="949"/>
      <c r="G10" s="1782"/>
      <c r="H10" s="953"/>
      <c r="I10" s="950"/>
      <c r="J10" s="951"/>
      <c r="K10" s="951"/>
      <c r="L10" s="951"/>
      <c r="M10" s="951"/>
      <c r="N10" s="952"/>
    </row>
    <row r="11" spans="1:16" s="3" customFormat="1" ht="22.5" customHeight="1" x14ac:dyDescent="0.3">
      <c r="A11" s="590">
        <v>2</v>
      </c>
      <c r="B11" s="190"/>
      <c r="C11" s="933">
        <v>1</v>
      </c>
      <c r="D11" s="583" t="s">
        <v>44</v>
      </c>
      <c r="E11" s="196">
        <v>6918</v>
      </c>
      <c r="F11" s="196">
        <v>7000</v>
      </c>
      <c r="G11" s="1783">
        <v>1779</v>
      </c>
      <c r="H11" s="607" t="s">
        <v>23</v>
      </c>
      <c r="I11" s="572"/>
      <c r="J11" s="195"/>
      <c r="K11" s="195"/>
      <c r="L11" s="195"/>
      <c r="M11" s="195"/>
      <c r="N11" s="201"/>
    </row>
    <row r="12" spans="1:16" s="3" customFormat="1" ht="18" customHeight="1" x14ac:dyDescent="0.3">
      <c r="A12" s="590">
        <v>3</v>
      </c>
      <c r="B12" s="190"/>
      <c r="C12" s="933"/>
      <c r="D12" s="583" t="s">
        <v>1072</v>
      </c>
      <c r="E12" s="196"/>
      <c r="F12" s="196"/>
      <c r="G12" s="1783"/>
      <c r="H12" s="607"/>
      <c r="I12" s="573">
        <f t="shared" ref="I12:I15" si="0">SUM(J12:N12)</f>
        <v>296</v>
      </c>
      <c r="J12" s="195"/>
      <c r="K12" s="195"/>
      <c r="L12" s="1339">
        <v>296</v>
      </c>
      <c r="M12" s="195"/>
      <c r="N12" s="201"/>
    </row>
    <row r="13" spans="1:16" s="8" customFormat="1" ht="18" customHeight="1" x14ac:dyDescent="0.3">
      <c r="A13" s="590">
        <v>4</v>
      </c>
      <c r="B13" s="165"/>
      <c r="C13" s="166"/>
      <c r="D13" s="1338" t="s">
        <v>1260</v>
      </c>
      <c r="E13" s="164"/>
      <c r="F13" s="164"/>
      <c r="G13" s="1784"/>
      <c r="H13" s="605"/>
      <c r="I13" s="1341">
        <f t="shared" si="0"/>
        <v>-140</v>
      </c>
      <c r="J13" s="195"/>
      <c r="K13" s="195"/>
      <c r="L13" s="628">
        <v>-140</v>
      </c>
      <c r="M13" s="195"/>
      <c r="N13" s="201"/>
    </row>
    <row r="14" spans="1:16" s="8" customFormat="1" ht="18" customHeight="1" x14ac:dyDescent="0.3">
      <c r="A14" s="590">
        <v>5</v>
      </c>
      <c r="B14" s="165"/>
      <c r="C14" s="166"/>
      <c r="D14" s="1338" t="s">
        <v>1261</v>
      </c>
      <c r="E14" s="164"/>
      <c r="F14" s="164"/>
      <c r="G14" s="1784"/>
      <c r="H14" s="605"/>
      <c r="I14" s="1341">
        <f t="shared" si="0"/>
        <v>2209</v>
      </c>
      <c r="J14" s="195"/>
      <c r="K14" s="195"/>
      <c r="L14" s="628">
        <f>606+603+1000</f>
        <v>2209</v>
      </c>
      <c r="M14" s="195"/>
      <c r="N14" s="201"/>
    </row>
    <row r="15" spans="1:16" s="8" customFormat="1" ht="18" customHeight="1" x14ac:dyDescent="0.3">
      <c r="A15" s="590">
        <v>6</v>
      </c>
      <c r="B15" s="165"/>
      <c r="C15" s="166"/>
      <c r="D15" s="583" t="s">
        <v>1151</v>
      </c>
      <c r="E15" s="164"/>
      <c r="F15" s="164"/>
      <c r="G15" s="1784"/>
      <c r="H15" s="605"/>
      <c r="I15" s="573">
        <f t="shared" si="0"/>
        <v>2365</v>
      </c>
      <c r="J15" s="195"/>
      <c r="K15" s="195"/>
      <c r="L15" s="445">
        <f>SUM(L12:L14)</f>
        <v>2365</v>
      </c>
      <c r="M15" s="195"/>
      <c r="N15" s="201"/>
    </row>
    <row r="16" spans="1:16" s="3" customFormat="1" ht="22.5" customHeight="1" x14ac:dyDescent="0.3">
      <c r="A16" s="590">
        <v>7</v>
      </c>
      <c r="B16" s="161"/>
      <c r="C16" s="162">
        <v>2</v>
      </c>
      <c r="D16" s="584" t="s">
        <v>45</v>
      </c>
      <c r="E16" s="164">
        <v>4298</v>
      </c>
      <c r="F16" s="164">
        <v>5000</v>
      </c>
      <c r="G16" s="1784">
        <v>3685</v>
      </c>
      <c r="H16" s="605" t="s">
        <v>24</v>
      </c>
      <c r="I16" s="572"/>
      <c r="J16" s="195"/>
      <c r="K16" s="195"/>
      <c r="L16" s="195"/>
      <c r="M16" s="195"/>
      <c r="N16" s="201"/>
      <c r="P16" s="8"/>
    </row>
    <row r="17" spans="1:16" s="3" customFormat="1" ht="18" customHeight="1" x14ac:dyDescent="0.3">
      <c r="A17" s="590">
        <v>8</v>
      </c>
      <c r="B17" s="161"/>
      <c r="C17" s="162"/>
      <c r="D17" s="583" t="s">
        <v>1072</v>
      </c>
      <c r="E17" s="164"/>
      <c r="F17" s="164"/>
      <c r="G17" s="1784"/>
      <c r="H17" s="605"/>
      <c r="I17" s="573">
        <f>SUM(J17:N17)</f>
        <v>4000</v>
      </c>
      <c r="J17" s="1339">
        <v>22</v>
      </c>
      <c r="K17" s="1339">
        <v>12</v>
      </c>
      <c r="L17" s="1339">
        <v>3966</v>
      </c>
      <c r="M17" s="195"/>
      <c r="N17" s="201"/>
      <c r="P17" s="8"/>
    </row>
    <row r="18" spans="1:16" s="8" customFormat="1" ht="18" customHeight="1" x14ac:dyDescent="0.3">
      <c r="A18" s="590">
        <v>9</v>
      </c>
      <c r="B18" s="165"/>
      <c r="C18" s="166"/>
      <c r="D18" s="1338" t="s">
        <v>1262</v>
      </c>
      <c r="E18" s="164"/>
      <c r="F18" s="164"/>
      <c r="G18" s="1784"/>
      <c r="H18" s="605"/>
      <c r="I18" s="1341">
        <f t="shared" ref="I18:I19" si="1">SUM(J18:N18)</f>
        <v>2500</v>
      </c>
      <c r="J18" s="168"/>
      <c r="K18" s="168"/>
      <c r="L18" s="185">
        <v>2500</v>
      </c>
      <c r="M18" s="168"/>
      <c r="N18" s="169"/>
    </row>
    <row r="19" spans="1:16" s="8" customFormat="1" ht="18" customHeight="1" x14ac:dyDescent="0.3">
      <c r="A19" s="590">
        <v>10</v>
      </c>
      <c r="B19" s="165"/>
      <c r="C19" s="166"/>
      <c r="D19" s="583" t="s">
        <v>1151</v>
      </c>
      <c r="E19" s="164"/>
      <c r="F19" s="164"/>
      <c r="G19" s="1784"/>
      <c r="H19" s="605"/>
      <c r="I19" s="573">
        <f t="shared" si="1"/>
        <v>6500</v>
      </c>
      <c r="J19" s="445">
        <f>SUM(J17:J18)</f>
        <v>22</v>
      </c>
      <c r="K19" s="445">
        <f>SUM(K17:K18)</f>
        <v>12</v>
      </c>
      <c r="L19" s="445">
        <f>SUM(L17:L18)</f>
        <v>6466</v>
      </c>
      <c r="M19" s="168"/>
      <c r="N19" s="169"/>
    </row>
    <row r="20" spans="1:16" s="3" customFormat="1" ht="22.5" customHeight="1" x14ac:dyDescent="0.3">
      <c r="A20" s="590">
        <v>11</v>
      </c>
      <c r="B20" s="161"/>
      <c r="C20" s="162">
        <v>3</v>
      </c>
      <c r="D20" s="584" t="s">
        <v>46</v>
      </c>
      <c r="E20" s="164">
        <v>15651</v>
      </c>
      <c r="F20" s="164">
        <v>10000</v>
      </c>
      <c r="G20" s="1784">
        <v>7056</v>
      </c>
      <c r="H20" s="605" t="s">
        <v>24</v>
      </c>
      <c r="I20" s="574"/>
      <c r="J20" s="171"/>
      <c r="K20" s="171"/>
      <c r="L20" s="171"/>
      <c r="M20" s="171"/>
      <c r="N20" s="172"/>
      <c r="P20" s="8"/>
    </row>
    <row r="21" spans="1:16" s="8" customFormat="1" ht="18" customHeight="1" x14ac:dyDescent="0.3">
      <c r="A21" s="590">
        <v>12</v>
      </c>
      <c r="B21" s="165"/>
      <c r="C21" s="166"/>
      <c r="D21" s="1210" t="s">
        <v>311</v>
      </c>
      <c r="E21" s="164"/>
      <c r="F21" s="164"/>
      <c r="G21" s="1784"/>
      <c r="H21" s="605"/>
      <c r="I21" s="1203">
        <f>SUM(J21:N21)</f>
        <v>3000</v>
      </c>
      <c r="J21" s="168"/>
      <c r="K21" s="168"/>
      <c r="L21" s="1204">
        <v>3000</v>
      </c>
      <c r="M21" s="168"/>
      <c r="N21" s="169"/>
    </row>
    <row r="22" spans="1:16" s="8" customFormat="1" ht="18" customHeight="1" x14ac:dyDescent="0.3">
      <c r="A22" s="590">
        <v>13</v>
      </c>
      <c r="B22" s="165"/>
      <c r="C22" s="166"/>
      <c r="D22" s="583" t="s">
        <v>1072</v>
      </c>
      <c r="E22" s="164"/>
      <c r="F22" s="164"/>
      <c r="G22" s="1784"/>
      <c r="H22" s="605"/>
      <c r="I22" s="573">
        <f>SUM(J22:N22)</f>
        <v>3737</v>
      </c>
      <c r="J22" s="445">
        <v>30</v>
      </c>
      <c r="K22" s="445">
        <v>42</v>
      </c>
      <c r="L22" s="445">
        <v>3665</v>
      </c>
      <c r="M22" s="168"/>
      <c r="N22" s="169"/>
    </row>
    <row r="23" spans="1:16" s="8" customFormat="1" ht="18" customHeight="1" x14ac:dyDescent="0.3">
      <c r="A23" s="590">
        <v>14</v>
      </c>
      <c r="B23" s="165"/>
      <c r="C23" s="166"/>
      <c r="D23" s="1338" t="s">
        <v>986</v>
      </c>
      <c r="E23" s="164"/>
      <c r="F23" s="164"/>
      <c r="G23" s="1784"/>
      <c r="H23" s="605"/>
      <c r="I23" s="1341">
        <f t="shared" ref="I23" si="2">SUM(J23:N23)</f>
        <v>0</v>
      </c>
      <c r="J23" s="185"/>
      <c r="K23" s="185"/>
      <c r="L23" s="185"/>
      <c r="M23" s="168"/>
      <c r="N23" s="169"/>
    </row>
    <row r="24" spans="1:16" s="8" customFormat="1" ht="18" customHeight="1" x14ac:dyDescent="0.3">
      <c r="A24" s="590">
        <v>15</v>
      </c>
      <c r="B24" s="165"/>
      <c r="C24" s="166"/>
      <c r="D24" s="583" t="s">
        <v>1151</v>
      </c>
      <c r="E24" s="164"/>
      <c r="F24" s="164"/>
      <c r="G24" s="1784"/>
      <c r="H24" s="605"/>
      <c r="I24" s="573">
        <f>SUM(J24:N24)</f>
        <v>3737</v>
      </c>
      <c r="J24" s="445">
        <f>SUM(J22:J23)</f>
        <v>30</v>
      </c>
      <c r="K24" s="445">
        <f>SUM(K22:K23)</f>
        <v>42</v>
      </c>
      <c r="L24" s="445">
        <f>SUM(L22:L23)</f>
        <v>3665</v>
      </c>
      <c r="M24" s="168"/>
      <c r="N24" s="169"/>
    </row>
    <row r="25" spans="1:16" s="3" customFormat="1" ht="22.5" customHeight="1" x14ac:dyDescent="0.3">
      <c r="A25" s="590">
        <v>16</v>
      </c>
      <c r="B25" s="161"/>
      <c r="C25" s="162">
        <v>4</v>
      </c>
      <c r="D25" s="584" t="s">
        <v>47</v>
      </c>
      <c r="E25" s="164">
        <v>12950</v>
      </c>
      <c r="F25" s="164">
        <v>11000</v>
      </c>
      <c r="G25" s="1784">
        <v>13218</v>
      </c>
      <c r="H25" s="605" t="s">
        <v>24</v>
      </c>
      <c r="I25" s="1203"/>
      <c r="J25" s="168"/>
      <c r="K25" s="168"/>
      <c r="L25" s="168"/>
      <c r="M25" s="168"/>
      <c r="N25" s="169"/>
      <c r="P25" s="8"/>
    </row>
    <row r="26" spans="1:16" s="3" customFormat="1" ht="18" customHeight="1" x14ac:dyDescent="0.3">
      <c r="A26" s="590">
        <v>17</v>
      </c>
      <c r="B26" s="161"/>
      <c r="C26" s="162"/>
      <c r="D26" s="583" t="s">
        <v>1072</v>
      </c>
      <c r="E26" s="164"/>
      <c r="F26" s="164"/>
      <c r="G26" s="1784"/>
      <c r="H26" s="605"/>
      <c r="I26" s="573">
        <f t="shared" ref="I26:I28" si="3">SUM(J26:N26)</f>
        <v>11235</v>
      </c>
      <c r="J26" s="168"/>
      <c r="K26" s="168"/>
      <c r="L26" s="445">
        <v>11235</v>
      </c>
      <c r="M26" s="168"/>
      <c r="N26" s="169"/>
      <c r="P26" s="8"/>
    </row>
    <row r="27" spans="1:16" s="8" customFormat="1" ht="18" customHeight="1" x14ac:dyDescent="0.3">
      <c r="A27" s="590">
        <v>18</v>
      </c>
      <c r="B27" s="165"/>
      <c r="C27" s="166"/>
      <c r="D27" s="1338" t="s">
        <v>986</v>
      </c>
      <c r="E27" s="1100"/>
      <c r="F27" s="1100"/>
      <c r="G27" s="1785"/>
      <c r="H27" s="605"/>
      <c r="I27" s="1341">
        <f t="shared" si="3"/>
        <v>0</v>
      </c>
      <c r="J27" s="185"/>
      <c r="K27" s="185"/>
      <c r="L27" s="185"/>
      <c r="M27" s="185"/>
      <c r="N27" s="186"/>
    </row>
    <row r="28" spans="1:16" s="8" customFormat="1" ht="18" customHeight="1" x14ac:dyDescent="0.3">
      <c r="A28" s="590">
        <v>19</v>
      </c>
      <c r="B28" s="165"/>
      <c r="C28" s="166"/>
      <c r="D28" s="583" t="s">
        <v>1151</v>
      </c>
      <c r="E28" s="1100"/>
      <c r="F28" s="1100"/>
      <c r="G28" s="1785"/>
      <c r="H28" s="605"/>
      <c r="I28" s="573">
        <f t="shared" si="3"/>
        <v>11235</v>
      </c>
      <c r="J28" s="168"/>
      <c r="K28" s="168"/>
      <c r="L28" s="445">
        <f>SUM(L26:L27)</f>
        <v>11235</v>
      </c>
      <c r="M28" s="168"/>
      <c r="N28" s="169"/>
    </row>
    <row r="29" spans="1:16" s="3" customFormat="1" ht="22.5" customHeight="1" x14ac:dyDescent="0.3">
      <c r="A29" s="590">
        <v>20</v>
      </c>
      <c r="B29" s="161"/>
      <c r="C29" s="162">
        <v>5</v>
      </c>
      <c r="D29" s="584" t="s">
        <v>12</v>
      </c>
      <c r="E29" s="164">
        <v>8243</v>
      </c>
      <c r="F29" s="164">
        <v>10167</v>
      </c>
      <c r="G29" s="1784">
        <v>9366</v>
      </c>
      <c r="H29" s="605" t="s">
        <v>24</v>
      </c>
      <c r="I29" s="574"/>
      <c r="J29" s="171"/>
      <c r="K29" s="171"/>
      <c r="L29" s="171"/>
      <c r="M29" s="171"/>
      <c r="N29" s="172"/>
      <c r="O29" s="8"/>
      <c r="P29" s="8"/>
    </row>
    <row r="30" spans="1:16" s="1213" customFormat="1" ht="18" customHeight="1" x14ac:dyDescent="0.3">
      <c r="A30" s="590">
        <v>21</v>
      </c>
      <c r="B30" s="1208"/>
      <c r="C30" s="1209"/>
      <c r="D30" s="1210" t="s">
        <v>311</v>
      </c>
      <c r="E30" s="1211"/>
      <c r="F30" s="1211"/>
      <c r="G30" s="1786"/>
      <c r="H30" s="1212"/>
      <c r="I30" s="1203">
        <f>SUM(J30:N30)</f>
        <v>9601</v>
      </c>
      <c r="J30" s="1204">
        <v>3800</v>
      </c>
      <c r="K30" s="1204">
        <v>1100</v>
      </c>
      <c r="L30" s="1204">
        <v>4701</v>
      </c>
      <c r="M30" s="1204"/>
      <c r="N30" s="1205"/>
    </row>
    <row r="31" spans="1:16" s="1213" customFormat="1" ht="18" customHeight="1" x14ac:dyDescent="0.3">
      <c r="A31" s="590">
        <v>22</v>
      </c>
      <c r="B31" s="1208"/>
      <c r="C31" s="1209"/>
      <c r="D31" s="583" t="s">
        <v>1072</v>
      </c>
      <c r="E31" s="1211"/>
      <c r="F31" s="1211"/>
      <c r="G31" s="1786"/>
      <c r="H31" s="1212"/>
      <c r="I31" s="573">
        <f t="shared" ref="I31:I33" si="4">SUM(J31:N31)</f>
        <v>9601</v>
      </c>
      <c r="J31" s="445">
        <v>3500</v>
      </c>
      <c r="K31" s="445">
        <v>1061</v>
      </c>
      <c r="L31" s="445">
        <v>4701</v>
      </c>
      <c r="M31" s="1204"/>
      <c r="N31" s="441">
        <v>339</v>
      </c>
    </row>
    <row r="32" spans="1:16" s="1213" customFormat="1" ht="18" customHeight="1" x14ac:dyDescent="0.3">
      <c r="A32" s="590">
        <v>23</v>
      </c>
      <c r="B32" s="1208"/>
      <c r="C32" s="1209"/>
      <c r="D32" s="1338" t="s">
        <v>986</v>
      </c>
      <c r="E32" s="1211"/>
      <c r="F32" s="1211"/>
      <c r="G32" s="1786"/>
      <c r="H32" s="1212"/>
      <c r="I32" s="1341">
        <f t="shared" si="4"/>
        <v>0</v>
      </c>
      <c r="J32" s="185"/>
      <c r="K32" s="185"/>
      <c r="L32" s="185"/>
      <c r="M32" s="185"/>
      <c r="N32" s="186"/>
    </row>
    <row r="33" spans="1:16" s="1213" customFormat="1" ht="18" customHeight="1" x14ac:dyDescent="0.3">
      <c r="A33" s="590">
        <v>24</v>
      </c>
      <c r="B33" s="1208"/>
      <c r="C33" s="1209"/>
      <c r="D33" s="583" t="s">
        <v>1151</v>
      </c>
      <c r="E33" s="1211"/>
      <c r="F33" s="1211"/>
      <c r="G33" s="1786"/>
      <c r="H33" s="1212"/>
      <c r="I33" s="573">
        <f t="shared" si="4"/>
        <v>9601</v>
      </c>
      <c r="J33" s="445">
        <f>SUM(J31:J32)</f>
        <v>3500</v>
      </c>
      <c r="K33" s="445">
        <f t="shared" ref="K33:L33" si="5">SUM(K31:K32)</f>
        <v>1061</v>
      </c>
      <c r="L33" s="445">
        <f t="shared" si="5"/>
        <v>4701</v>
      </c>
      <c r="M33" s="445"/>
      <c r="N33" s="441">
        <f>SUM(N31:N32)</f>
        <v>339</v>
      </c>
    </row>
    <row r="34" spans="1:16" s="3" customFormat="1" ht="22.5" customHeight="1" x14ac:dyDescent="0.3">
      <c r="A34" s="590">
        <v>25</v>
      </c>
      <c r="B34" s="161"/>
      <c r="C34" s="162">
        <v>6</v>
      </c>
      <c r="D34" s="584" t="s">
        <v>439</v>
      </c>
      <c r="E34" s="164">
        <v>1000</v>
      </c>
      <c r="F34" s="164">
        <v>1000</v>
      </c>
      <c r="G34" s="1784"/>
      <c r="H34" s="605" t="s">
        <v>24</v>
      </c>
      <c r="I34" s="1203"/>
      <c r="J34" s="171"/>
      <c r="K34" s="171"/>
      <c r="L34" s="171"/>
      <c r="M34" s="171"/>
      <c r="N34" s="172"/>
      <c r="O34" s="8"/>
      <c r="P34" s="8"/>
    </row>
    <row r="35" spans="1:16" s="3" customFormat="1" ht="22.5" customHeight="1" x14ac:dyDescent="0.3">
      <c r="A35" s="590">
        <v>26</v>
      </c>
      <c r="B35" s="161"/>
      <c r="C35" s="162">
        <v>7</v>
      </c>
      <c r="D35" s="584" t="s">
        <v>10</v>
      </c>
      <c r="E35" s="164">
        <f>SUM(E36,E37,E38,E39,E41,E40)</f>
        <v>72000</v>
      </c>
      <c r="F35" s="164">
        <f>SUM(F36,F37,F38,F39,F41,F40)</f>
        <v>74000</v>
      </c>
      <c r="G35" s="1784">
        <f>SUM(G36,G37,G38,G39,G41,G40)</f>
        <v>74000</v>
      </c>
      <c r="H35" s="605" t="s">
        <v>24</v>
      </c>
      <c r="I35" s="1203"/>
      <c r="J35" s="171"/>
      <c r="K35" s="171"/>
      <c r="L35" s="171"/>
      <c r="M35" s="171"/>
      <c r="N35" s="172"/>
      <c r="O35" s="8"/>
      <c r="P35" s="8"/>
    </row>
    <row r="36" spans="1:16" s="9" customFormat="1" ht="18" customHeight="1" x14ac:dyDescent="0.3">
      <c r="A36" s="590">
        <v>27</v>
      </c>
      <c r="B36" s="173"/>
      <c r="C36" s="561"/>
      <c r="D36" s="442" t="s">
        <v>48</v>
      </c>
      <c r="E36" s="174">
        <v>30000</v>
      </c>
      <c r="F36" s="174">
        <v>30000</v>
      </c>
      <c r="G36" s="1787">
        <v>30000</v>
      </c>
      <c r="H36" s="606"/>
      <c r="I36" s="1203"/>
      <c r="J36" s="185"/>
      <c r="K36" s="185"/>
      <c r="L36" s="185"/>
      <c r="M36" s="185"/>
      <c r="N36" s="186"/>
      <c r="P36" s="8"/>
    </row>
    <row r="37" spans="1:16" s="9" customFormat="1" ht="18" customHeight="1" x14ac:dyDescent="0.3">
      <c r="A37" s="590">
        <v>28</v>
      </c>
      <c r="B37" s="173"/>
      <c r="C37" s="561"/>
      <c r="D37" s="442" t="s">
        <v>49</v>
      </c>
      <c r="E37" s="174">
        <v>15000</v>
      </c>
      <c r="F37" s="174">
        <v>15000</v>
      </c>
      <c r="G37" s="1787">
        <v>15000</v>
      </c>
      <c r="H37" s="606"/>
      <c r="I37" s="1203"/>
      <c r="J37" s="175"/>
      <c r="K37" s="175"/>
      <c r="L37" s="175"/>
      <c r="M37" s="175"/>
      <c r="N37" s="176"/>
      <c r="P37" s="8"/>
    </row>
    <row r="38" spans="1:16" s="9" customFormat="1" ht="18" customHeight="1" x14ac:dyDescent="0.3">
      <c r="A38" s="590">
        <v>29</v>
      </c>
      <c r="B38" s="173"/>
      <c r="C38" s="561"/>
      <c r="D38" s="442" t="s">
        <v>50</v>
      </c>
      <c r="E38" s="174">
        <v>5000</v>
      </c>
      <c r="F38" s="174">
        <v>2000</v>
      </c>
      <c r="G38" s="1787">
        <v>2000</v>
      </c>
      <c r="H38" s="606"/>
      <c r="I38" s="1203"/>
      <c r="J38" s="175"/>
      <c r="K38" s="175"/>
      <c r="L38" s="175"/>
      <c r="M38" s="175"/>
      <c r="N38" s="176"/>
      <c r="P38" s="8"/>
    </row>
    <row r="39" spans="1:16" s="9" customFormat="1" ht="18" customHeight="1" x14ac:dyDescent="0.3">
      <c r="A39" s="590">
        <v>30</v>
      </c>
      <c r="B39" s="173"/>
      <c r="C39" s="561"/>
      <c r="D39" s="442" t="s">
        <v>51</v>
      </c>
      <c r="E39" s="174">
        <v>15000</v>
      </c>
      <c r="F39" s="174">
        <v>15000</v>
      </c>
      <c r="G39" s="1787">
        <v>15000</v>
      </c>
      <c r="H39" s="606"/>
      <c r="I39" s="1203"/>
      <c r="J39" s="175"/>
      <c r="K39" s="175"/>
      <c r="L39" s="175"/>
      <c r="M39" s="175"/>
      <c r="N39" s="176"/>
      <c r="P39" s="8"/>
    </row>
    <row r="40" spans="1:16" s="9" customFormat="1" ht="18" customHeight="1" x14ac:dyDescent="0.3">
      <c r="A40" s="590">
        <v>31</v>
      </c>
      <c r="B40" s="173"/>
      <c r="C40" s="166"/>
      <c r="D40" s="442" t="s">
        <v>52</v>
      </c>
      <c r="E40" s="174">
        <v>5000</v>
      </c>
      <c r="F40" s="174">
        <v>10000</v>
      </c>
      <c r="G40" s="1787">
        <v>10000</v>
      </c>
      <c r="H40" s="606"/>
      <c r="I40" s="1203"/>
      <c r="J40" s="175"/>
      <c r="K40" s="175"/>
      <c r="L40" s="175"/>
      <c r="M40" s="175"/>
      <c r="N40" s="176"/>
    </row>
    <row r="41" spans="1:16" s="9" customFormat="1" ht="22.5" customHeight="1" x14ac:dyDescent="0.3">
      <c r="A41" s="590">
        <v>32</v>
      </c>
      <c r="B41" s="173"/>
      <c r="C41" s="162">
        <v>8</v>
      </c>
      <c r="D41" s="584" t="s">
        <v>782</v>
      </c>
      <c r="E41" s="164">
        <v>2000</v>
      </c>
      <c r="F41" s="174">
        <v>2000</v>
      </c>
      <c r="G41" s="1787">
        <v>2000</v>
      </c>
      <c r="H41" s="605" t="s">
        <v>24</v>
      </c>
      <c r="I41" s="1203"/>
      <c r="J41" s="185"/>
      <c r="K41" s="185"/>
      <c r="L41" s="185"/>
      <c r="M41" s="185"/>
      <c r="N41" s="186"/>
      <c r="P41" s="8"/>
    </row>
    <row r="42" spans="1:16" s="3" customFormat="1" ht="22.5" customHeight="1" x14ac:dyDescent="0.3">
      <c r="A42" s="590">
        <v>33</v>
      </c>
      <c r="B42" s="161"/>
      <c r="C42" s="162">
        <v>9</v>
      </c>
      <c r="D42" s="584" t="s">
        <v>280</v>
      </c>
      <c r="E42" s="164">
        <v>7817</v>
      </c>
      <c r="F42" s="164">
        <v>10000</v>
      </c>
      <c r="G42" s="1784">
        <v>16207</v>
      </c>
      <c r="H42" s="605" t="s">
        <v>24</v>
      </c>
      <c r="I42" s="1203"/>
      <c r="J42" s="168"/>
      <c r="K42" s="168"/>
      <c r="L42" s="168"/>
      <c r="M42" s="168"/>
      <c r="N42" s="169"/>
      <c r="P42" s="8"/>
    </row>
    <row r="43" spans="1:16" s="3" customFormat="1" ht="18" customHeight="1" x14ac:dyDescent="0.3">
      <c r="A43" s="590">
        <v>34</v>
      </c>
      <c r="B43" s="161"/>
      <c r="C43" s="162"/>
      <c r="D43" s="583" t="s">
        <v>1072</v>
      </c>
      <c r="E43" s="1784"/>
      <c r="F43" s="164"/>
      <c r="G43" s="1877"/>
      <c r="H43" s="605"/>
      <c r="I43" s="573">
        <f t="shared" ref="I43:I49" si="6">SUM(J43:N43)</f>
        <v>6657</v>
      </c>
      <c r="J43" s="168"/>
      <c r="K43" s="168"/>
      <c r="L43" s="445">
        <v>6657</v>
      </c>
      <c r="M43" s="168"/>
      <c r="N43" s="169"/>
      <c r="P43" s="8"/>
    </row>
    <row r="44" spans="1:16" s="8" customFormat="1" ht="18" customHeight="1" x14ac:dyDescent="0.3">
      <c r="A44" s="590">
        <v>35</v>
      </c>
      <c r="B44" s="165"/>
      <c r="C44" s="166"/>
      <c r="D44" s="1338" t="s">
        <v>986</v>
      </c>
      <c r="E44" s="1372"/>
      <c r="F44" s="1100"/>
      <c r="G44" s="1788"/>
      <c r="H44" s="605"/>
      <c r="I44" s="1341">
        <f t="shared" si="6"/>
        <v>0</v>
      </c>
      <c r="J44" s="168"/>
      <c r="K44" s="168"/>
      <c r="L44" s="168"/>
      <c r="M44" s="168"/>
      <c r="N44" s="169"/>
    </row>
    <row r="45" spans="1:16" s="8" customFormat="1" ht="18" customHeight="1" x14ac:dyDescent="0.3">
      <c r="A45" s="590">
        <v>36</v>
      </c>
      <c r="B45" s="165"/>
      <c r="C45" s="166"/>
      <c r="D45" s="583" t="s">
        <v>1151</v>
      </c>
      <c r="E45" s="1109"/>
      <c r="F45" s="1371"/>
      <c r="G45" s="1109"/>
      <c r="H45" s="605"/>
      <c r="I45" s="573">
        <f t="shared" si="6"/>
        <v>6657</v>
      </c>
      <c r="J45" s="168"/>
      <c r="K45" s="168"/>
      <c r="L45" s="445">
        <f>SUM(L43:L44)</f>
        <v>6657</v>
      </c>
      <c r="M45" s="168"/>
      <c r="N45" s="169"/>
    </row>
    <row r="46" spans="1:16" s="3" customFormat="1" ht="22.5" customHeight="1" x14ac:dyDescent="0.3">
      <c r="A46" s="590">
        <v>37</v>
      </c>
      <c r="B46" s="161"/>
      <c r="C46" s="162">
        <v>10</v>
      </c>
      <c r="D46" s="584" t="s">
        <v>53</v>
      </c>
      <c r="E46" s="164">
        <v>6008</v>
      </c>
      <c r="F46" s="164">
        <v>4500</v>
      </c>
      <c r="G46" s="1784">
        <v>22414</v>
      </c>
      <c r="H46" s="605" t="s">
        <v>24</v>
      </c>
      <c r="I46" s="1203"/>
      <c r="J46" s="168"/>
      <c r="K46" s="168"/>
      <c r="L46" s="168"/>
      <c r="M46" s="168"/>
      <c r="N46" s="169"/>
      <c r="P46" s="8"/>
    </row>
    <row r="47" spans="1:16" s="3" customFormat="1" ht="18" customHeight="1" x14ac:dyDescent="0.3">
      <c r="A47" s="590">
        <v>38</v>
      </c>
      <c r="B47" s="161"/>
      <c r="C47" s="162"/>
      <c r="D47" s="583" t="s">
        <v>1072</v>
      </c>
      <c r="E47" s="164"/>
      <c r="F47" s="164"/>
      <c r="G47" s="1784"/>
      <c r="H47" s="607"/>
      <c r="I47" s="573">
        <f t="shared" si="6"/>
        <v>3499</v>
      </c>
      <c r="J47" s="168"/>
      <c r="K47" s="168"/>
      <c r="L47" s="445">
        <f>1554+1945</f>
        <v>3499</v>
      </c>
      <c r="M47" s="168"/>
      <c r="N47" s="169"/>
      <c r="P47" s="8"/>
    </row>
    <row r="48" spans="1:16" s="8" customFormat="1" ht="18" customHeight="1" x14ac:dyDescent="0.3">
      <c r="A48" s="590">
        <v>39</v>
      </c>
      <c r="B48" s="165"/>
      <c r="C48" s="166"/>
      <c r="D48" s="1338" t="s">
        <v>987</v>
      </c>
      <c r="E48" s="164"/>
      <c r="F48" s="164"/>
      <c r="G48" s="1784"/>
      <c r="H48" s="607"/>
      <c r="I48" s="1341">
        <f t="shared" si="6"/>
        <v>3500</v>
      </c>
      <c r="J48" s="185"/>
      <c r="K48" s="185"/>
      <c r="L48" s="185">
        <v>3500</v>
      </c>
      <c r="M48" s="185"/>
      <c r="N48" s="186"/>
    </row>
    <row r="49" spans="1:16" s="8" customFormat="1" ht="18" customHeight="1" x14ac:dyDescent="0.3">
      <c r="A49" s="590">
        <v>40</v>
      </c>
      <c r="B49" s="165"/>
      <c r="C49" s="166"/>
      <c r="D49" s="583" t="s">
        <v>1151</v>
      </c>
      <c r="E49" s="164"/>
      <c r="F49" s="164"/>
      <c r="G49" s="1784"/>
      <c r="H49" s="607"/>
      <c r="I49" s="573">
        <f t="shared" si="6"/>
        <v>6999</v>
      </c>
      <c r="J49" s="445"/>
      <c r="K49" s="445"/>
      <c r="L49" s="445">
        <f>SUM(L47:L48)</f>
        <v>6999</v>
      </c>
      <c r="M49" s="168"/>
      <c r="N49" s="169"/>
    </row>
    <row r="50" spans="1:16" s="3" customFormat="1" ht="22.5" customHeight="1" x14ac:dyDescent="0.3">
      <c r="A50" s="590">
        <v>41</v>
      </c>
      <c r="B50" s="161"/>
      <c r="C50" s="162">
        <v>11</v>
      </c>
      <c r="D50" s="584" t="s">
        <v>54</v>
      </c>
      <c r="E50" s="164">
        <v>21</v>
      </c>
      <c r="F50" s="164">
        <v>2000</v>
      </c>
      <c r="G50" s="1784">
        <v>450</v>
      </c>
      <c r="H50" s="607" t="s">
        <v>24</v>
      </c>
      <c r="I50" s="573"/>
      <c r="J50" s="168"/>
      <c r="K50" s="168"/>
      <c r="L50" s="168"/>
      <c r="M50" s="168"/>
      <c r="N50" s="169"/>
      <c r="P50" s="8"/>
    </row>
    <row r="51" spans="1:16" s="1219" customFormat="1" ht="18" customHeight="1" x14ac:dyDescent="0.35">
      <c r="A51" s="590">
        <v>42</v>
      </c>
      <c r="B51" s="1214"/>
      <c r="C51" s="1209"/>
      <c r="D51" s="1210" t="s">
        <v>311</v>
      </c>
      <c r="E51" s="1215"/>
      <c r="F51" s="1215"/>
      <c r="G51" s="1789"/>
      <c r="H51" s="1216"/>
      <c r="I51" s="1203">
        <f>SUM(J51:N51)</f>
        <v>1000</v>
      </c>
      <c r="J51" s="1217"/>
      <c r="K51" s="1217"/>
      <c r="L51" s="1217">
        <v>1000</v>
      </c>
      <c r="M51" s="1217"/>
      <c r="N51" s="1218"/>
      <c r="P51" s="1213"/>
    </row>
    <row r="52" spans="1:16" s="1219" customFormat="1" ht="18" customHeight="1" x14ac:dyDescent="0.35">
      <c r="A52" s="590">
        <v>43</v>
      </c>
      <c r="B52" s="1214"/>
      <c r="C52" s="1209"/>
      <c r="D52" s="583" t="s">
        <v>1072</v>
      </c>
      <c r="E52" s="1215"/>
      <c r="F52" s="1215"/>
      <c r="G52" s="1789"/>
      <c r="H52" s="1216"/>
      <c r="I52" s="573">
        <f t="shared" ref="I52:I54" si="7">SUM(J52:N52)</f>
        <v>1750</v>
      </c>
      <c r="J52" s="1217"/>
      <c r="K52" s="1217"/>
      <c r="L52" s="1339">
        <v>1750</v>
      </c>
      <c r="M52" s="1217"/>
      <c r="N52" s="1218"/>
      <c r="P52" s="1213"/>
    </row>
    <row r="53" spans="1:16" s="1219" customFormat="1" ht="18" customHeight="1" x14ac:dyDescent="0.35">
      <c r="A53" s="590">
        <v>44</v>
      </c>
      <c r="B53" s="1214"/>
      <c r="C53" s="1209"/>
      <c r="D53" s="1338" t="s">
        <v>986</v>
      </c>
      <c r="E53" s="1215"/>
      <c r="F53" s="1215"/>
      <c r="G53" s="1789"/>
      <c r="H53" s="1216"/>
      <c r="I53" s="1341">
        <f t="shared" si="7"/>
        <v>0</v>
      </c>
      <c r="J53" s="628"/>
      <c r="K53" s="628"/>
      <c r="L53" s="628"/>
      <c r="M53" s="628"/>
      <c r="N53" s="629"/>
      <c r="P53" s="1213"/>
    </row>
    <row r="54" spans="1:16" s="1219" customFormat="1" ht="18" customHeight="1" x14ac:dyDescent="0.35">
      <c r="A54" s="590">
        <v>45</v>
      </c>
      <c r="B54" s="1214"/>
      <c r="C54" s="1209"/>
      <c r="D54" s="583" t="s">
        <v>1151</v>
      </c>
      <c r="E54" s="1215"/>
      <c r="F54" s="1215"/>
      <c r="G54" s="1789"/>
      <c r="H54" s="1216"/>
      <c r="I54" s="573">
        <f t="shared" si="7"/>
        <v>1750</v>
      </c>
      <c r="J54" s="1339"/>
      <c r="K54" s="1339"/>
      <c r="L54" s="1339">
        <f>SUM(L52:L53)</f>
        <v>1750</v>
      </c>
      <c r="M54" s="1339"/>
      <c r="N54" s="1340"/>
      <c r="P54" s="1213"/>
    </row>
    <row r="55" spans="1:16" s="3" customFormat="1" ht="22.5" customHeight="1" x14ac:dyDescent="0.3">
      <c r="A55" s="590">
        <v>46</v>
      </c>
      <c r="B55" s="161"/>
      <c r="C55" s="162">
        <v>12</v>
      </c>
      <c r="D55" s="584" t="s">
        <v>55</v>
      </c>
      <c r="E55" s="164">
        <v>2657</v>
      </c>
      <c r="F55" s="164">
        <v>4000</v>
      </c>
      <c r="G55" s="1784">
        <v>1887</v>
      </c>
      <c r="H55" s="605" t="s">
        <v>24</v>
      </c>
      <c r="I55" s="573"/>
      <c r="J55" s="168"/>
      <c r="K55" s="168"/>
      <c r="L55" s="168"/>
      <c r="M55" s="168"/>
      <c r="N55" s="169"/>
      <c r="P55" s="8"/>
    </row>
    <row r="56" spans="1:16" s="1213" customFormat="1" ht="18" customHeight="1" x14ac:dyDescent="0.3">
      <c r="A56" s="590">
        <v>47</v>
      </c>
      <c r="B56" s="1208"/>
      <c r="C56" s="1209"/>
      <c r="D56" s="1210" t="s">
        <v>311</v>
      </c>
      <c r="E56" s="1211"/>
      <c r="F56" s="1211"/>
      <c r="G56" s="1786"/>
      <c r="H56" s="1212"/>
      <c r="I56" s="1203">
        <f>SUM(J56:N56)</f>
        <v>2000</v>
      </c>
      <c r="J56" s="1204"/>
      <c r="K56" s="1204"/>
      <c r="L56" s="1204">
        <v>2000</v>
      </c>
      <c r="M56" s="1204"/>
      <c r="N56" s="1205"/>
    </row>
    <row r="57" spans="1:16" s="1213" customFormat="1" ht="18" customHeight="1" x14ac:dyDescent="0.3">
      <c r="A57" s="590">
        <v>48</v>
      </c>
      <c r="B57" s="1208"/>
      <c r="C57" s="1209"/>
      <c r="D57" s="583" t="s">
        <v>1072</v>
      </c>
      <c r="E57" s="1211"/>
      <c r="F57" s="1211"/>
      <c r="G57" s="1786"/>
      <c r="H57" s="1212"/>
      <c r="I57" s="573">
        <f t="shared" ref="I57:I59" si="8">SUM(J57:N57)</f>
        <v>0</v>
      </c>
      <c r="J57" s="1204"/>
      <c r="K57" s="1204"/>
      <c r="L57" s="445">
        <v>0</v>
      </c>
      <c r="M57" s="1204"/>
      <c r="N57" s="1205"/>
    </row>
    <row r="58" spans="1:16" s="1213" customFormat="1" ht="18" customHeight="1" x14ac:dyDescent="0.3">
      <c r="A58" s="590">
        <v>49</v>
      </c>
      <c r="B58" s="1208"/>
      <c r="C58" s="1209"/>
      <c r="D58" s="1338" t="s">
        <v>986</v>
      </c>
      <c r="E58" s="1211"/>
      <c r="F58" s="1211"/>
      <c r="G58" s="1786"/>
      <c r="H58" s="1212"/>
      <c r="I58" s="1341">
        <f t="shared" si="8"/>
        <v>0</v>
      </c>
      <c r="J58" s="185"/>
      <c r="K58" s="185"/>
      <c r="L58" s="185"/>
      <c r="M58" s="185"/>
      <c r="N58" s="186"/>
    </row>
    <row r="59" spans="1:16" s="1213" customFormat="1" ht="18" customHeight="1" x14ac:dyDescent="0.3">
      <c r="A59" s="590">
        <v>50</v>
      </c>
      <c r="B59" s="1208"/>
      <c r="C59" s="1209"/>
      <c r="D59" s="583" t="s">
        <v>1151</v>
      </c>
      <c r="E59" s="1211"/>
      <c r="F59" s="1211"/>
      <c r="G59" s="1786"/>
      <c r="H59" s="1212"/>
      <c r="I59" s="573">
        <f t="shared" si="8"/>
        <v>0</v>
      </c>
      <c r="J59" s="445"/>
      <c r="K59" s="445"/>
      <c r="L59" s="445">
        <f>SUM(L57:L58)</f>
        <v>0</v>
      </c>
      <c r="M59" s="445"/>
      <c r="N59" s="441"/>
    </row>
    <row r="60" spans="1:16" s="3" customFormat="1" ht="22.5" customHeight="1" x14ac:dyDescent="0.3">
      <c r="A60" s="590">
        <v>51</v>
      </c>
      <c r="B60" s="161"/>
      <c r="C60" s="162">
        <v>13</v>
      </c>
      <c r="D60" s="584" t="s">
        <v>56</v>
      </c>
      <c r="E60" s="164">
        <f>SUM(E65,E70,E75,E80)</f>
        <v>5498</v>
      </c>
      <c r="F60" s="164">
        <f>SUM(F65,F70,F75,F80)+F81+F82</f>
        <v>13000</v>
      </c>
      <c r="G60" s="164">
        <f>SUM(G65,G70,G75,G80)+G83</f>
        <v>7346</v>
      </c>
      <c r="H60" s="605" t="s">
        <v>24</v>
      </c>
      <c r="I60" s="573"/>
      <c r="J60" s="168"/>
      <c r="K60" s="168"/>
      <c r="L60" s="168"/>
      <c r="M60" s="168"/>
      <c r="N60" s="169"/>
      <c r="P60" s="8"/>
    </row>
    <row r="61" spans="1:16" s="1213" customFormat="1" ht="18" customHeight="1" x14ac:dyDescent="0.3">
      <c r="A61" s="590">
        <v>52</v>
      </c>
      <c r="B61" s="1208"/>
      <c r="C61" s="1209"/>
      <c r="D61" s="1210" t="s">
        <v>311</v>
      </c>
      <c r="E61" s="1211"/>
      <c r="F61" s="1211"/>
      <c r="G61" s="1786"/>
      <c r="H61" s="1212"/>
      <c r="I61" s="1203">
        <f>SUM(J61:N61)</f>
        <v>2925</v>
      </c>
      <c r="J61" s="1204">
        <f>SUM(J66,J71,J76,)</f>
        <v>0</v>
      </c>
      <c r="K61" s="1204">
        <f t="shared" ref="K61:N62" si="9">SUM(K66,K71,K76,)</f>
        <v>0</v>
      </c>
      <c r="L61" s="1204">
        <f t="shared" si="9"/>
        <v>0</v>
      </c>
      <c r="M61" s="1204">
        <f t="shared" si="9"/>
        <v>0</v>
      </c>
      <c r="N61" s="1205">
        <f t="shared" si="9"/>
        <v>2925</v>
      </c>
    </row>
    <row r="62" spans="1:16" s="1213" customFormat="1" ht="18" customHeight="1" x14ac:dyDescent="0.3">
      <c r="A62" s="590">
        <v>53</v>
      </c>
      <c r="B62" s="1208"/>
      <c r="C62" s="1209"/>
      <c r="D62" s="583" t="s">
        <v>1072</v>
      </c>
      <c r="E62" s="1211"/>
      <c r="F62" s="1211"/>
      <c r="G62" s="1786"/>
      <c r="H62" s="1212"/>
      <c r="I62" s="573">
        <f>SUM(J62:N62)</f>
        <v>0</v>
      </c>
      <c r="J62" s="445">
        <f>SUM(J67,J72,J77,)</f>
        <v>0</v>
      </c>
      <c r="K62" s="445">
        <f t="shared" si="9"/>
        <v>0</v>
      </c>
      <c r="L62" s="445">
        <f t="shared" si="9"/>
        <v>0</v>
      </c>
      <c r="M62" s="445">
        <f t="shared" si="9"/>
        <v>0</v>
      </c>
      <c r="N62" s="441">
        <f t="shared" si="9"/>
        <v>0</v>
      </c>
    </row>
    <row r="63" spans="1:16" s="1213" customFormat="1" ht="18" customHeight="1" x14ac:dyDescent="0.3">
      <c r="A63" s="590">
        <v>54</v>
      </c>
      <c r="B63" s="1208"/>
      <c r="C63" s="1209"/>
      <c r="D63" s="1338" t="s">
        <v>963</v>
      </c>
      <c r="E63" s="1211"/>
      <c r="F63" s="1211"/>
      <c r="G63" s="1786"/>
      <c r="H63" s="1212"/>
      <c r="I63" s="1341">
        <f t="shared" ref="I63" si="10">SUM(J63:N63)</f>
        <v>0</v>
      </c>
      <c r="J63" s="185">
        <f>J68+J73+J78</f>
        <v>0</v>
      </c>
      <c r="K63" s="185">
        <f t="shared" ref="K63:N63" si="11">K68+K73+K78</f>
        <v>0</v>
      </c>
      <c r="L63" s="185">
        <f t="shared" si="11"/>
        <v>0</v>
      </c>
      <c r="M63" s="185">
        <f t="shared" si="11"/>
        <v>0</v>
      </c>
      <c r="N63" s="186">
        <f t="shared" si="11"/>
        <v>0</v>
      </c>
    </row>
    <row r="64" spans="1:16" s="1213" customFormat="1" ht="18" customHeight="1" x14ac:dyDescent="0.3">
      <c r="A64" s="590">
        <v>55</v>
      </c>
      <c r="B64" s="1208"/>
      <c r="C64" s="1209"/>
      <c r="D64" s="583" t="s">
        <v>1151</v>
      </c>
      <c r="E64" s="1211"/>
      <c r="F64" s="1211"/>
      <c r="G64" s="1786"/>
      <c r="H64" s="1212"/>
      <c r="I64" s="573">
        <f>SUM(J64:N64)</f>
        <v>0</v>
      </c>
      <c r="J64" s="445">
        <f>SUM(J62:J63)</f>
        <v>0</v>
      </c>
      <c r="K64" s="445">
        <f t="shared" ref="K64:N64" si="12">SUM(K62:K63)</f>
        <v>0</v>
      </c>
      <c r="L64" s="445">
        <f t="shared" si="12"/>
        <v>0</v>
      </c>
      <c r="M64" s="445">
        <f t="shared" si="12"/>
        <v>0</v>
      </c>
      <c r="N64" s="441">
        <f t="shared" si="12"/>
        <v>0</v>
      </c>
    </row>
    <row r="65" spans="1:14" s="9" customFormat="1" ht="18" customHeight="1" x14ac:dyDescent="0.3">
      <c r="A65" s="590">
        <v>56</v>
      </c>
      <c r="B65" s="173"/>
      <c r="C65" s="166"/>
      <c r="D65" s="177" t="s">
        <v>289</v>
      </c>
      <c r="E65" s="174"/>
      <c r="F65" s="174">
        <v>1500</v>
      </c>
      <c r="G65" s="1787"/>
      <c r="H65" s="606"/>
      <c r="I65" s="575"/>
      <c r="J65" s="185"/>
      <c r="K65" s="185"/>
      <c r="L65" s="185"/>
      <c r="M65" s="185"/>
      <c r="N65" s="186"/>
    </row>
    <row r="66" spans="1:14" s="1226" customFormat="1" ht="18" customHeight="1" x14ac:dyDescent="0.3">
      <c r="A66" s="590">
        <v>57</v>
      </c>
      <c r="B66" s="1220"/>
      <c r="C66" s="1209"/>
      <c r="D66" s="1221" t="s">
        <v>311</v>
      </c>
      <c r="E66" s="1222"/>
      <c r="F66" s="1222"/>
      <c r="G66" s="1790"/>
      <c r="H66" s="1223"/>
      <c r="I66" s="1206">
        <f>SUM(J66:N66)</f>
        <v>1000</v>
      </c>
      <c r="J66" s="1224"/>
      <c r="K66" s="1224"/>
      <c r="L66" s="1224"/>
      <c r="M66" s="1224"/>
      <c r="N66" s="1225">
        <v>1000</v>
      </c>
    </row>
    <row r="67" spans="1:14" s="1226" customFormat="1" ht="18" customHeight="1" x14ac:dyDescent="0.3">
      <c r="A67" s="590">
        <v>58</v>
      </c>
      <c r="B67" s="1220"/>
      <c r="C67" s="1209"/>
      <c r="D67" s="1344" t="s">
        <v>1072</v>
      </c>
      <c r="E67" s="1222"/>
      <c r="F67" s="1222"/>
      <c r="G67" s="1790"/>
      <c r="H67" s="1223"/>
      <c r="I67" s="575">
        <f t="shared" ref="I67:I69" si="13">SUM(J67:N67)</f>
        <v>0</v>
      </c>
      <c r="J67" s="1224"/>
      <c r="K67" s="1224"/>
      <c r="L67" s="1224"/>
      <c r="M67" s="1224"/>
      <c r="N67" s="1343">
        <v>0</v>
      </c>
    </row>
    <row r="68" spans="1:14" s="1226" customFormat="1" ht="18" customHeight="1" x14ac:dyDescent="0.3">
      <c r="A68" s="590">
        <v>59</v>
      </c>
      <c r="B68" s="1220"/>
      <c r="C68" s="1209"/>
      <c r="D68" s="1345" t="s">
        <v>987</v>
      </c>
      <c r="E68" s="1222"/>
      <c r="F68" s="1222"/>
      <c r="G68" s="1790"/>
      <c r="H68" s="1223"/>
      <c r="I68" s="1341">
        <f t="shared" si="13"/>
        <v>0</v>
      </c>
      <c r="J68" s="185"/>
      <c r="K68" s="185"/>
      <c r="L68" s="185"/>
      <c r="M68" s="185"/>
      <c r="N68" s="186"/>
    </row>
    <row r="69" spans="1:14" s="1226" customFormat="1" ht="18" customHeight="1" x14ac:dyDescent="0.3">
      <c r="A69" s="590">
        <v>60</v>
      </c>
      <c r="B69" s="1220"/>
      <c r="C69" s="1209"/>
      <c r="D69" s="1344" t="s">
        <v>1151</v>
      </c>
      <c r="E69" s="1222"/>
      <c r="F69" s="1222"/>
      <c r="G69" s="1790"/>
      <c r="H69" s="1223"/>
      <c r="I69" s="575">
        <f t="shared" si="13"/>
        <v>0</v>
      </c>
      <c r="J69" s="1342"/>
      <c r="K69" s="1342"/>
      <c r="L69" s="1342"/>
      <c r="M69" s="1342"/>
      <c r="N69" s="1343">
        <f>SUM(N67:N68)</f>
        <v>0</v>
      </c>
    </row>
    <row r="70" spans="1:14" s="9" customFormat="1" ht="18" customHeight="1" x14ac:dyDescent="0.3">
      <c r="A70" s="590">
        <v>61</v>
      </c>
      <c r="B70" s="173"/>
      <c r="C70" s="166"/>
      <c r="D70" s="177" t="s">
        <v>290</v>
      </c>
      <c r="E70" s="174">
        <v>2998</v>
      </c>
      <c r="F70" s="174">
        <v>2000</v>
      </c>
      <c r="G70" s="1787">
        <v>2846</v>
      </c>
      <c r="H70" s="606"/>
      <c r="I70" s="576"/>
      <c r="J70" s="175"/>
      <c r="K70" s="175"/>
      <c r="L70" s="175"/>
      <c r="M70" s="175"/>
      <c r="N70" s="176"/>
    </row>
    <row r="71" spans="1:14" s="1226" customFormat="1" ht="18" customHeight="1" x14ac:dyDescent="0.3">
      <c r="A71" s="590">
        <v>62</v>
      </c>
      <c r="B71" s="1220"/>
      <c r="C71" s="1209"/>
      <c r="D71" s="1221" t="s">
        <v>311</v>
      </c>
      <c r="E71" s="1222"/>
      <c r="F71" s="1222"/>
      <c r="G71" s="1790"/>
      <c r="H71" s="1223"/>
      <c r="I71" s="1206">
        <f>SUM(J71:N71)</f>
        <v>1500</v>
      </c>
      <c r="J71" s="1224"/>
      <c r="K71" s="1224"/>
      <c r="L71" s="1224"/>
      <c r="M71" s="1224"/>
      <c r="N71" s="1225">
        <v>1500</v>
      </c>
    </row>
    <row r="72" spans="1:14" s="1226" customFormat="1" ht="18" customHeight="1" x14ac:dyDescent="0.3">
      <c r="A72" s="590">
        <v>63</v>
      </c>
      <c r="B72" s="1220"/>
      <c r="C72" s="1209"/>
      <c r="D72" s="1344" t="s">
        <v>1072</v>
      </c>
      <c r="E72" s="1222"/>
      <c r="F72" s="1222"/>
      <c r="G72" s="1790"/>
      <c r="H72" s="1223"/>
      <c r="I72" s="575">
        <f t="shared" ref="I72" si="14">SUM(J72:N72)</f>
        <v>0</v>
      </c>
      <c r="J72" s="1224"/>
      <c r="K72" s="1224"/>
      <c r="L72" s="1224"/>
      <c r="M72" s="1224"/>
      <c r="N72" s="1343">
        <v>0</v>
      </c>
    </row>
    <row r="73" spans="1:14" s="1226" customFormat="1" ht="18" customHeight="1" x14ac:dyDescent="0.3">
      <c r="A73" s="590">
        <v>64</v>
      </c>
      <c r="B73" s="1220"/>
      <c r="C73" s="1209"/>
      <c r="D73" s="1345" t="s">
        <v>987</v>
      </c>
      <c r="E73" s="1222"/>
      <c r="F73" s="1222"/>
      <c r="G73" s="1790"/>
      <c r="H73" s="1223"/>
      <c r="I73" s="1341">
        <f t="shared" ref="I73:I74" si="15">SUM(J73:N73)</f>
        <v>0</v>
      </c>
      <c r="J73" s="185"/>
      <c r="K73" s="185"/>
      <c r="L73" s="185"/>
      <c r="M73" s="185"/>
      <c r="N73" s="186"/>
    </row>
    <row r="74" spans="1:14" s="1226" customFormat="1" ht="18" customHeight="1" x14ac:dyDescent="0.3">
      <c r="A74" s="590">
        <v>65</v>
      </c>
      <c r="B74" s="1220"/>
      <c r="C74" s="1209"/>
      <c r="D74" s="1344" t="s">
        <v>1151</v>
      </c>
      <c r="E74" s="1222"/>
      <c r="F74" s="1222"/>
      <c r="G74" s="1790"/>
      <c r="H74" s="1223"/>
      <c r="I74" s="575">
        <f t="shared" si="15"/>
        <v>0</v>
      </c>
      <c r="J74" s="1342"/>
      <c r="K74" s="1342"/>
      <c r="L74" s="1342"/>
      <c r="M74" s="1342"/>
      <c r="N74" s="1343">
        <f>SUM(N72:N73)</f>
        <v>0</v>
      </c>
    </row>
    <row r="75" spans="1:14" s="9" customFormat="1" ht="18" customHeight="1" x14ac:dyDescent="0.3">
      <c r="A75" s="590">
        <v>66</v>
      </c>
      <c r="B75" s="173"/>
      <c r="C75" s="166"/>
      <c r="D75" s="177" t="s">
        <v>955</v>
      </c>
      <c r="E75" s="174">
        <v>500</v>
      </c>
      <c r="F75" s="174">
        <v>500</v>
      </c>
      <c r="G75" s="1787">
        <v>500</v>
      </c>
      <c r="H75" s="606"/>
      <c r="I75" s="575"/>
      <c r="J75" s="185"/>
      <c r="K75" s="185"/>
      <c r="L75" s="185"/>
      <c r="M75" s="185"/>
      <c r="N75" s="186"/>
    </row>
    <row r="76" spans="1:14" s="1226" customFormat="1" ht="18" customHeight="1" x14ac:dyDescent="0.3">
      <c r="A76" s="590">
        <v>67</v>
      </c>
      <c r="B76" s="1220"/>
      <c r="C76" s="1209"/>
      <c r="D76" s="1221" t="s">
        <v>311</v>
      </c>
      <c r="E76" s="1222"/>
      <c r="F76" s="1222"/>
      <c r="G76" s="1790"/>
      <c r="H76" s="1223"/>
      <c r="I76" s="1206">
        <f>SUM(J76:N76)</f>
        <v>425</v>
      </c>
      <c r="J76" s="1224"/>
      <c r="K76" s="1224"/>
      <c r="L76" s="1224"/>
      <c r="M76" s="1224"/>
      <c r="N76" s="1225">
        <v>425</v>
      </c>
    </row>
    <row r="77" spans="1:14" s="1226" customFormat="1" ht="18" customHeight="1" x14ac:dyDescent="0.3">
      <c r="A77" s="590">
        <v>68</v>
      </c>
      <c r="B77" s="1220"/>
      <c r="C77" s="1209"/>
      <c r="D77" s="1344" t="s">
        <v>1072</v>
      </c>
      <c r="E77" s="1222"/>
      <c r="F77" s="1222"/>
      <c r="G77" s="1790"/>
      <c r="H77" s="1223"/>
      <c r="I77" s="575">
        <f t="shared" ref="I77" si="16">SUM(J77:N77)</f>
        <v>0</v>
      </c>
      <c r="J77" s="1224"/>
      <c r="K77" s="1224"/>
      <c r="L77" s="1224"/>
      <c r="M77" s="1224"/>
      <c r="N77" s="1343">
        <v>0</v>
      </c>
    </row>
    <row r="78" spans="1:14" s="1226" customFormat="1" ht="18" customHeight="1" x14ac:dyDescent="0.3">
      <c r="A78" s="590">
        <v>69</v>
      </c>
      <c r="B78" s="1220"/>
      <c r="C78" s="1209"/>
      <c r="D78" s="1345" t="s">
        <v>987</v>
      </c>
      <c r="E78" s="1222"/>
      <c r="F78" s="1222"/>
      <c r="G78" s="1790"/>
      <c r="H78" s="1223"/>
      <c r="I78" s="1341">
        <f t="shared" ref="I78:I79" si="17">SUM(J78:N78)</f>
        <v>0</v>
      </c>
      <c r="J78" s="1342"/>
      <c r="K78" s="1342"/>
      <c r="L78" s="1342"/>
      <c r="M78" s="1342"/>
      <c r="N78" s="1343"/>
    </row>
    <row r="79" spans="1:14" s="1226" customFormat="1" ht="18" customHeight="1" x14ac:dyDescent="0.3">
      <c r="A79" s="590">
        <v>70</v>
      </c>
      <c r="B79" s="1220"/>
      <c r="C79" s="1209"/>
      <c r="D79" s="1344" t="s">
        <v>1151</v>
      </c>
      <c r="E79" s="1222"/>
      <c r="F79" s="1222"/>
      <c r="G79" s="1790"/>
      <c r="H79" s="1223"/>
      <c r="I79" s="575">
        <f t="shared" si="17"/>
        <v>0</v>
      </c>
      <c r="J79" s="1342"/>
      <c r="K79" s="1342"/>
      <c r="L79" s="1342"/>
      <c r="M79" s="1342"/>
      <c r="N79" s="1343">
        <f>SUM(N77:N78)</f>
        <v>0</v>
      </c>
    </row>
    <row r="80" spans="1:14" s="9" customFormat="1" ht="18" customHeight="1" x14ac:dyDescent="0.3">
      <c r="A80" s="590">
        <v>71</v>
      </c>
      <c r="B80" s="173"/>
      <c r="C80" s="166"/>
      <c r="D80" s="177" t="s">
        <v>1018</v>
      </c>
      <c r="E80" s="174">
        <v>2000</v>
      </c>
      <c r="F80" s="174">
        <v>2000</v>
      </c>
      <c r="G80" s="1787">
        <v>2000</v>
      </c>
      <c r="H80" s="606"/>
      <c r="I80" s="1206"/>
      <c r="J80" s="185"/>
      <c r="K80" s="185"/>
      <c r="L80" s="185"/>
      <c r="M80" s="185"/>
      <c r="N80" s="186"/>
    </row>
    <row r="81" spans="1:14" s="9" customFormat="1" ht="18" customHeight="1" x14ac:dyDescent="0.3">
      <c r="A81" s="590">
        <v>72</v>
      </c>
      <c r="B81" s="173"/>
      <c r="C81" s="166"/>
      <c r="D81" s="177" t="s">
        <v>1033</v>
      </c>
      <c r="E81" s="174"/>
      <c r="F81" s="174">
        <v>2000</v>
      </c>
      <c r="G81" s="1787"/>
      <c r="H81" s="606"/>
      <c r="I81" s="1206"/>
      <c r="J81" s="185"/>
      <c r="K81" s="185"/>
      <c r="L81" s="185"/>
      <c r="M81" s="185"/>
      <c r="N81" s="186"/>
    </row>
    <row r="82" spans="1:14" s="9" customFormat="1" ht="18" customHeight="1" x14ac:dyDescent="0.3">
      <c r="A82" s="590">
        <v>73</v>
      </c>
      <c r="B82" s="173"/>
      <c r="C82" s="166"/>
      <c r="D82" s="177" t="s">
        <v>553</v>
      </c>
      <c r="E82" s="174"/>
      <c r="F82" s="174">
        <v>5000</v>
      </c>
      <c r="G82" s="1787"/>
      <c r="H82" s="606"/>
      <c r="I82" s="1206"/>
      <c r="J82" s="185"/>
      <c r="K82" s="185"/>
      <c r="L82" s="185"/>
      <c r="M82" s="185"/>
      <c r="N82" s="186"/>
    </row>
    <row r="83" spans="1:14" s="9" customFormat="1" ht="18" customHeight="1" x14ac:dyDescent="0.3">
      <c r="A83" s="590">
        <v>74</v>
      </c>
      <c r="B83" s="173"/>
      <c r="C83" s="166"/>
      <c r="D83" s="177" t="s">
        <v>1017</v>
      </c>
      <c r="E83" s="174"/>
      <c r="F83" s="174"/>
      <c r="G83" s="1787">
        <v>2000</v>
      </c>
      <c r="H83" s="606"/>
      <c r="I83" s="1206"/>
      <c r="J83" s="185"/>
      <c r="K83" s="185"/>
      <c r="L83" s="185"/>
      <c r="M83" s="185"/>
      <c r="N83" s="186"/>
    </row>
    <row r="84" spans="1:14" s="9" customFormat="1" ht="22.5" customHeight="1" x14ac:dyDescent="0.3">
      <c r="A84" s="590">
        <v>75</v>
      </c>
      <c r="B84" s="173"/>
      <c r="C84" s="162">
        <v>14</v>
      </c>
      <c r="D84" s="584" t="s">
        <v>814</v>
      </c>
      <c r="E84" s="174"/>
      <c r="F84" s="174"/>
      <c r="G84" s="1787"/>
      <c r="H84" s="605" t="s">
        <v>24</v>
      </c>
      <c r="I84" s="575"/>
      <c r="J84" s="185"/>
      <c r="K84" s="185"/>
      <c r="L84" s="185"/>
      <c r="M84" s="185"/>
      <c r="N84" s="186"/>
    </row>
    <row r="85" spans="1:14" s="1226" customFormat="1" ht="18" customHeight="1" x14ac:dyDescent="0.3">
      <c r="A85" s="590">
        <v>76</v>
      </c>
      <c r="B85" s="1220"/>
      <c r="C85" s="1209"/>
      <c r="D85" s="1210" t="s">
        <v>311</v>
      </c>
      <c r="E85" s="1222"/>
      <c r="F85" s="1222"/>
      <c r="G85" s="1790"/>
      <c r="H85" s="1212"/>
      <c r="I85" s="1203">
        <f>SUM(J85:N85)</f>
        <v>2550</v>
      </c>
      <c r="J85" s="1224"/>
      <c r="K85" s="1224"/>
      <c r="L85" s="1224"/>
      <c r="M85" s="1224"/>
      <c r="N85" s="1205">
        <v>2550</v>
      </c>
    </row>
    <row r="86" spans="1:14" s="1226" customFormat="1" ht="18" customHeight="1" x14ac:dyDescent="0.3">
      <c r="A86" s="590">
        <v>77</v>
      </c>
      <c r="B86" s="1220"/>
      <c r="C86" s="1209"/>
      <c r="D86" s="583" t="s">
        <v>1072</v>
      </c>
      <c r="E86" s="1222"/>
      <c r="F86" s="1222"/>
      <c r="G86" s="1790"/>
      <c r="H86" s="1212"/>
      <c r="I86" s="573">
        <f t="shared" ref="I86:I88" si="18">SUM(J86:N86)</f>
        <v>1000</v>
      </c>
      <c r="J86" s="1224"/>
      <c r="K86" s="1224"/>
      <c r="L86" s="1224"/>
      <c r="M86" s="1224"/>
      <c r="N86" s="441">
        <v>1000</v>
      </c>
    </row>
    <row r="87" spans="1:14" s="1226" customFormat="1" ht="18" customHeight="1" x14ac:dyDescent="0.3">
      <c r="A87" s="590">
        <v>78</v>
      </c>
      <c r="B87" s="1220"/>
      <c r="C87" s="1209"/>
      <c r="D87" s="1338" t="s">
        <v>986</v>
      </c>
      <c r="E87" s="1222"/>
      <c r="F87" s="1222"/>
      <c r="G87" s="1790"/>
      <c r="H87" s="1212"/>
      <c r="I87" s="1341">
        <f t="shared" si="18"/>
        <v>0</v>
      </c>
      <c r="J87" s="185"/>
      <c r="K87" s="185"/>
      <c r="L87" s="185"/>
      <c r="M87" s="185"/>
      <c r="N87" s="186"/>
    </row>
    <row r="88" spans="1:14" s="1226" customFormat="1" ht="18" customHeight="1" x14ac:dyDescent="0.3">
      <c r="A88" s="590">
        <v>79</v>
      </c>
      <c r="B88" s="1220"/>
      <c r="C88" s="1209"/>
      <c r="D88" s="583" t="s">
        <v>1151</v>
      </c>
      <c r="E88" s="1222"/>
      <c r="F88" s="1222"/>
      <c r="G88" s="1790"/>
      <c r="H88" s="1212"/>
      <c r="I88" s="573">
        <f t="shared" si="18"/>
        <v>1000</v>
      </c>
      <c r="J88" s="1342"/>
      <c r="K88" s="1342"/>
      <c r="L88" s="1342"/>
      <c r="M88" s="1342"/>
      <c r="N88" s="441">
        <f>SUM(N86:N87)</f>
        <v>1000</v>
      </c>
    </row>
    <row r="89" spans="1:14" s="9" customFormat="1" ht="22.5" customHeight="1" x14ac:dyDescent="0.3">
      <c r="A89" s="590">
        <v>80</v>
      </c>
      <c r="B89" s="173"/>
      <c r="C89" s="162">
        <v>15</v>
      </c>
      <c r="D89" s="584" t="s">
        <v>815</v>
      </c>
      <c r="E89" s="174"/>
      <c r="F89" s="174"/>
      <c r="G89" s="1787"/>
      <c r="H89" s="605" t="s">
        <v>24</v>
      </c>
      <c r="I89" s="575"/>
      <c r="J89" s="185"/>
      <c r="K89" s="185"/>
      <c r="L89" s="185"/>
      <c r="M89" s="185"/>
      <c r="N89" s="186"/>
    </row>
    <row r="90" spans="1:14" s="1226" customFormat="1" ht="18" customHeight="1" x14ac:dyDescent="0.3">
      <c r="A90" s="590">
        <v>81</v>
      </c>
      <c r="B90" s="1220"/>
      <c r="C90" s="1209"/>
      <c r="D90" s="1210" t="s">
        <v>311</v>
      </c>
      <c r="E90" s="1222"/>
      <c r="F90" s="1222"/>
      <c r="G90" s="1790"/>
      <c r="H90" s="1212"/>
      <c r="I90" s="1203">
        <f>SUM(J90:N90)</f>
        <v>2550</v>
      </c>
      <c r="J90" s="1224"/>
      <c r="K90" s="1224"/>
      <c r="L90" s="1224"/>
      <c r="M90" s="1224"/>
      <c r="N90" s="1205">
        <v>2550</v>
      </c>
    </row>
    <row r="91" spans="1:14" s="1226" customFormat="1" ht="18" customHeight="1" x14ac:dyDescent="0.3">
      <c r="A91" s="590">
        <v>82</v>
      </c>
      <c r="B91" s="1220"/>
      <c r="C91" s="1209"/>
      <c r="D91" s="583" t="s">
        <v>1072</v>
      </c>
      <c r="E91" s="1222"/>
      <c r="F91" s="1222"/>
      <c r="G91" s="1790"/>
      <c r="H91" s="1212"/>
      <c r="I91" s="573">
        <f t="shared" ref="I91" si="19">SUM(J91:N91)</f>
        <v>1000</v>
      </c>
      <c r="J91" s="1224"/>
      <c r="K91" s="1224"/>
      <c r="L91" s="1224"/>
      <c r="M91" s="1224"/>
      <c r="N91" s="441">
        <v>1000</v>
      </c>
    </row>
    <row r="92" spans="1:14" s="1226" customFormat="1" ht="18" customHeight="1" x14ac:dyDescent="0.3">
      <c r="A92" s="590">
        <v>83</v>
      </c>
      <c r="B92" s="1220"/>
      <c r="C92" s="1209"/>
      <c r="D92" s="1338" t="s">
        <v>986</v>
      </c>
      <c r="E92" s="1222"/>
      <c r="F92" s="1222"/>
      <c r="G92" s="1790"/>
      <c r="H92" s="1212"/>
      <c r="I92" s="1341">
        <f t="shared" ref="I92:I93" si="20">SUM(J92:N92)</f>
        <v>0</v>
      </c>
      <c r="J92" s="185"/>
      <c r="K92" s="185"/>
      <c r="L92" s="185"/>
      <c r="M92" s="185"/>
      <c r="N92" s="186"/>
    </row>
    <row r="93" spans="1:14" s="1226" customFormat="1" ht="18" customHeight="1" x14ac:dyDescent="0.3">
      <c r="A93" s="590">
        <v>84</v>
      </c>
      <c r="B93" s="1220"/>
      <c r="C93" s="1209"/>
      <c r="D93" s="583" t="s">
        <v>1151</v>
      </c>
      <c r="E93" s="1222"/>
      <c r="F93" s="1222"/>
      <c r="G93" s="1790"/>
      <c r="H93" s="1212"/>
      <c r="I93" s="573">
        <f t="shared" si="20"/>
        <v>1000</v>
      </c>
      <c r="J93" s="1342"/>
      <c r="K93" s="1342"/>
      <c r="L93" s="1342"/>
      <c r="M93" s="1342"/>
      <c r="N93" s="441">
        <f>SUM(N91:N92)</f>
        <v>1000</v>
      </c>
    </row>
    <row r="94" spans="1:14" s="9" customFormat="1" ht="22.5" customHeight="1" x14ac:dyDescent="0.3">
      <c r="A94" s="590">
        <v>85</v>
      </c>
      <c r="B94" s="173"/>
      <c r="C94" s="162">
        <v>16</v>
      </c>
      <c r="D94" s="584" t="s">
        <v>816</v>
      </c>
      <c r="E94" s="174"/>
      <c r="F94" s="174"/>
      <c r="G94" s="1787"/>
      <c r="H94" s="605" t="s">
        <v>24</v>
      </c>
      <c r="I94" s="575"/>
      <c r="J94" s="185"/>
      <c r="K94" s="185"/>
      <c r="L94" s="185"/>
      <c r="M94" s="185"/>
      <c r="N94" s="186"/>
    </row>
    <row r="95" spans="1:14" s="1226" customFormat="1" ht="18" customHeight="1" x14ac:dyDescent="0.3">
      <c r="A95" s="590">
        <v>86</v>
      </c>
      <c r="B95" s="1220"/>
      <c r="C95" s="1209"/>
      <c r="D95" s="1210" t="s">
        <v>311</v>
      </c>
      <c r="E95" s="1222"/>
      <c r="F95" s="1222"/>
      <c r="G95" s="1790"/>
      <c r="H95" s="1223"/>
      <c r="I95" s="1203">
        <f>SUM(J95:N95)</f>
        <v>850</v>
      </c>
      <c r="J95" s="1224"/>
      <c r="K95" s="1224"/>
      <c r="L95" s="1224"/>
      <c r="M95" s="1224"/>
      <c r="N95" s="1225">
        <v>850</v>
      </c>
    </row>
    <row r="96" spans="1:14" s="1226" customFormat="1" ht="18" customHeight="1" x14ac:dyDescent="0.3">
      <c r="A96" s="590">
        <v>87</v>
      </c>
      <c r="B96" s="1220"/>
      <c r="C96" s="1209"/>
      <c r="D96" s="583" t="s">
        <v>1072</v>
      </c>
      <c r="E96" s="1222"/>
      <c r="F96" s="1222"/>
      <c r="G96" s="1790"/>
      <c r="H96" s="1223"/>
      <c r="I96" s="573">
        <f t="shared" ref="I96" si="21">SUM(J96:N96)</f>
        <v>450</v>
      </c>
      <c r="J96" s="1224"/>
      <c r="K96" s="1224"/>
      <c r="L96" s="1224"/>
      <c r="M96" s="1224"/>
      <c r="N96" s="1343">
        <v>450</v>
      </c>
    </row>
    <row r="97" spans="1:16" s="1226" customFormat="1" ht="18" customHeight="1" x14ac:dyDescent="0.3">
      <c r="A97" s="590">
        <v>88</v>
      </c>
      <c r="B97" s="1220"/>
      <c r="C97" s="1209"/>
      <c r="D97" s="1338" t="s">
        <v>986</v>
      </c>
      <c r="E97" s="1222"/>
      <c r="F97" s="1222"/>
      <c r="G97" s="1790"/>
      <c r="H97" s="1223"/>
      <c r="I97" s="1341">
        <f t="shared" ref="I97:I98" si="22">SUM(J97:N97)</f>
        <v>0</v>
      </c>
      <c r="J97" s="185"/>
      <c r="K97" s="185"/>
      <c r="L97" s="185"/>
      <c r="M97" s="185"/>
      <c r="N97" s="186"/>
    </row>
    <row r="98" spans="1:16" s="1226" customFormat="1" ht="18" customHeight="1" x14ac:dyDescent="0.3">
      <c r="A98" s="590">
        <v>89</v>
      </c>
      <c r="B98" s="1220"/>
      <c r="C98" s="1209"/>
      <c r="D98" s="583" t="s">
        <v>1151</v>
      </c>
      <c r="E98" s="1222"/>
      <c r="F98" s="1222"/>
      <c r="G98" s="1790"/>
      <c r="H98" s="1223"/>
      <c r="I98" s="573">
        <f t="shared" si="22"/>
        <v>450</v>
      </c>
      <c r="J98" s="1342"/>
      <c r="K98" s="1342"/>
      <c r="L98" s="1342"/>
      <c r="M98" s="1342"/>
      <c r="N98" s="1343">
        <f>SUM(N96:N97)</f>
        <v>450</v>
      </c>
    </row>
    <row r="99" spans="1:16" s="9" customFormat="1" ht="22.5" customHeight="1" x14ac:dyDescent="0.3">
      <c r="A99" s="590">
        <v>90</v>
      </c>
      <c r="B99" s="173"/>
      <c r="C99" s="162">
        <v>17</v>
      </c>
      <c r="D99" s="584" t="s">
        <v>597</v>
      </c>
      <c r="E99" s="174">
        <v>500</v>
      </c>
      <c r="F99" s="174">
        <v>650</v>
      </c>
      <c r="G99" s="1787">
        <v>650</v>
      </c>
      <c r="H99" s="605" t="s">
        <v>24</v>
      </c>
      <c r="I99" s="575"/>
      <c r="J99" s="185"/>
      <c r="K99" s="185"/>
      <c r="L99" s="185"/>
      <c r="M99" s="185"/>
      <c r="N99" s="186"/>
    </row>
    <row r="100" spans="1:16" s="1226" customFormat="1" ht="18" customHeight="1" x14ac:dyDescent="0.3">
      <c r="A100" s="590">
        <v>91</v>
      </c>
      <c r="B100" s="1220"/>
      <c r="C100" s="1209"/>
      <c r="D100" s="1210" t="s">
        <v>311</v>
      </c>
      <c r="E100" s="1228"/>
      <c r="F100" s="1228"/>
      <c r="G100" s="1227"/>
      <c r="H100" s="1223"/>
      <c r="I100" s="1203">
        <f>SUM(J100:N100)</f>
        <v>553</v>
      </c>
      <c r="J100" s="1224"/>
      <c r="K100" s="1224"/>
      <c r="L100" s="1224"/>
      <c r="M100" s="1224"/>
      <c r="N100" s="1225">
        <v>553</v>
      </c>
    </row>
    <row r="101" spans="1:16" s="1226" customFormat="1" ht="18" customHeight="1" x14ac:dyDescent="0.3">
      <c r="A101" s="590">
        <v>92</v>
      </c>
      <c r="B101" s="1220"/>
      <c r="C101" s="1209"/>
      <c r="D101" s="583" t="s">
        <v>1072</v>
      </c>
      <c r="E101" s="1227"/>
      <c r="F101" s="1228"/>
      <c r="G101" s="1791"/>
      <c r="H101" s="1346"/>
      <c r="I101" s="573">
        <f t="shared" ref="I101:I103" si="23">SUM(J101:N101)</f>
        <v>500</v>
      </c>
      <c r="J101" s="1224"/>
      <c r="K101" s="1224"/>
      <c r="L101" s="1224"/>
      <c r="M101" s="1224"/>
      <c r="N101" s="1343">
        <f>0+500</f>
        <v>500</v>
      </c>
    </row>
    <row r="102" spans="1:16" s="1226" customFormat="1" ht="18" customHeight="1" x14ac:dyDescent="0.3">
      <c r="A102" s="590">
        <v>93</v>
      </c>
      <c r="B102" s="1220"/>
      <c r="C102" s="1209"/>
      <c r="D102" s="1338" t="s">
        <v>986</v>
      </c>
      <c r="E102" s="1228"/>
      <c r="F102" s="1228"/>
      <c r="G102" s="1791"/>
      <c r="H102" s="1346"/>
      <c r="I102" s="1341">
        <f t="shared" si="23"/>
        <v>0</v>
      </c>
      <c r="J102" s="185"/>
      <c r="K102" s="185"/>
      <c r="L102" s="185"/>
      <c r="M102" s="185"/>
      <c r="N102" s="186"/>
    </row>
    <row r="103" spans="1:16" s="1226" customFormat="1" ht="18" customHeight="1" x14ac:dyDescent="0.3">
      <c r="A103" s="590">
        <v>94</v>
      </c>
      <c r="B103" s="1220"/>
      <c r="C103" s="1209"/>
      <c r="D103" s="583" t="s">
        <v>1151</v>
      </c>
      <c r="E103" s="1227"/>
      <c r="F103" s="1228"/>
      <c r="G103" s="1227"/>
      <c r="H103" s="1223"/>
      <c r="I103" s="573">
        <f t="shared" si="23"/>
        <v>500</v>
      </c>
      <c r="J103" s="1342"/>
      <c r="K103" s="1342"/>
      <c r="L103" s="1342"/>
      <c r="M103" s="1342"/>
      <c r="N103" s="1343">
        <f>SUM(N101:N102)</f>
        <v>500</v>
      </c>
    </row>
    <row r="104" spans="1:16" s="3" customFormat="1" ht="22.5" customHeight="1" x14ac:dyDescent="0.3">
      <c r="A104" s="590">
        <v>95</v>
      </c>
      <c r="B104" s="161"/>
      <c r="C104" s="162">
        <v>18</v>
      </c>
      <c r="D104" s="584" t="s">
        <v>57</v>
      </c>
      <c r="E104" s="164">
        <v>5000</v>
      </c>
      <c r="F104" s="164">
        <v>5000</v>
      </c>
      <c r="G104" s="1784">
        <v>5000</v>
      </c>
      <c r="H104" s="605" t="s">
        <v>24</v>
      </c>
      <c r="I104" s="574"/>
      <c r="J104" s="171"/>
      <c r="K104" s="171"/>
      <c r="L104" s="171"/>
      <c r="M104" s="171"/>
      <c r="N104" s="172"/>
      <c r="O104" s="8"/>
      <c r="P104" s="8"/>
    </row>
    <row r="105" spans="1:16" s="1213" customFormat="1" ht="18" customHeight="1" x14ac:dyDescent="0.3">
      <c r="A105" s="590">
        <v>96</v>
      </c>
      <c r="B105" s="1208"/>
      <c r="C105" s="1209"/>
      <c r="D105" s="1210" t="s">
        <v>311</v>
      </c>
      <c r="E105" s="1211"/>
      <c r="F105" s="1211"/>
      <c r="G105" s="1786"/>
      <c r="H105" s="1212"/>
      <c r="I105" s="1203">
        <f>SUM(J105:N105)</f>
        <v>840</v>
      </c>
      <c r="J105" s="1204"/>
      <c r="K105" s="1204"/>
      <c r="L105" s="1204">
        <v>840</v>
      </c>
      <c r="M105" s="1204"/>
      <c r="N105" s="1205"/>
    </row>
    <row r="106" spans="1:16" s="1213" customFormat="1" ht="18" customHeight="1" x14ac:dyDescent="0.3">
      <c r="A106" s="590">
        <v>97</v>
      </c>
      <c r="B106" s="1208"/>
      <c r="C106" s="1209"/>
      <c r="D106" s="583" t="s">
        <v>1072</v>
      </c>
      <c r="E106" s="1211"/>
      <c r="F106" s="1211"/>
      <c r="G106" s="1786"/>
      <c r="H106" s="1212"/>
      <c r="I106" s="573">
        <f t="shared" ref="I106:I108" si="24">SUM(J106:N106)</f>
        <v>1260</v>
      </c>
      <c r="J106" s="1204"/>
      <c r="K106" s="1204"/>
      <c r="L106" s="445">
        <v>1260</v>
      </c>
      <c r="M106" s="1204"/>
      <c r="N106" s="1205"/>
    </row>
    <row r="107" spans="1:16" s="1213" customFormat="1" ht="18" customHeight="1" x14ac:dyDescent="0.3">
      <c r="A107" s="590">
        <v>98</v>
      </c>
      <c r="B107" s="1208"/>
      <c r="C107" s="1209"/>
      <c r="D107" s="1338" t="s">
        <v>986</v>
      </c>
      <c r="E107" s="1211"/>
      <c r="F107" s="1211"/>
      <c r="G107" s="1786"/>
      <c r="H107" s="1212"/>
      <c r="I107" s="1341">
        <f t="shared" si="24"/>
        <v>0</v>
      </c>
      <c r="J107" s="445"/>
      <c r="K107" s="445"/>
      <c r="L107" s="185"/>
      <c r="M107" s="1204"/>
      <c r="N107" s="1205"/>
    </row>
    <row r="108" spans="1:16" s="1213" customFormat="1" ht="18" customHeight="1" x14ac:dyDescent="0.3">
      <c r="A108" s="590">
        <v>99</v>
      </c>
      <c r="B108" s="1208"/>
      <c r="C108" s="1209"/>
      <c r="D108" s="583" t="s">
        <v>1151</v>
      </c>
      <c r="E108" s="1211"/>
      <c r="F108" s="1211"/>
      <c r="G108" s="1786"/>
      <c r="H108" s="1212"/>
      <c r="I108" s="573">
        <f t="shared" si="24"/>
        <v>1260</v>
      </c>
      <c r="J108" s="445"/>
      <c r="K108" s="445"/>
      <c r="L108" s="445">
        <f>SUM(L106:L107)</f>
        <v>1260</v>
      </c>
      <c r="M108" s="1204"/>
      <c r="N108" s="1205"/>
    </row>
    <row r="109" spans="1:16" s="3" customFormat="1" ht="22.5" customHeight="1" x14ac:dyDescent="0.3">
      <c r="A109" s="590">
        <v>100</v>
      </c>
      <c r="B109" s="161"/>
      <c r="C109" s="162">
        <v>19</v>
      </c>
      <c r="D109" s="584" t="s">
        <v>554</v>
      </c>
      <c r="E109" s="164">
        <v>1000</v>
      </c>
      <c r="F109" s="164">
        <v>1000</v>
      </c>
      <c r="G109" s="1784">
        <v>1000</v>
      </c>
      <c r="H109" s="605" t="s">
        <v>24</v>
      </c>
      <c r="I109" s="1203"/>
      <c r="J109" s="171"/>
      <c r="K109" s="171"/>
      <c r="L109" s="171"/>
      <c r="M109" s="171"/>
      <c r="N109" s="172"/>
      <c r="O109" s="8"/>
      <c r="P109" s="8"/>
    </row>
    <row r="110" spans="1:16" s="3" customFormat="1" ht="22.5" customHeight="1" x14ac:dyDescent="0.3">
      <c r="A110" s="590">
        <v>101</v>
      </c>
      <c r="B110" s="161"/>
      <c r="C110" s="162">
        <v>20</v>
      </c>
      <c r="D110" s="584" t="s">
        <v>257</v>
      </c>
      <c r="E110" s="164">
        <f>SUM(E115,E120,E125,E130,E135)</f>
        <v>92300</v>
      </c>
      <c r="F110" s="164">
        <f>SUM(F115,F120,F125,F130,F135)</f>
        <v>97600</v>
      </c>
      <c r="G110" s="1784">
        <f>SUM(G115,G120,G125,G130,G135)</f>
        <v>97600</v>
      </c>
      <c r="H110" s="605" t="s">
        <v>24</v>
      </c>
      <c r="I110" s="574"/>
      <c r="J110" s="171"/>
      <c r="K110" s="171"/>
      <c r="L110" s="171"/>
      <c r="M110" s="171"/>
      <c r="N110" s="172"/>
      <c r="O110" s="8"/>
      <c r="P110" s="8"/>
    </row>
    <row r="111" spans="1:16" s="1213" customFormat="1" ht="18" customHeight="1" x14ac:dyDescent="0.3">
      <c r="A111" s="590">
        <v>102</v>
      </c>
      <c r="B111" s="1208"/>
      <c r="C111" s="1209"/>
      <c r="D111" s="1210" t="s">
        <v>311</v>
      </c>
      <c r="E111" s="1211"/>
      <c r="F111" s="1211"/>
      <c r="G111" s="1786"/>
      <c r="H111" s="1212"/>
      <c r="I111" s="1203">
        <f>SUM(J111:N111)</f>
        <v>32435</v>
      </c>
      <c r="J111" s="1207">
        <f t="shared" ref="J111:N112" si="25">SUM(J116,J121,J126,J131,J136)</f>
        <v>0</v>
      </c>
      <c r="K111" s="1207">
        <f t="shared" si="25"/>
        <v>0</v>
      </c>
      <c r="L111" s="1207">
        <f t="shared" si="25"/>
        <v>0</v>
      </c>
      <c r="M111" s="1207">
        <f t="shared" si="25"/>
        <v>0</v>
      </c>
      <c r="N111" s="1205">
        <f t="shared" si="25"/>
        <v>32435</v>
      </c>
    </row>
    <row r="112" spans="1:16" s="1213" customFormat="1" ht="18" customHeight="1" x14ac:dyDescent="0.3">
      <c r="A112" s="590">
        <v>103</v>
      </c>
      <c r="B112" s="1208"/>
      <c r="C112" s="1209"/>
      <c r="D112" s="583" t="s">
        <v>1072</v>
      </c>
      <c r="E112" s="1211"/>
      <c r="F112" s="1211"/>
      <c r="G112" s="1786"/>
      <c r="H112" s="1212"/>
      <c r="I112" s="575">
        <f t="shared" ref="I112" si="26">SUM(J112:N112)</f>
        <v>32029</v>
      </c>
      <c r="J112" s="1347">
        <f t="shared" si="25"/>
        <v>0</v>
      </c>
      <c r="K112" s="1347">
        <f t="shared" si="25"/>
        <v>0</v>
      </c>
      <c r="L112" s="1347">
        <f t="shared" si="25"/>
        <v>0</v>
      </c>
      <c r="M112" s="1347">
        <f t="shared" si="25"/>
        <v>0</v>
      </c>
      <c r="N112" s="441">
        <f t="shared" si="25"/>
        <v>32029</v>
      </c>
    </row>
    <row r="113" spans="1:16" s="1213" customFormat="1" ht="18" customHeight="1" x14ac:dyDescent="0.3">
      <c r="A113" s="590">
        <v>104</v>
      </c>
      <c r="B113" s="1208"/>
      <c r="C113" s="1209"/>
      <c r="D113" s="1338" t="s">
        <v>963</v>
      </c>
      <c r="E113" s="1211"/>
      <c r="F113" s="1211"/>
      <c r="G113" s="1786"/>
      <c r="H113" s="1212"/>
      <c r="I113" s="1341">
        <f t="shared" ref="I113:I114" si="27">SUM(J113:N113)</f>
        <v>0</v>
      </c>
      <c r="J113" s="175">
        <f>J118+J138+J123+J128+J133</f>
        <v>0</v>
      </c>
      <c r="K113" s="175">
        <f t="shared" ref="K113:N113" si="28">K118+K138+K123+K128+K133</f>
        <v>0</v>
      </c>
      <c r="L113" s="175">
        <f t="shared" si="28"/>
        <v>0</v>
      </c>
      <c r="M113" s="175">
        <f t="shared" si="28"/>
        <v>0</v>
      </c>
      <c r="N113" s="176">
        <f t="shared" si="28"/>
        <v>0</v>
      </c>
    </row>
    <row r="114" spans="1:16" s="1213" customFormat="1" ht="18" customHeight="1" x14ac:dyDescent="0.3">
      <c r="A114" s="590">
        <v>105</v>
      </c>
      <c r="B114" s="1208"/>
      <c r="C114" s="1209"/>
      <c r="D114" s="583" t="s">
        <v>1151</v>
      </c>
      <c r="E114" s="1211"/>
      <c r="F114" s="1211"/>
      <c r="G114" s="1786"/>
      <c r="H114" s="1212"/>
      <c r="I114" s="573">
        <f t="shared" si="27"/>
        <v>32029</v>
      </c>
      <c r="J114" s="1347">
        <f>SUM(J112:J113)</f>
        <v>0</v>
      </c>
      <c r="K114" s="1347">
        <f t="shared" ref="K114:N114" si="29">SUM(K112:K113)</f>
        <v>0</v>
      </c>
      <c r="L114" s="1347">
        <f t="shared" si="29"/>
        <v>0</v>
      </c>
      <c r="M114" s="1347">
        <f t="shared" si="29"/>
        <v>0</v>
      </c>
      <c r="N114" s="1796">
        <f t="shared" si="29"/>
        <v>32029</v>
      </c>
    </row>
    <row r="115" spans="1:16" s="9" customFormat="1" ht="18" customHeight="1" x14ac:dyDescent="0.3">
      <c r="A115" s="590">
        <v>106</v>
      </c>
      <c r="B115" s="173"/>
      <c r="C115" s="561"/>
      <c r="D115" s="443" t="s">
        <v>58</v>
      </c>
      <c r="E115" s="174">
        <v>78200</v>
      </c>
      <c r="F115" s="174">
        <v>83500</v>
      </c>
      <c r="G115" s="1787">
        <v>83500</v>
      </c>
      <c r="H115" s="606"/>
      <c r="I115" s="575"/>
      <c r="J115" s="185"/>
      <c r="K115" s="185"/>
      <c r="L115" s="185"/>
      <c r="M115" s="185"/>
      <c r="N115" s="186"/>
      <c r="P115" s="8"/>
    </row>
    <row r="116" spans="1:16" s="1226" customFormat="1" ht="18" customHeight="1" x14ac:dyDescent="0.3">
      <c r="A116" s="590">
        <v>107</v>
      </c>
      <c r="B116" s="1220"/>
      <c r="C116" s="1209"/>
      <c r="D116" s="1229" t="s">
        <v>311</v>
      </c>
      <c r="E116" s="1222"/>
      <c r="F116" s="1222"/>
      <c r="G116" s="1790"/>
      <c r="H116" s="1223"/>
      <c r="I116" s="1206">
        <f>SUM(J116:N116)</f>
        <v>25975</v>
      </c>
      <c r="J116" s="1224"/>
      <c r="K116" s="1224"/>
      <c r="L116" s="1224"/>
      <c r="M116" s="1224"/>
      <c r="N116" s="1225">
        <v>25975</v>
      </c>
      <c r="P116" s="1213"/>
    </row>
    <row r="117" spans="1:16" s="1226" customFormat="1" ht="18" customHeight="1" x14ac:dyDescent="0.3">
      <c r="A117" s="590">
        <v>108</v>
      </c>
      <c r="B117" s="1220"/>
      <c r="C117" s="1209"/>
      <c r="D117" s="1344" t="s">
        <v>1072</v>
      </c>
      <c r="E117" s="1222"/>
      <c r="F117" s="1222"/>
      <c r="G117" s="1790"/>
      <c r="H117" s="1223"/>
      <c r="I117" s="575">
        <f t="shared" ref="I117:I119" si="30">SUM(J117:N117)</f>
        <v>30855</v>
      </c>
      <c r="J117" s="1224"/>
      <c r="K117" s="1224"/>
      <c r="L117" s="1224"/>
      <c r="M117" s="1224"/>
      <c r="N117" s="1343">
        <v>30855</v>
      </c>
      <c r="P117" s="1213"/>
    </row>
    <row r="118" spans="1:16" s="1226" customFormat="1" ht="18" customHeight="1" x14ac:dyDescent="0.3">
      <c r="A118" s="590">
        <v>109</v>
      </c>
      <c r="B118" s="1220"/>
      <c r="C118" s="1209"/>
      <c r="D118" s="1345" t="s">
        <v>987</v>
      </c>
      <c r="E118" s="1222"/>
      <c r="F118" s="1222"/>
      <c r="G118" s="1790"/>
      <c r="H118" s="1223"/>
      <c r="I118" s="1341">
        <f t="shared" si="30"/>
        <v>0</v>
      </c>
      <c r="J118" s="185"/>
      <c r="K118" s="185"/>
      <c r="L118" s="185"/>
      <c r="M118" s="185"/>
      <c r="N118" s="186"/>
      <c r="P118" s="1213"/>
    </row>
    <row r="119" spans="1:16" s="1226" customFormat="1" ht="18" customHeight="1" x14ac:dyDescent="0.3">
      <c r="A119" s="590">
        <v>110</v>
      </c>
      <c r="B119" s="1220"/>
      <c r="C119" s="1209"/>
      <c r="D119" s="1344" t="s">
        <v>1151</v>
      </c>
      <c r="E119" s="1222"/>
      <c r="F119" s="1222"/>
      <c r="G119" s="1790"/>
      <c r="H119" s="1223"/>
      <c r="I119" s="575">
        <f t="shared" si="30"/>
        <v>30855</v>
      </c>
      <c r="J119" s="1342"/>
      <c r="K119" s="1342"/>
      <c r="L119" s="1342"/>
      <c r="M119" s="1342"/>
      <c r="N119" s="1343">
        <f>SUM(N117:N118)</f>
        <v>30855</v>
      </c>
      <c r="P119" s="1213"/>
    </row>
    <row r="120" spans="1:16" s="9" customFormat="1" ht="18" customHeight="1" x14ac:dyDescent="0.3">
      <c r="A120" s="590">
        <v>111</v>
      </c>
      <c r="B120" s="173"/>
      <c r="C120" s="561"/>
      <c r="D120" s="444" t="s">
        <v>59</v>
      </c>
      <c r="E120" s="174">
        <v>5600</v>
      </c>
      <c r="F120" s="174">
        <v>5600</v>
      </c>
      <c r="G120" s="1787">
        <v>5600</v>
      </c>
      <c r="H120" s="606"/>
      <c r="I120" s="576"/>
      <c r="J120" s="175"/>
      <c r="K120" s="175"/>
      <c r="L120" s="175"/>
      <c r="M120" s="175"/>
      <c r="N120" s="176"/>
      <c r="P120" s="8"/>
    </row>
    <row r="121" spans="1:16" s="1226" customFormat="1" ht="18" customHeight="1" x14ac:dyDescent="0.3">
      <c r="A121" s="590">
        <v>112</v>
      </c>
      <c r="B121" s="1220"/>
      <c r="C121" s="1209"/>
      <c r="D121" s="1229" t="s">
        <v>311</v>
      </c>
      <c r="E121" s="1222"/>
      <c r="F121" s="1222"/>
      <c r="G121" s="1790"/>
      <c r="H121" s="1223"/>
      <c r="I121" s="1206">
        <f>SUM(J121:N121)</f>
        <v>6460</v>
      </c>
      <c r="J121" s="1224"/>
      <c r="K121" s="1224"/>
      <c r="L121" s="1224"/>
      <c r="M121" s="1224"/>
      <c r="N121" s="1225">
        <v>6460</v>
      </c>
      <c r="P121" s="1213"/>
    </row>
    <row r="122" spans="1:16" s="1226" customFormat="1" ht="18" customHeight="1" x14ac:dyDescent="0.3">
      <c r="A122" s="590">
        <v>113</v>
      </c>
      <c r="B122" s="1220"/>
      <c r="C122" s="1209"/>
      <c r="D122" s="1344" t="s">
        <v>1072</v>
      </c>
      <c r="E122" s="1222"/>
      <c r="F122" s="1222"/>
      <c r="G122" s="1790"/>
      <c r="H122" s="1223"/>
      <c r="I122" s="575">
        <f t="shared" ref="I122" si="31">SUM(J122:N122)</f>
        <v>466</v>
      </c>
      <c r="J122" s="1224"/>
      <c r="K122" s="1224"/>
      <c r="L122" s="1224"/>
      <c r="M122" s="1224"/>
      <c r="N122" s="1343">
        <v>466</v>
      </c>
      <c r="P122" s="1213"/>
    </row>
    <row r="123" spans="1:16" s="1226" customFormat="1" ht="18" customHeight="1" x14ac:dyDescent="0.3">
      <c r="A123" s="590">
        <v>114</v>
      </c>
      <c r="B123" s="1220"/>
      <c r="C123" s="1209"/>
      <c r="D123" s="1345" t="s">
        <v>987</v>
      </c>
      <c r="E123" s="1222"/>
      <c r="F123" s="1222"/>
      <c r="G123" s="1790"/>
      <c r="H123" s="1223"/>
      <c r="I123" s="1341">
        <f t="shared" ref="I123:I139" si="32">SUM(J123:N123)</f>
        <v>0</v>
      </c>
      <c r="J123" s="1342"/>
      <c r="K123" s="1342"/>
      <c r="L123" s="1342"/>
      <c r="M123" s="1342"/>
      <c r="N123" s="186"/>
      <c r="P123" s="1213"/>
    </row>
    <row r="124" spans="1:16" s="1226" customFormat="1" ht="18" customHeight="1" x14ac:dyDescent="0.3">
      <c r="A124" s="590">
        <v>115</v>
      </c>
      <c r="B124" s="1220"/>
      <c r="C124" s="1209"/>
      <c r="D124" s="1344" t="s">
        <v>1151</v>
      </c>
      <c r="E124" s="1222"/>
      <c r="F124" s="1222"/>
      <c r="G124" s="1790"/>
      <c r="H124" s="1223"/>
      <c r="I124" s="575">
        <f t="shared" si="32"/>
        <v>466</v>
      </c>
      <c r="J124" s="1342"/>
      <c r="K124" s="1342"/>
      <c r="L124" s="1342"/>
      <c r="M124" s="1342"/>
      <c r="N124" s="1343">
        <f>SUM(N122:N123)</f>
        <v>466</v>
      </c>
      <c r="P124" s="1213"/>
    </row>
    <row r="125" spans="1:16" s="9" customFormat="1" ht="18" customHeight="1" x14ac:dyDescent="0.3">
      <c r="A125" s="590">
        <v>116</v>
      </c>
      <c r="B125" s="173"/>
      <c r="C125" s="166"/>
      <c r="D125" s="444" t="s">
        <v>60</v>
      </c>
      <c r="E125" s="174">
        <v>4500</v>
      </c>
      <c r="F125" s="174">
        <v>4500</v>
      </c>
      <c r="G125" s="1787">
        <v>4500</v>
      </c>
      <c r="H125" s="606"/>
      <c r="I125" s="1206"/>
      <c r="J125" s="175"/>
      <c r="K125" s="175"/>
      <c r="L125" s="175"/>
      <c r="M125" s="175"/>
      <c r="N125" s="176"/>
      <c r="P125" s="8"/>
    </row>
    <row r="126" spans="1:16" s="9" customFormat="1" ht="18" customHeight="1" x14ac:dyDescent="0.3">
      <c r="A126" s="590">
        <v>117</v>
      </c>
      <c r="B126" s="173"/>
      <c r="C126" s="166"/>
      <c r="D126" s="1826" t="s">
        <v>311</v>
      </c>
      <c r="E126" s="174"/>
      <c r="F126" s="174"/>
      <c r="G126" s="1787"/>
      <c r="H126" s="606"/>
      <c r="I126" s="1206">
        <f t="shared" si="32"/>
        <v>0</v>
      </c>
      <c r="J126" s="185"/>
      <c r="K126" s="185"/>
      <c r="L126" s="185"/>
      <c r="M126" s="185"/>
      <c r="N126" s="186"/>
      <c r="P126" s="8"/>
    </row>
    <row r="127" spans="1:16" s="9" customFormat="1" ht="18" customHeight="1" x14ac:dyDescent="0.3">
      <c r="A127" s="590">
        <v>118</v>
      </c>
      <c r="B127" s="173"/>
      <c r="C127" s="166"/>
      <c r="D127" s="1344" t="s">
        <v>1072</v>
      </c>
      <c r="E127" s="174"/>
      <c r="F127" s="174"/>
      <c r="G127" s="1787"/>
      <c r="H127" s="606"/>
      <c r="I127" s="575">
        <f t="shared" si="32"/>
        <v>375</v>
      </c>
      <c r="J127" s="185"/>
      <c r="K127" s="185"/>
      <c r="L127" s="185"/>
      <c r="M127" s="185"/>
      <c r="N127" s="186">
        <v>375</v>
      </c>
      <c r="P127" s="8"/>
    </row>
    <row r="128" spans="1:16" s="9" customFormat="1" ht="18" customHeight="1" x14ac:dyDescent="0.3">
      <c r="A128" s="590">
        <v>119</v>
      </c>
      <c r="B128" s="173"/>
      <c r="C128" s="166"/>
      <c r="D128" s="1345" t="s">
        <v>963</v>
      </c>
      <c r="E128" s="174"/>
      <c r="F128" s="174"/>
      <c r="G128" s="1787"/>
      <c r="H128" s="606"/>
      <c r="I128" s="1341">
        <f t="shared" si="32"/>
        <v>0</v>
      </c>
      <c r="J128" s="185"/>
      <c r="K128" s="185"/>
      <c r="L128" s="185"/>
      <c r="M128" s="185"/>
      <c r="N128" s="186"/>
      <c r="P128" s="8"/>
    </row>
    <row r="129" spans="1:16" s="9" customFormat="1" ht="18" customHeight="1" x14ac:dyDescent="0.3">
      <c r="A129" s="590">
        <v>120</v>
      </c>
      <c r="B129" s="173"/>
      <c r="C129" s="166"/>
      <c r="D129" s="1344" t="s">
        <v>1151</v>
      </c>
      <c r="E129" s="174"/>
      <c r="F129" s="174"/>
      <c r="G129" s="1787"/>
      <c r="H129" s="606"/>
      <c r="I129" s="575">
        <f t="shared" si="32"/>
        <v>375</v>
      </c>
      <c r="J129" s="185"/>
      <c r="K129" s="185"/>
      <c r="L129" s="185"/>
      <c r="M129" s="185"/>
      <c r="N129" s="1343">
        <f>SUM(N127:N128)</f>
        <v>375</v>
      </c>
      <c r="P129" s="8"/>
    </row>
    <row r="130" spans="1:16" s="9" customFormat="1" ht="18" customHeight="1" x14ac:dyDescent="0.3">
      <c r="A130" s="590">
        <v>121</v>
      </c>
      <c r="B130" s="173"/>
      <c r="C130" s="166"/>
      <c r="D130" s="444" t="s">
        <v>61</v>
      </c>
      <c r="E130" s="174">
        <v>3000</v>
      </c>
      <c r="F130" s="174">
        <v>3000</v>
      </c>
      <c r="G130" s="1787">
        <v>3000</v>
      </c>
      <c r="H130" s="606"/>
      <c r="I130" s="1206"/>
      <c r="J130" s="175"/>
      <c r="K130" s="175"/>
      <c r="L130" s="175"/>
      <c r="M130" s="175"/>
      <c r="N130" s="176"/>
      <c r="P130" s="8"/>
    </row>
    <row r="131" spans="1:16" s="9" customFormat="1" ht="18" customHeight="1" x14ac:dyDescent="0.3">
      <c r="A131" s="590">
        <v>122</v>
      </c>
      <c r="B131" s="173"/>
      <c r="C131" s="166"/>
      <c r="D131" s="1826" t="s">
        <v>311</v>
      </c>
      <c r="E131" s="174"/>
      <c r="F131" s="174"/>
      <c r="G131" s="1787"/>
      <c r="H131" s="606"/>
      <c r="I131" s="1206">
        <f t="shared" si="32"/>
        <v>0</v>
      </c>
      <c r="J131" s="185"/>
      <c r="K131" s="185"/>
      <c r="L131" s="185"/>
      <c r="M131" s="185"/>
      <c r="N131" s="186"/>
      <c r="P131" s="8"/>
    </row>
    <row r="132" spans="1:16" s="9" customFormat="1" ht="18" customHeight="1" x14ac:dyDescent="0.3">
      <c r="A132" s="590">
        <v>123</v>
      </c>
      <c r="B132" s="173"/>
      <c r="C132" s="166"/>
      <c r="D132" s="1344" t="s">
        <v>1072</v>
      </c>
      <c r="E132" s="174"/>
      <c r="F132" s="174"/>
      <c r="G132" s="1787"/>
      <c r="H132" s="606"/>
      <c r="I132" s="575">
        <f t="shared" si="32"/>
        <v>250</v>
      </c>
      <c r="J132" s="185"/>
      <c r="K132" s="185"/>
      <c r="L132" s="185"/>
      <c r="M132" s="185"/>
      <c r="N132" s="186">
        <v>250</v>
      </c>
      <c r="P132" s="8"/>
    </row>
    <row r="133" spans="1:16" s="9" customFormat="1" ht="18" customHeight="1" x14ac:dyDescent="0.3">
      <c r="A133" s="590">
        <v>124</v>
      </c>
      <c r="B133" s="173"/>
      <c r="C133" s="166"/>
      <c r="D133" s="1345" t="s">
        <v>963</v>
      </c>
      <c r="E133" s="174"/>
      <c r="F133" s="174"/>
      <c r="G133" s="1787"/>
      <c r="H133" s="606"/>
      <c r="I133" s="1341">
        <f t="shared" si="32"/>
        <v>0</v>
      </c>
      <c r="J133" s="185"/>
      <c r="K133" s="185"/>
      <c r="L133" s="185"/>
      <c r="M133" s="185"/>
      <c r="N133" s="186"/>
      <c r="P133" s="8"/>
    </row>
    <row r="134" spans="1:16" s="9" customFormat="1" ht="18" customHeight="1" x14ac:dyDescent="0.3">
      <c r="A134" s="590">
        <v>125</v>
      </c>
      <c r="B134" s="173"/>
      <c r="C134" s="166"/>
      <c r="D134" s="1344" t="s">
        <v>1151</v>
      </c>
      <c r="E134" s="174"/>
      <c r="F134" s="174"/>
      <c r="G134" s="1787"/>
      <c r="H134" s="606"/>
      <c r="I134" s="575">
        <f t="shared" si="32"/>
        <v>250</v>
      </c>
      <c r="J134" s="185"/>
      <c r="K134" s="185"/>
      <c r="L134" s="185"/>
      <c r="M134" s="185"/>
      <c r="N134" s="1343">
        <f>SUM(N132:N133)</f>
        <v>250</v>
      </c>
      <c r="P134" s="8"/>
    </row>
    <row r="135" spans="1:16" s="9" customFormat="1" ht="18" customHeight="1" x14ac:dyDescent="0.3">
      <c r="A135" s="590">
        <v>126</v>
      </c>
      <c r="B135" s="173"/>
      <c r="C135" s="166"/>
      <c r="D135" s="444" t="s">
        <v>390</v>
      </c>
      <c r="E135" s="174">
        <v>1000</v>
      </c>
      <c r="F135" s="174">
        <v>1000</v>
      </c>
      <c r="G135" s="1787">
        <v>1000</v>
      </c>
      <c r="H135" s="606"/>
      <c r="I135" s="1206"/>
      <c r="J135" s="175"/>
      <c r="K135" s="175"/>
      <c r="L135" s="175"/>
      <c r="M135" s="175"/>
      <c r="N135" s="176"/>
      <c r="P135" s="8"/>
    </row>
    <row r="136" spans="1:16" s="9" customFormat="1" ht="18" customHeight="1" x14ac:dyDescent="0.3">
      <c r="A136" s="590">
        <v>127</v>
      </c>
      <c r="B136" s="173"/>
      <c r="C136" s="166"/>
      <c r="D136" s="1826" t="s">
        <v>311</v>
      </c>
      <c r="E136" s="174"/>
      <c r="F136" s="174"/>
      <c r="G136" s="1787"/>
      <c r="H136" s="606"/>
      <c r="I136" s="1206">
        <f t="shared" si="32"/>
        <v>0</v>
      </c>
      <c r="J136" s="185"/>
      <c r="K136" s="185"/>
      <c r="L136" s="185"/>
      <c r="M136" s="185"/>
      <c r="N136" s="186"/>
      <c r="P136" s="8"/>
    </row>
    <row r="137" spans="1:16" s="9" customFormat="1" ht="18" customHeight="1" x14ac:dyDescent="0.3">
      <c r="A137" s="590">
        <v>128</v>
      </c>
      <c r="B137" s="173"/>
      <c r="C137" s="166"/>
      <c r="D137" s="1344" t="s">
        <v>1072</v>
      </c>
      <c r="E137" s="174"/>
      <c r="F137" s="174"/>
      <c r="G137" s="1787"/>
      <c r="H137" s="606"/>
      <c r="I137" s="575">
        <f t="shared" si="32"/>
        <v>83</v>
      </c>
      <c r="J137" s="185"/>
      <c r="K137" s="185"/>
      <c r="L137" s="185"/>
      <c r="M137" s="185"/>
      <c r="N137" s="186">
        <v>83</v>
      </c>
      <c r="P137" s="8"/>
    </row>
    <row r="138" spans="1:16" s="9" customFormat="1" ht="18" customHeight="1" x14ac:dyDescent="0.3">
      <c r="A138" s="590">
        <v>129</v>
      </c>
      <c r="B138" s="173"/>
      <c r="C138" s="166"/>
      <c r="D138" s="1345" t="s">
        <v>963</v>
      </c>
      <c r="E138" s="174"/>
      <c r="F138" s="174"/>
      <c r="G138" s="1787"/>
      <c r="H138" s="606"/>
      <c r="I138" s="1341">
        <f t="shared" si="32"/>
        <v>0</v>
      </c>
      <c r="J138" s="185"/>
      <c r="K138" s="185"/>
      <c r="L138" s="185"/>
      <c r="M138" s="185"/>
      <c r="N138" s="186"/>
      <c r="P138" s="8"/>
    </row>
    <row r="139" spans="1:16" s="9" customFormat="1" ht="18" customHeight="1" x14ac:dyDescent="0.3">
      <c r="A139" s="590">
        <v>130</v>
      </c>
      <c r="B139" s="173"/>
      <c r="C139" s="166"/>
      <c r="D139" s="1344" t="s">
        <v>1151</v>
      </c>
      <c r="E139" s="174"/>
      <c r="F139" s="174"/>
      <c r="G139" s="1787"/>
      <c r="H139" s="606"/>
      <c r="I139" s="575">
        <f t="shared" si="32"/>
        <v>83</v>
      </c>
      <c r="J139" s="185"/>
      <c r="K139" s="185"/>
      <c r="L139" s="185"/>
      <c r="M139" s="185"/>
      <c r="N139" s="186">
        <f>SUM(N137:N138)</f>
        <v>83</v>
      </c>
      <c r="P139" s="8"/>
    </row>
    <row r="140" spans="1:16" s="9" customFormat="1" ht="22.5" customHeight="1" x14ac:dyDescent="0.3">
      <c r="A140" s="590">
        <v>131</v>
      </c>
      <c r="B140" s="173"/>
      <c r="C140" s="162">
        <v>21</v>
      </c>
      <c r="D140" s="584" t="s">
        <v>828</v>
      </c>
      <c r="E140" s="174"/>
      <c r="F140" s="174"/>
      <c r="G140" s="1787"/>
      <c r="H140" s="605" t="s">
        <v>24</v>
      </c>
      <c r="I140" s="575"/>
      <c r="J140" s="185"/>
      <c r="K140" s="185"/>
      <c r="L140" s="185"/>
      <c r="M140" s="185"/>
      <c r="N140" s="186"/>
      <c r="P140" s="8"/>
    </row>
    <row r="141" spans="1:16" s="1226" customFormat="1" ht="18" customHeight="1" x14ac:dyDescent="0.3">
      <c r="A141" s="590">
        <v>132</v>
      </c>
      <c r="B141" s="1220"/>
      <c r="C141" s="1209"/>
      <c r="D141" s="1210" t="s">
        <v>311</v>
      </c>
      <c r="E141" s="1222"/>
      <c r="F141" s="1222"/>
      <c r="G141" s="1790"/>
      <c r="H141" s="1212"/>
      <c r="I141" s="1203">
        <f>SUM(J141:N141)</f>
        <v>425</v>
      </c>
      <c r="J141" s="1224"/>
      <c r="K141" s="1224"/>
      <c r="L141" s="1204">
        <v>425</v>
      </c>
      <c r="M141" s="1224"/>
      <c r="N141" s="1225"/>
      <c r="P141" s="1213"/>
    </row>
    <row r="142" spans="1:16" s="1226" customFormat="1" ht="18" customHeight="1" x14ac:dyDescent="0.3">
      <c r="A142" s="590">
        <v>133</v>
      </c>
      <c r="B142" s="1220"/>
      <c r="C142" s="1209"/>
      <c r="D142" s="583" t="s">
        <v>1072</v>
      </c>
      <c r="E142" s="1222"/>
      <c r="F142" s="1222"/>
      <c r="G142" s="1790"/>
      <c r="H142" s="1212"/>
      <c r="I142" s="573">
        <f t="shared" ref="I142:I144" si="33">SUM(J142:N142)</f>
        <v>0</v>
      </c>
      <c r="J142" s="1224"/>
      <c r="K142" s="1224"/>
      <c r="L142" s="445">
        <v>0</v>
      </c>
      <c r="M142" s="1224"/>
      <c r="N142" s="1225"/>
      <c r="P142" s="1213"/>
    </row>
    <row r="143" spans="1:16" s="1226" customFormat="1" ht="18" customHeight="1" x14ac:dyDescent="0.3">
      <c r="A143" s="590">
        <v>134</v>
      </c>
      <c r="B143" s="1220"/>
      <c r="C143" s="1209"/>
      <c r="D143" s="1338" t="s">
        <v>963</v>
      </c>
      <c r="E143" s="1222"/>
      <c r="F143" s="1222"/>
      <c r="G143" s="1790"/>
      <c r="H143" s="1212"/>
      <c r="I143" s="1341">
        <f t="shared" si="33"/>
        <v>0</v>
      </c>
      <c r="J143" s="185"/>
      <c r="K143" s="185"/>
      <c r="L143" s="185"/>
      <c r="M143" s="185"/>
      <c r="N143" s="186"/>
      <c r="P143" s="1213"/>
    </row>
    <row r="144" spans="1:16" s="1226" customFormat="1" ht="18" customHeight="1" x14ac:dyDescent="0.3">
      <c r="A144" s="590">
        <v>135</v>
      </c>
      <c r="B144" s="1220"/>
      <c r="C144" s="1209"/>
      <c r="D144" s="583" t="s">
        <v>1151</v>
      </c>
      <c r="E144" s="1222"/>
      <c r="F144" s="1222"/>
      <c r="G144" s="1790"/>
      <c r="H144" s="1212"/>
      <c r="I144" s="573">
        <f t="shared" si="33"/>
        <v>0</v>
      </c>
      <c r="J144" s="1342"/>
      <c r="K144" s="1342"/>
      <c r="L144" s="1342">
        <f>SUM(L142:L143)</f>
        <v>0</v>
      </c>
      <c r="M144" s="1342"/>
      <c r="N144" s="1343"/>
      <c r="P144" s="1213"/>
    </row>
    <row r="145" spans="1:16" s="9" customFormat="1" ht="22.5" customHeight="1" x14ac:dyDescent="0.3">
      <c r="A145" s="590">
        <v>136</v>
      </c>
      <c r="B145" s="173"/>
      <c r="C145" s="162">
        <v>22</v>
      </c>
      <c r="D145" s="584" t="s">
        <v>817</v>
      </c>
      <c r="E145" s="174"/>
      <c r="F145" s="174"/>
      <c r="G145" s="1787"/>
      <c r="H145" s="605" t="s">
        <v>24</v>
      </c>
      <c r="I145" s="573"/>
      <c r="J145" s="185"/>
      <c r="K145" s="185"/>
      <c r="L145" s="185"/>
      <c r="M145" s="185"/>
      <c r="N145" s="186"/>
      <c r="P145" s="8"/>
    </row>
    <row r="146" spans="1:16" s="1226" customFormat="1" ht="18" customHeight="1" x14ac:dyDescent="0.3">
      <c r="A146" s="590">
        <v>137</v>
      </c>
      <c r="B146" s="1220"/>
      <c r="C146" s="1209"/>
      <c r="D146" s="1210" t="s">
        <v>311</v>
      </c>
      <c r="E146" s="1222"/>
      <c r="F146" s="1222"/>
      <c r="G146" s="1790"/>
      <c r="H146" s="1212"/>
      <c r="I146" s="1203">
        <f>SUM(J146:N146)</f>
        <v>425</v>
      </c>
      <c r="J146" s="1224"/>
      <c r="K146" s="1224"/>
      <c r="L146" s="1224"/>
      <c r="M146" s="1224"/>
      <c r="N146" s="1205">
        <v>425</v>
      </c>
      <c r="P146" s="1213"/>
    </row>
    <row r="147" spans="1:16" s="1226" customFormat="1" ht="18" customHeight="1" x14ac:dyDescent="0.3">
      <c r="A147" s="590">
        <v>138</v>
      </c>
      <c r="B147" s="1220"/>
      <c r="C147" s="1209"/>
      <c r="D147" s="583" t="s">
        <v>1072</v>
      </c>
      <c r="E147" s="1222"/>
      <c r="F147" s="1222"/>
      <c r="G147" s="1790"/>
      <c r="H147" s="1212"/>
      <c r="I147" s="573">
        <f t="shared" ref="I147" si="34">SUM(J147:N147)</f>
        <v>425</v>
      </c>
      <c r="J147" s="1224"/>
      <c r="K147" s="1224"/>
      <c r="L147" s="445">
        <v>425</v>
      </c>
      <c r="M147" s="1224"/>
      <c r="N147" s="441">
        <v>0</v>
      </c>
      <c r="P147" s="1213"/>
    </row>
    <row r="148" spans="1:16" s="1226" customFormat="1" ht="18" customHeight="1" x14ac:dyDescent="0.3">
      <c r="A148" s="590">
        <v>139</v>
      </c>
      <c r="B148" s="1220"/>
      <c r="C148" s="1209"/>
      <c r="D148" s="1338" t="s">
        <v>963</v>
      </c>
      <c r="E148" s="1222"/>
      <c r="F148" s="1222"/>
      <c r="G148" s="1790"/>
      <c r="H148" s="1212"/>
      <c r="I148" s="1341">
        <f t="shared" ref="I148:I149" si="35">SUM(J148:N148)</f>
        <v>0</v>
      </c>
      <c r="J148" s="185"/>
      <c r="K148" s="185"/>
      <c r="L148" s="185"/>
      <c r="M148" s="185"/>
      <c r="N148" s="186"/>
      <c r="P148" s="1213"/>
    </row>
    <row r="149" spans="1:16" s="1226" customFormat="1" ht="18" customHeight="1" x14ac:dyDescent="0.3">
      <c r="A149" s="590">
        <v>140</v>
      </c>
      <c r="B149" s="1220"/>
      <c r="C149" s="1209"/>
      <c r="D149" s="583" t="s">
        <v>1151</v>
      </c>
      <c r="E149" s="1222"/>
      <c r="F149" s="1222"/>
      <c r="G149" s="1790"/>
      <c r="H149" s="1212"/>
      <c r="I149" s="573">
        <f t="shared" si="35"/>
        <v>425</v>
      </c>
      <c r="J149" s="1342"/>
      <c r="K149" s="1342"/>
      <c r="L149" s="1342">
        <f>SUM(L147:L148)</f>
        <v>425</v>
      </c>
      <c r="M149" s="1342"/>
      <c r="N149" s="1343">
        <f>SUM(N147:N148)</f>
        <v>0</v>
      </c>
      <c r="P149" s="1213"/>
    </row>
    <row r="150" spans="1:16" s="9" customFormat="1" ht="22.5" customHeight="1" x14ac:dyDescent="0.3">
      <c r="A150" s="590">
        <v>141</v>
      </c>
      <c r="B150" s="173"/>
      <c r="C150" s="162">
        <v>23</v>
      </c>
      <c r="D150" s="584" t="s">
        <v>827</v>
      </c>
      <c r="E150" s="174"/>
      <c r="F150" s="174"/>
      <c r="G150" s="1787"/>
      <c r="H150" s="605" t="s">
        <v>24</v>
      </c>
      <c r="I150" s="573"/>
      <c r="J150" s="185"/>
      <c r="K150" s="185"/>
      <c r="L150" s="185"/>
      <c r="M150" s="185"/>
      <c r="N150" s="186"/>
      <c r="P150" s="8"/>
    </row>
    <row r="151" spans="1:16" s="1226" customFormat="1" ht="18" customHeight="1" x14ac:dyDescent="0.3">
      <c r="A151" s="590">
        <v>142</v>
      </c>
      <c r="B151" s="1220"/>
      <c r="C151" s="1209"/>
      <c r="D151" s="1210" t="s">
        <v>311</v>
      </c>
      <c r="E151" s="1222"/>
      <c r="F151" s="1222"/>
      <c r="G151" s="1790"/>
      <c r="H151" s="1223"/>
      <c r="I151" s="1203">
        <f>SUM(J151:N151)</f>
        <v>850</v>
      </c>
      <c r="J151" s="1224"/>
      <c r="K151" s="1224"/>
      <c r="L151" s="1204">
        <v>850</v>
      </c>
      <c r="M151" s="1224"/>
      <c r="N151" s="1225"/>
      <c r="P151" s="1213"/>
    </row>
    <row r="152" spans="1:16" s="1226" customFormat="1" ht="18" customHeight="1" x14ac:dyDescent="0.3">
      <c r="A152" s="590">
        <v>143</v>
      </c>
      <c r="B152" s="1220"/>
      <c r="C152" s="1209"/>
      <c r="D152" s="583" t="s">
        <v>1072</v>
      </c>
      <c r="E152" s="1222"/>
      <c r="F152" s="1222"/>
      <c r="G152" s="1790"/>
      <c r="H152" s="1223"/>
      <c r="I152" s="573">
        <f t="shared" ref="I152" si="36">SUM(J152:N152)</f>
        <v>0</v>
      </c>
      <c r="J152" s="1224"/>
      <c r="K152" s="1224"/>
      <c r="L152" s="445">
        <v>0</v>
      </c>
      <c r="M152" s="1224"/>
      <c r="N152" s="1225"/>
      <c r="P152" s="1213"/>
    </row>
    <row r="153" spans="1:16" s="1226" customFormat="1" ht="18" customHeight="1" x14ac:dyDescent="0.3">
      <c r="A153" s="590">
        <v>144</v>
      </c>
      <c r="B153" s="1220"/>
      <c r="C153" s="1209"/>
      <c r="D153" s="1338" t="s">
        <v>986</v>
      </c>
      <c r="E153" s="1222"/>
      <c r="F153" s="1222"/>
      <c r="G153" s="1790"/>
      <c r="H153" s="1223"/>
      <c r="I153" s="1341">
        <f>SUM(J153:N153)</f>
        <v>0</v>
      </c>
      <c r="J153" s="185"/>
      <c r="K153" s="185"/>
      <c r="L153" s="185"/>
      <c r="M153" s="185"/>
      <c r="N153" s="186"/>
      <c r="P153" s="1213"/>
    </row>
    <row r="154" spans="1:16" s="1226" customFormat="1" ht="18" customHeight="1" x14ac:dyDescent="0.3">
      <c r="A154" s="590">
        <v>145</v>
      </c>
      <c r="B154" s="1220"/>
      <c r="C154" s="1209"/>
      <c r="D154" s="583" t="s">
        <v>1151</v>
      </c>
      <c r="E154" s="1222"/>
      <c r="F154" s="1222"/>
      <c r="G154" s="1790"/>
      <c r="H154" s="1223"/>
      <c r="I154" s="573">
        <f t="shared" ref="I154" si="37">SUM(J154:N154)</f>
        <v>0</v>
      </c>
      <c r="J154" s="1342"/>
      <c r="K154" s="1342"/>
      <c r="L154" s="1342">
        <f>SUM(L152:L153)</f>
        <v>0</v>
      </c>
      <c r="M154" s="1342"/>
      <c r="N154" s="1343"/>
      <c r="P154" s="1213"/>
    </row>
    <row r="155" spans="1:16" s="9" customFormat="1" ht="22.5" customHeight="1" x14ac:dyDescent="0.3">
      <c r="A155" s="590">
        <v>146</v>
      </c>
      <c r="B155" s="173"/>
      <c r="C155" s="162">
        <v>24</v>
      </c>
      <c r="D155" s="584" t="s">
        <v>818</v>
      </c>
      <c r="E155" s="174"/>
      <c r="F155" s="174"/>
      <c r="G155" s="1787"/>
      <c r="H155" s="605" t="s">
        <v>24</v>
      </c>
      <c r="I155" s="573"/>
      <c r="J155" s="185"/>
      <c r="K155" s="185"/>
      <c r="L155" s="185"/>
      <c r="M155" s="185"/>
      <c r="N155" s="186"/>
      <c r="P155" s="8"/>
    </row>
    <row r="156" spans="1:16" s="1226" customFormat="1" ht="18" customHeight="1" x14ac:dyDescent="0.3">
      <c r="A156" s="590">
        <v>147</v>
      </c>
      <c r="B156" s="1220"/>
      <c r="C156" s="1209"/>
      <c r="D156" s="1210" t="s">
        <v>311</v>
      </c>
      <c r="E156" s="1222"/>
      <c r="F156" s="1222"/>
      <c r="G156" s="1790"/>
      <c r="H156" s="1223"/>
      <c r="I156" s="1203">
        <f>SUM(J156:N156)</f>
        <v>2550</v>
      </c>
      <c r="J156" s="1224"/>
      <c r="K156" s="1224"/>
      <c r="L156" s="1224"/>
      <c r="M156" s="1224"/>
      <c r="N156" s="1205">
        <v>2550</v>
      </c>
      <c r="P156" s="1213"/>
    </row>
    <row r="157" spans="1:16" s="1226" customFormat="1" ht="18" customHeight="1" x14ac:dyDescent="0.3">
      <c r="A157" s="590">
        <v>148</v>
      </c>
      <c r="B157" s="1220"/>
      <c r="C157" s="1209"/>
      <c r="D157" s="583" t="s">
        <v>1072</v>
      </c>
      <c r="E157" s="1222"/>
      <c r="F157" s="1222"/>
      <c r="G157" s="1790"/>
      <c r="H157" s="1223"/>
      <c r="I157" s="573">
        <f t="shared" ref="I157" si="38">SUM(J157:N157)</f>
        <v>0</v>
      </c>
      <c r="J157" s="1224"/>
      <c r="K157" s="1224"/>
      <c r="L157" s="1224"/>
      <c r="M157" s="1224"/>
      <c r="N157" s="441">
        <v>0</v>
      </c>
      <c r="P157" s="1213"/>
    </row>
    <row r="158" spans="1:16" s="1226" customFormat="1" ht="18" customHeight="1" x14ac:dyDescent="0.3">
      <c r="A158" s="590">
        <v>149</v>
      </c>
      <c r="B158" s="1220"/>
      <c r="C158" s="1209"/>
      <c r="D158" s="1338" t="s">
        <v>963</v>
      </c>
      <c r="E158" s="1222"/>
      <c r="F158" s="1222"/>
      <c r="G158" s="1790"/>
      <c r="H158" s="1223"/>
      <c r="I158" s="1341">
        <f t="shared" ref="I158:I159" si="39">SUM(J158:N158)</f>
        <v>0</v>
      </c>
      <c r="J158" s="1342"/>
      <c r="K158" s="1342"/>
      <c r="L158" s="1342"/>
      <c r="M158" s="1342"/>
      <c r="N158" s="1343"/>
      <c r="P158" s="1213"/>
    </row>
    <row r="159" spans="1:16" s="1226" customFormat="1" ht="18" customHeight="1" x14ac:dyDescent="0.3">
      <c r="A159" s="590">
        <v>150</v>
      </c>
      <c r="B159" s="1220"/>
      <c r="C159" s="1209"/>
      <c r="D159" s="583" t="s">
        <v>1151</v>
      </c>
      <c r="E159" s="1222"/>
      <c r="F159" s="1222"/>
      <c r="G159" s="1790"/>
      <c r="H159" s="1223"/>
      <c r="I159" s="573">
        <f t="shared" si="39"/>
        <v>0</v>
      </c>
      <c r="J159" s="1342"/>
      <c r="K159" s="1342"/>
      <c r="L159" s="1342"/>
      <c r="M159" s="1342"/>
      <c r="N159" s="1343">
        <f>SUM(N157:N158)</f>
        <v>0</v>
      </c>
      <c r="P159" s="1213"/>
    </row>
    <row r="160" spans="1:16" s="3" customFormat="1" ht="22.5" customHeight="1" x14ac:dyDescent="0.3">
      <c r="A160" s="590">
        <v>151</v>
      </c>
      <c r="B160" s="161"/>
      <c r="C160" s="162">
        <v>25</v>
      </c>
      <c r="D160" s="584" t="s">
        <v>62</v>
      </c>
      <c r="E160" s="164">
        <v>2500</v>
      </c>
      <c r="F160" s="164">
        <v>2500</v>
      </c>
      <c r="G160" s="1787">
        <v>2500</v>
      </c>
      <c r="H160" s="605" t="s">
        <v>24</v>
      </c>
      <c r="I160" s="1203"/>
      <c r="J160" s="168"/>
      <c r="K160" s="168"/>
      <c r="L160" s="168"/>
      <c r="M160" s="168"/>
      <c r="N160" s="169"/>
      <c r="P160" s="8"/>
    </row>
    <row r="161" spans="1:16" s="3" customFormat="1" ht="22.5" customHeight="1" x14ac:dyDescent="0.3">
      <c r="A161" s="590">
        <v>152</v>
      </c>
      <c r="B161" s="161"/>
      <c r="C161" s="162">
        <v>26</v>
      </c>
      <c r="D161" s="584" t="s">
        <v>325</v>
      </c>
      <c r="E161" s="164">
        <v>2500</v>
      </c>
      <c r="F161" s="164">
        <v>2500</v>
      </c>
      <c r="G161" s="1784">
        <v>2500</v>
      </c>
      <c r="H161" s="605" t="s">
        <v>24</v>
      </c>
      <c r="I161" s="1203"/>
      <c r="J161" s="168"/>
      <c r="K161" s="168"/>
      <c r="L161" s="168"/>
      <c r="M161" s="168"/>
      <c r="N161" s="169"/>
      <c r="P161" s="8"/>
    </row>
    <row r="162" spans="1:16" s="3" customFormat="1" ht="22.5" customHeight="1" x14ac:dyDescent="0.3">
      <c r="A162" s="590">
        <v>153</v>
      </c>
      <c r="B162" s="161"/>
      <c r="C162" s="162">
        <v>27</v>
      </c>
      <c r="D162" s="584" t="s">
        <v>63</v>
      </c>
      <c r="E162" s="164">
        <v>1500</v>
      </c>
      <c r="F162" s="164">
        <v>1500</v>
      </c>
      <c r="G162" s="1784">
        <v>1500</v>
      </c>
      <c r="H162" s="605" t="s">
        <v>24</v>
      </c>
      <c r="I162" s="573"/>
      <c r="J162" s="168"/>
      <c r="K162" s="168"/>
      <c r="L162" s="168"/>
      <c r="M162" s="168"/>
      <c r="N162" s="169"/>
      <c r="P162" s="8"/>
    </row>
    <row r="163" spans="1:16" s="1213" customFormat="1" ht="18" customHeight="1" x14ac:dyDescent="0.3">
      <c r="A163" s="590">
        <v>154</v>
      </c>
      <c r="B163" s="1208"/>
      <c r="C163" s="1209"/>
      <c r="D163" s="1210" t="s">
        <v>311</v>
      </c>
      <c r="E163" s="1211"/>
      <c r="F163" s="1211"/>
      <c r="G163" s="1786"/>
      <c r="H163" s="1212"/>
      <c r="I163" s="1203">
        <f>SUM(J163:N163)</f>
        <v>1275</v>
      </c>
      <c r="J163" s="1204"/>
      <c r="K163" s="1204"/>
      <c r="L163" s="1204"/>
      <c r="M163" s="1204"/>
      <c r="N163" s="1205">
        <v>1275</v>
      </c>
    </row>
    <row r="164" spans="1:16" s="1213" customFormat="1" ht="18" customHeight="1" x14ac:dyDescent="0.3">
      <c r="A164" s="590">
        <v>155</v>
      </c>
      <c r="B164" s="1208"/>
      <c r="C164" s="1209"/>
      <c r="D164" s="583" t="s">
        <v>1072</v>
      </c>
      <c r="E164" s="1211"/>
      <c r="F164" s="1211"/>
      <c r="G164" s="1786"/>
      <c r="H164" s="1212"/>
      <c r="I164" s="573">
        <f t="shared" ref="I164:I166" si="40">SUM(J164:N164)</f>
        <v>0</v>
      </c>
      <c r="J164" s="1204"/>
      <c r="K164" s="1204"/>
      <c r="L164" s="1204"/>
      <c r="M164" s="1204"/>
      <c r="N164" s="441">
        <v>0</v>
      </c>
    </row>
    <row r="165" spans="1:16" s="1213" customFormat="1" ht="18" customHeight="1" x14ac:dyDescent="0.3">
      <c r="A165" s="590">
        <v>156</v>
      </c>
      <c r="B165" s="1208"/>
      <c r="C165" s="1209"/>
      <c r="D165" s="1338" t="s">
        <v>986</v>
      </c>
      <c r="E165" s="1211"/>
      <c r="F165" s="1211"/>
      <c r="G165" s="1786"/>
      <c r="H165" s="1212"/>
      <c r="I165" s="1341">
        <f t="shared" si="40"/>
        <v>0</v>
      </c>
      <c r="J165" s="185"/>
      <c r="K165" s="185"/>
      <c r="L165" s="185"/>
      <c r="M165" s="185"/>
      <c r="N165" s="186"/>
    </row>
    <row r="166" spans="1:16" s="1213" customFormat="1" ht="18" customHeight="1" x14ac:dyDescent="0.3">
      <c r="A166" s="590">
        <v>157</v>
      </c>
      <c r="B166" s="1208"/>
      <c r="C166" s="1209"/>
      <c r="D166" s="583" t="s">
        <v>1151</v>
      </c>
      <c r="E166" s="1211"/>
      <c r="F166" s="1211"/>
      <c r="G166" s="1786"/>
      <c r="H166" s="1212"/>
      <c r="I166" s="573">
        <f t="shared" si="40"/>
        <v>0</v>
      </c>
      <c r="J166" s="445"/>
      <c r="K166" s="445"/>
      <c r="L166" s="445"/>
      <c r="M166" s="445"/>
      <c r="N166" s="441">
        <f>SUM(N164:N165)</f>
        <v>0</v>
      </c>
    </row>
    <row r="167" spans="1:16" s="3" customFormat="1" ht="22.5" customHeight="1" x14ac:dyDescent="0.3">
      <c r="A167" s="590">
        <v>158</v>
      </c>
      <c r="B167" s="161"/>
      <c r="C167" s="162">
        <v>28</v>
      </c>
      <c r="D167" s="584" t="s">
        <v>64</v>
      </c>
      <c r="E167" s="164">
        <v>1000</v>
      </c>
      <c r="F167" s="164">
        <v>1000</v>
      </c>
      <c r="G167" s="1784">
        <v>1000</v>
      </c>
      <c r="H167" s="605" t="s">
        <v>24</v>
      </c>
      <c r="I167" s="573"/>
      <c r="J167" s="168"/>
      <c r="K167" s="168"/>
      <c r="L167" s="168"/>
      <c r="M167" s="168"/>
      <c r="N167" s="169"/>
      <c r="P167" s="8"/>
    </row>
    <row r="168" spans="1:16" s="1213" customFormat="1" ht="18" customHeight="1" x14ac:dyDescent="0.3">
      <c r="A168" s="590">
        <v>159</v>
      </c>
      <c r="B168" s="1208"/>
      <c r="C168" s="1209"/>
      <c r="D168" s="1210" t="s">
        <v>311</v>
      </c>
      <c r="E168" s="1211"/>
      <c r="F168" s="1211"/>
      <c r="G168" s="1786"/>
      <c r="H168" s="1212"/>
      <c r="I168" s="1203">
        <f>SUM(J168:N168)</f>
        <v>850</v>
      </c>
      <c r="J168" s="1204"/>
      <c r="K168" s="1204"/>
      <c r="L168" s="1204"/>
      <c r="M168" s="1204"/>
      <c r="N168" s="1205">
        <v>850</v>
      </c>
    </row>
    <row r="169" spans="1:16" s="1213" customFormat="1" ht="18" customHeight="1" x14ac:dyDescent="0.3">
      <c r="A169" s="590">
        <v>160</v>
      </c>
      <c r="B169" s="1208"/>
      <c r="C169" s="1209"/>
      <c r="D169" s="583" t="s">
        <v>1072</v>
      </c>
      <c r="E169" s="1211"/>
      <c r="F169" s="1211"/>
      <c r="G169" s="1786"/>
      <c r="H169" s="1212"/>
      <c r="I169" s="573">
        <f t="shared" ref="I169:I171" si="41">SUM(J169:N169)</f>
        <v>0</v>
      </c>
      <c r="J169" s="1204"/>
      <c r="K169" s="1204"/>
      <c r="L169" s="1204"/>
      <c r="M169" s="1204"/>
      <c r="N169" s="441">
        <v>0</v>
      </c>
    </row>
    <row r="170" spans="1:16" s="1213" customFormat="1" ht="18" customHeight="1" x14ac:dyDescent="0.3">
      <c r="A170" s="590">
        <v>161</v>
      </c>
      <c r="B170" s="1208"/>
      <c r="C170" s="1209"/>
      <c r="D170" s="1338" t="s">
        <v>986</v>
      </c>
      <c r="E170" s="1211"/>
      <c r="F170" s="1211"/>
      <c r="G170" s="1786"/>
      <c r="H170" s="1212"/>
      <c r="I170" s="1341">
        <f t="shared" si="41"/>
        <v>0</v>
      </c>
      <c r="J170" s="185"/>
      <c r="K170" s="185"/>
      <c r="L170" s="185"/>
      <c r="M170" s="185"/>
      <c r="N170" s="186"/>
    </row>
    <row r="171" spans="1:16" s="1213" customFormat="1" ht="18" customHeight="1" x14ac:dyDescent="0.3">
      <c r="A171" s="590">
        <v>162</v>
      </c>
      <c r="B171" s="1208"/>
      <c r="C171" s="1209"/>
      <c r="D171" s="583" t="s">
        <v>1151</v>
      </c>
      <c r="E171" s="1211"/>
      <c r="F171" s="1211"/>
      <c r="G171" s="1786"/>
      <c r="H171" s="1212"/>
      <c r="I171" s="573">
        <f t="shared" si="41"/>
        <v>0</v>
      </c>
      <c r="J171" s="445"/>
      <c r="K171" s="445"/>
      <c r="L171" s="445"/>
      <c r="M171" s="445"/>
      <c r="N171" s="441">
        <f>SUM(N169:N170)</f>
        <v>0</v>
      </c>
    </row>
    <row r="172" spans="1:16" s="3" customFormat="1" ht="22.5" customHeight="1" x14ac:dyDescent="0.3">
      <c r="A172" s="590">
        <v>163</v>
      </c>
      <c r="B172" s="161"/>
      <c r="C172" s="162">
        <v>29</v>
      </c>
      <c r="D172" s="584" t="s">
        <v>281</v>
      </c>
      <c r="E172" s="164">
        <v>5000</v>
      </c>
      <c r="F172" s="164">
        <v>5000</v>
      </c>
      <c r="G172" s="1784">
        <v>5000</v>
      </c>
      <c r="H172" s="605" t="s">
        <v>24</v>
      </c>
      <c r="I172" s="573"/>
      <c r="J172" s="168"/>
      <c r="K172" s="168"/>
      <c r="L172" s="168"/>
      <c r="M172" s="168"/>
      <c r="N172" s="169"/>
      <c r="P172" s="8"/>
    </row>
    <row r="173" spans="1:16" s="1213" customFormat="1" ht="18" customHeight="1" x14ac:dyDescent="0.3">
      <c r="A173" s="590">
        <v>164</v>
      </c>
      <c r="B173" s="1208"/>
      <c r="C173" s="1209"/>
      <c r="D173" s="1210" t="s">
        <v>311</v>
      </c>
      <c r="E173" s="1211"/>
      <c r="F173" s="1211"/>
      <c r="G173" s="1786"/>
      <c r="H173" s="1212"/>
      <c r="I173" s="1203">
        <f t="shared" ref="I173:I188" si="42">SUM(J173:N173)</f>
        <v>4250</v>
      </c>
      <c r="J173" s="1204"/>
      <c r="K173" s="1204"/>
      <c r="L173" s="1204"/>
      <c r="M173" s="1204"/>
      <c r="N173" s="1205">
        <v>4250</v>
      </c>
    </row>
    <row r="174" spans="1:16" s="1213" customFormat="1" ht="18" customHeight="1" x14ac:dyDescent="0.3">
      <c r="A174" s="590">
        <v>165</v>
      </c>
      <c r="B174" s="1208"/>
      <c r="C174" s="1209"/>
      <c r="D174" s="583" t="s">
        <v>1072</v>
      </c>
      <c r="E174" s="1211"/>
      <c r="F174" s="1211"/>
      <c r="G174" s="1786"/>
      <c r="H174" s="1212"/>
      <c r="I174" s="573">
        <f t="shared" si="42"/>
        <v>4250</v>
      </c>
      <c r="J174" s="1204"/>
      <c r="K174" s="1204"/>
      <c r="L174" s="1204">
        <v>4250</v>
      </c>
      <c r="M174" s="1204"/>
      <c r="N174" s="1205"/>
    </row>
    <row r="175" spans="1:16" s="1213" customFormat="1" ht="18" customHeight="1" x14ac:dyDescent="0.3">
      <c r="A175" s="590">
        <v>166</v>
      </c>
      <c r="B175" s="1208"/>
      <c r="C175" s="1209"/>
      <c r="D175" s="1338" t="s">
        <v>986</v>
      </c>
      <c r="E175" s="1211"/>
      <c r="F175" s="1211"/>
      <c r="G175" s="1786"/>
      <c r="H175" s="1212"/>
      <c r="I175" s="1341">
        <f t="shared" si="42"/>
        <v>0</v>
      </c>
      <c r="J175" s="185"/>
      <c r="K175" s="185"/>
      <c r="L175" s="185"/>
      <c r="M175" s="185"/>
      <c r="N175" s="186"/>
    </row>
    <row r="176" spans="1:16" s="1213" customFormat="1" ht="18" customHeight="1" x14ac:dyDescent="0.3">
      <c r="A176" s="590">
        <v>167</v>
      </c>
      <c r="B176" s="1208"/>
      <c r="C176" s="1209"/>
      <c r="D176" s="583" t="s">
        <v>1151</v>
      </c>
      <c r="E176" s="1211"/>
      <c r="F176" s="1211"/>
      <c r="G176" s="1786"/>
      <c r="H176" s="1212"/>
      <c r="I176" s="573">
        <f t="shared" si="42"/>
        <v>4250</v>
      </c>
      <c r="J176" s="1204"/>
      <c r="K176" s="1204"/>
      <c r="L176" s="445">
        <f>SUM(L174:L175)</f>
        <v>4250</v>
      </c>
      <c r="M176" s="1204"/>
      <c r="N176" s="441">
        <f>SUM(N174:N175)</f>
        <v>0</v>
      </c>
    </row>
    <row r="177" spans="1:16" s="8" customFormat="1" ht="22.5" customHeight="1" x14ac:dyDescent="0.3">
      <c r="A177" s="590">
        <v>168</v>
      </c>
      <c r="B177" s="165"/>
      <c r="C177" s="162">
        <v>30</v>
      </c>
      <c r="D177" s="583" t="s">
        <v>520</v>
      </c>
      <c r="E177" s="164">
        <v>2500</v>
      </c>
      <c r="F177" s="164">
        <v>5000</v>
      </c>
      <c r="G177" s="1784">
        <v>3250</v>
      </c>
      <c r="H177" s="605" t="s">
        <v>24</v>
      </c>
      <c r="I177" s="1203"/>
      <c r="J177" s="168"/>
      <c r="K177" s="168"/>
      <c r="L177" s="168"/>
      <c r="M177" s="168"/>
      <c r="N177" s="169"/>
    </row>
    <row r="178" spans="1:16" s="8" customFormat="1" ht="22.5" customHeight="1" x14ac:dyDescent="0.3">
      <c r="A178" s="590">
        <v>169</v>
      </c>
      <c r="B178" s="182"/>
      <c r="C178" s="162">
        <v>31</v>
      </c>
      <c r="D178" s="583" t="s">
        <v>555</v>
      </c>
      <c r="E178" s="196"/>
      <c r="F178" s="196">
        <v>20000</v>
      </c>
      <c r="G178" s="1783">
        <v>16160</v>
      </c>
      <c r="H178" s="605" t="s">
        <v>24</v>
      </c>
      <c r="I178" s="573"/>
      <c r="J178" s="195"/>
      <c r="K178" s="195"/>
      <c r="L178" s="195"/>
      <c r="M178" s="195"/>
      <c r="N178" s="201"/>
    </row>
    <row r="179" spans="1:16" s="1213" customFormat="1" ht="18" customHeight="1" x14ac:dyDescent="0.3">
      <c r="A179" s="590">
        <v>170</v>
      </c>
      <c r="B179" s="1230"/>
      <c r="C179" s="1209"/>
      <c r="D179" s="1210" t="s">
        <v>311</v>
      </c>
      <c r="E179" s="1215"/>
      <c r="F179" s="1215"/>
      <c r="G179" s="1789"/>
      <c r="H179" s="1212"/>
      <c r="I179" s="1203">
        <f t="shared" si="42"/>
        <v>20000</v>
      </c>
      <c r="J179" s="1217"/>
      <c r="K179" s="1217"/>
      <c r="L179" s="1217"/>
      <c r="M179" s="1217"/>
      <c r="N179" s="1218">
        <v>20000</v>
      </c>
    </row>
    <row r="180" spans="1:16" s="1213" customFormat="1" ht="18" customHeight="1" x14ac:dyDescent="0.3">
      <c r="A180" s="590">
        <v>171</v>
      </c>
      <c r="B180" s="1230"/>
      <c r="C180" s="1209"/>
      <c r="D180" s="583" t="s">
        <v>1072</v>
      </c>
      <c r="E180" s="1215"/>
      <c r="F180" s="1215"/>
      <c r="G180" s="1789"/>
      <c r="H180" s="1212"/>
      <c r="I180" s="573">
        <f t="shared" si="42"/>
        <v>0</v>
      </c>
      <c r="J180" s="1217"/>
      <c r="K180" s="1217"/>
      <c r="L180" s="1217"/>
      <c r="M180" s="1217"/>
      <c r="N180" s="1340">
        <v>0</v>
      </c>
    </row>
    <row r="181" spans="1:16" s="1213" customFormat="1" ht="18" customHeight="1" x14ac:dyDescent="0.3">
      <c r="A181" s="590">
        <v>172</v>
      </c>
      <c r="B181" s="1230"/>
      <c r="C181" s="1209"/>
      <c r="D181" s="1338" t="s">
        <v>986</v>
      </c>
      <c r="E181" s="1215"/>
      <c r="F181" s="1215"/>
      <c r="G181" s="1789"/>
      <c r="H181" s="1212"/>
      <c r="I181" s="1341">
        <f t="shared" si="42"/>
        <v>0</v>
      </c>
      <c r="J181" s="1339"/>
      <c r="K181" s="1339"/>
      <c r="L181" s="1339"/>
      <c r="M181" s="1339"/>
      <c r="N181" s="629"/>
    </row>
    <row r="182" spans="1:16" s="1213" customFormat="1" ht="18" customHeight="1" x14ac:dyDescent="0.3">
      <c r="A182" s="590">
        <v>173</v>
      </c>
      <c r="B182" s="1230"/>
      <c r="C182" s="1209"/>
      <c r="D182" s="583" t="s">
        <v>1151</v>
      </c>
      <c r="E182" s="1215"/>
      <c r="F182" s="1215"/>
      <c r="G182" s="1789"/>
      <c r="H182" s="1212"/>
      <c r="I182" s="573">
        <f t="shared" si="42"/>
        <v>0</v>
      </c>
      <c r="J182" s="1339"/>
      <c r="K182" s="1339"/>
      <c r="L182" s="1339"/>
      <c r="M182" s="1339"/>
      <c r="N182" s="1340">
        <f>SUM(N180:N181)</f>
        <v>0</v>
      </c>
    </row>
    <row r="183" spans="1:16" s="184" customFormat="1" ht="22.5" customHeight="1" x14ac:dyDescent="0.3">
      <c r="A183" s="590">
        <v>174</v>
      </c>
      <c r="B183" s="183"/>
      <c r="C183" s="162">
        <v>32</v>
      </c>
      <c r="D183" s="584" t="s">
        <v>273</v>
      </c>
      <c r="E183" s="196">
        <v>45000</v>
      </c>
      <c r="F183" s="196">
        <v>45000</v>
      </c>
      <c r="G183" s="1783">
        <v>45000</v>
      </c>
      <c r="H183" s="605" t="s">
        <v>24</v>
      </c>
      <c r="I183" s="1203"/>
      <c r="J183" s="195"/>
      <c r="K183" s="195"/>
      <c r="L183" s="195"/>
      <c r="M183" s="195"/>
      <c r="N183" s="201"/>
      <c r="O183" s="157"/>
      <c r="P183" s="8"/>
    </row>
    <row r="184" spans="1:16" s="3" customFormat="1" ht="22.5" customHeight="1" x14ac:dyDescent="0.3">
      <c r="A184" s="590">
        <v>175</v>
      </c>
      <c r="B184" s="161"/>
      <c r="C184" s="162">
        <v>33</v>
      </c>
      <c r="D184" s="584" t="s">
        <v>282</v>
      </c>
      <c r="E184" s="164"/>
      <c r="F184" s="164"/>
      <c r="G184" s="1784"/>
      <c r="H184" s="605" t="s">
        <v>24</v>
      </c>
      <c r="I184" s="573"/>
      <c r="J184" s="168"/>
      <c r="K184" s="168"/>
      <c r="L184" s="168"/>
      <c r="M184" s="168"/>
      <c r="N184" s="169"/>
      <c r="P184" s="8"/>
    </row>
    <row r="185" spans="1:16" s="1213" customFormat="1" ht="18" customHeight="1" x14ac:dyDescent="0.3">
      <c r="A185" s="590">
        <v>176</v>
      </c>
      <c r="B185" s="1208"/>
      <c r="C185" s="1209"/>
      <c r="D185" s="1210" t="s">
        <v>311</v>
      </c>
      <c r="E185" s="1211"/>
      <c r="F185" s="1211"/>
      <c r="G185" s="1786"/>
      <c r="H185" s="1212"/>
      <c r="I185" s="1203">
        <f t="shared" si="42"/>
        <v>2500</v>
      </c>
      <c r="J185" s="1204"/>
      <c r="K185" s="1204"/>
      <c r="L185" s="1204"/>
      <c r="M185" s="1204"/>
      <c r="N185" s="1205">
        <v>2500</v>
      </c>
    </row>
    <row r="186" spans="1:16" s="1213" customFormat="1" ht="18" customHeight="1" x14ac:dyDescent="0.3">
      <c r="A186" s="590">
        <v>177</v>
      </c>
      <c r="B186" s="1208"/>
      <c r="C186" s="1209"/>
      <c r="D186" s="583" t="s">
        <v>1072</v>
      </c>
      <c r="E186" s="1211"/>
      <c r="F186" s="1211"/>
      <c r="G186" s="1786"/>
      <c r="H186" s="1212"/>
      <c r="I186" s="573">
        <f t="shared" si="42"/>
        <v>2500</v>
      </c>
      <c r="J186" s="1204"/>
      <c r="K186" s="1204"/>
      <c r="L186" s="1204"/>
      <c r="M186" s="1204"/>
      <c r="N186" s="441">
        <v>2500</v>
      </c>
    </row>
    <row r="187" spans="1:16" s="1213" customFormat="1" ht="18" customHeight="1" x14ac:dyDescent="0.3">
      <c r="A187" s="590">
        <v>178</v>
      </c>
      <c r="B187" s="1208"/>
      <c r="C187" s="1209"/>
      <c r="D187" s="1338" t="s">
        <v>963</v>
      </c>
      <c r="E187" s="1211"/>
      <c r="F187" s="1211"/>
      <c r="G187" s="1786"/>
      <c r="H187" s="1212"/>
      <c r="I187" s="1341">
        <f t="shared" si="42"/>
        <v>0</v>
      </c>
      <c r="J187" s="185"/>
      <c r="K187" s="185"/>
      <c r="L187" s="185"/>
      <c r="M187" s="185"/>
      <c r="N187" s="186"/>
    </row>
    <row r="188" spans="1:16" s="1213" customFormat="1" ht="18" customHeight="1" x14ac:dyDescent="0.3">
      <c r="A188" s="590">
        <v>179</v>
      </c>
      <c r="B188" s="1208"/>
      <c r="C188" s="1209"/>
      <c r="D188" s="583" t="s">
        <v>1151</v>
      </c>
      <c r="E188" s="1211"/>
      <c r="F188" s="1211"/>
      <c r="G188" s="1786"/>
      <c r="H188" s="1212"/>
      <c r="I188" s="573">
        <f t="shared" si="42"/>
        <v>2500</v>
      </c>
      <c r="J188" s="445"/>
      <c r="K188" s="445"/>
      <c r="L188" s="445"/>
      <c r="M188" s="445"/>
      <c r="N188" s="441">
        <f>SUM(N186:N187)</f>
        <v>2500</v>
      </c>
    </row>
    <row r="189" spans="1:16" s="3" customFormat="1" ht="22.5" customHeight="1" x14ac:dyDescent="0.3">
      <c r="A189" s="590">
        <v>180</v>
      </c>
      <c r="B189" s="161"/>
      <c r="C189" s="162">
        <v>34</v>
      </c>
      <c r="D189" s="584" t="s">
        <v>66</v>
      </c>
      <c r="E189" s="164">
        <v>316697</v>
      </c>
      <c r="F189" s="164">
        <v>375300</v>
      </c>
      <c r="G189" s="1784">
        <v>378297</v>
      </c>
      <c r="H189" s="605" t="s">
        <v>24</v>
      </c>
      <c r="I189" s="573"/>
      <c r="J189" s="168"/>
      <c r="K189" s="168"/>
      <c r="L189" s="168"/>
      <c r="M189" s="168"/>
      <c r="N189" s="169"/>
      <c r="P189" s="8"/>
    </row>
    <row r="190" spans="1:16" s="1213" customFormat="1" ht="18" customHeight="1" x14ac:dyDescent="0.3">
      <c r="A190" s="590">
        <v>181</v>
      </c>
      <c r="B190" s="1208"/>
      <c r="C190" s="1209"/>
      <c r="D190" s="1210" t="s">
        <v>311</v>
      </c>
      <c r="E190" s="1211"/>
      <c r="F190" s="1211"/>
      <c r="G190" s="1786"/>
      <c r="H190" s="1212"/>
      <c r="I190" s="1203">
        <f>SUM(J190:N190)</f>
        <v>392700</v>
      </c>
      <c r="J190" s="1204"/>
      <c r="K190" s="1204"/>
      <c r="L190" s="1204">
        <v>140000</v>
      </c>
      <c r="M190" s="1204"/>
      <c r="N190" s="1205">
        <f>392700-140000</f>
        <v>252700</v>
      </c>
    </row>
    <row r="191" spans="1:16" s="1213" customFormat="1" ht="18" customHeight="1" x14ac:dyDescent="0.3">
      <c r="A191" s="590">
        <v>182</v>
      </c>
      <c r="B191" s="1208"/>
      <c r="C191" s="1209"/>
      <c r="D191" s="583" t="s">
        <v>1072</v>
      </c>
      <c r="E191" s="1211"/>
      <c r="F191" s="1211"/>
      <c r="G191" s="1786"/>
      <c r="H191" s="1212"/>
      <c r="I191" s="573">
        <f>SUM(J191:N191)</f>
        <v>185276</v>
      </c>
      <c r="J191" s="1204"/>
      <c r="K191" s="1204"/>
      <c r="L191" s="445">
        <f>71576-1076</f>
        <v>70500</v>
      </c>
      <c r="M191" s="445"/>
      <c r="N191" s="441">
        <f>113700+1076</f>
        <v>114776</v>
      </c>
    </row>
    <row r="192" spans="1:16" s="1213" customFormat="1" ht="18" customHeight="1" x14ac:dyDescent="0.3">
      <c r="A192" s="590">
        <v>183</v>
      </c>
      <c r="B192" s="1208"/>
      <c r="C192" s="1209"/>
      <c r="D192" s="1338" t="s">
        <v>986</v>
      </c>
      <c r="E192" s="1211"/>
      <c r="F192" s="1211"/>
      <c r="G192" s="1786"/>
      <c r="H192" s="1212"/>
      <c r="I192" s="1341">
        <f t="shared" ref="I192" si="43">SUM(J192:N192)</f>
        <v>0</v>
      </c>
      <c r="J192" s="185"/>
      <c r="K192" s="185"/>
      <c r="L192" s="185"/>
      <c r="M192" s="185"/>
      <c r="N192" s="186"/>
    </row>
    <row r="193" spans="1:16" s="1213" customFormat="1" ht="18" customHeight="1" x14ac:dyDescent="0.3">
      <c r="A193" s="590">
        <v>184</v>
      </c>
      <c r="B193" s="1208"/>
      <c r="C193" s="1209"/>
      <c r="D193" s="583" t="s">
        <v>1151</v>
      </c>
      <c r="E193" s="1211"/>
      <c r="F193" s="1211"/>
      <c r="G193" s="1786"/>
      <c r="H193" s="1212"/>
      <c r="I193" s="573">
        <f>SUM(J193:N193)</f>
        <v>185276</v>
      </c>
      <c r="J193" s="445"/>
      <c r="K193" s="445"/>
      <c r="L193" s="445">
        <f>SUM(L191:L192)</f>
        <v>70500</v>
      </c>
      <c r="M193" s="445"/>
      <c r="N193" s="441">
        <f>SUM(N191:N192)</f>
        <v>114776</v>
      </c>
    </row>
    <row r="194" spans="1:16" s="3" customFormat="1" ht="22.5" customHeight="1" x14ac:dyDescent="0.3">
      <c r="A194" s="590">
        <v>185</v>
      </c>
      <c r="B194" s="161"/>
      <c r="C194" s="162">
        <v>35</v>
      </c>
      <c r="D194" s="584" t="s">
        <v>67</v>
      </c>
      <c r="E194" s="164">
        <v>2000</v>
      </c>
      <c r="F194" s="164">
        <v>2600</v>
      </c>
      <c r="G194" s="1784">
        <v>2600</v>
      </c>
      <c r="H194" s="605" t="s">
        <v>23</v>
      </c>
      <c r="I194" s="573"/>
      <c r="J194" s="168"/>
      <c r="K194" s="168"/>
      <c r="L194" s="168"/>
      <c r="M194" s="168"/>
      <c r="N194" s="169"/>
      <c r="P194" s="8"/>
    </row>
    <row r="195" spans="1:16" s="1213" customFormat="1" ht="18" customHeight="1" x14ac:dyDescent="0.3">
      <c r="A195" s="590">
        <v>186</v>
      </c>
      <c r="B195" s="1208"/>
      <c r="C195" s="1209"/>
      <c r="D195" s="1210" t="s">
        <v>311</v>
      </c>
      <c r="E195" s="1211"/>
      <c r="F195" s="1211"/>
      <c r="G195" s="1786"/>
      <c r="H195" s="1212"/>
      <c r="I195" s="1203">
        <f>SUM(J195:N195)</f>
        <v>2210</v>
      </c>
      <c r="J195" s="1204"/>
      <c r="K195" s="1204"/>
      <c r="L195" s="1204">
        <v>2210</v>
      </c>
      <c r="M195" s="1204"/>
      <c r="N195" s="1205"/>
    </row>
    <row r="196" spans="1:16" s="1213" customFormat="1" ht="18" customHeight="1" x14ac:dyDescent="0.3">
      <c r="A196" s="590">
        <v>187</v>
      </c>
      <c r="B196" s="1208"/>
      <c r="C196" s="1209"/>
      <c r="D196" s="583" t="s">
        <v>1072</v>
      </c>
      <c r="E196" s="1211"/>
      <c r="F196" s="1211"/>
      <c r="G196" s="1786"/>
      <c r="H196" s="1212"/>
      <c r="I196" s="573">
        <f t="shared" ref="I196:I198" si="44">SUM(J196:N196)</f>
        <v>2210</v>
      </c>
      <c r="J196" s="1204"/>
      <c r="K196" s="1204"/>
      <c r="L196" s="445">
        <v>2210</v>
      </c>
      <c r="M196" s="1204"/>
      <c r="N196" s="1205"/>
    </row>
    <row r="197" spans="1:16" s="1213" customFormat="1" ht="18" customHeight="1" x14ac:dyDescent="0.3">
      <c r="A197" s="590">
        <v>188</v>
      </c>
      <c r="B197" s="1208"/>
      <c r="C197" s="1209"/>
      <c r="D197" s="1338" t="s">
        <v>963</v>
      </c>
      <c r="E197" s="1211"/>
      <c r="F197" s="1211"/>
      <c r="G197" s="1786"/>
      <c r="H197" s="1212"/>
      <c r="I197" s="573">
        <f t="shared" si="44"/>
        <v>0</v>
      </c>
      <c r="J197" s="445"/>
      <c r="K197" s="445"/>
      <c r="L197" s="445"/>
      <c r="M197" s="445"/>
      <c r="N197" s="441"/>
    </row>
    <row r="198" spans="1:16" s="1213" customFormat="1" ht="18" customHeight="1" x14ac:dyDescent="0.3">
      <c r="A198" s="590">
        <v>189</v>
      </c>
      <c r="B198" s="1208"/>
      <c r="C198" s="1209"/>
      <c r="D198" s="583" t="s">
        <v>1151</v>
      </c>
      <c r="E198" s="1211"/>
      <c r="F198" s="1211"/>
      <c r="G198" s="1786"/>
      <c r="H198" s="1212"/>
      <c r="I198" s="573">
        <f t="shared" si="44"/>
        <v>2210</v>
      </c>
      <c r="J198" s="445"/>
      <c r="K198" s="445"/>
      <c r="L198" s="445">
        <f>SUM(L196:L197)</f>
        <v>2210</v>
      </c>
      <c r="M198" s="445"/>
      <c r="N198" s="441"/>
    </row>
    <row r="199" spans="1:16" s="3" customFormat="1" ht="22.5" customHeight="1" x14ac:dyDescent="0.3">
      <c r="A199" s="590">
        <v>190</v>
      </c>
      <c r="B199" s="161"/>
      <c r="C199" s="162">
        <v>36</v>
      </c>
      <c r="D199" s="584" t="s">
        <v>68</v>
      </c>
      <c r="E199" s="164">
        <v>9486</v>
      </c>
      <c r="F199" s="164">
        <v>9000</v>
      </c>
      <c r="G199" s="1784">
        <v>7884</v>
      </c>
      <c r="H199" s="605" t="s">
        <v>23</v>
      </c>
      <c r="I199" s="573"/>
      <c r="J199" s="168"/>
      <c r="K199" s="168"/>
      <c r="L199" s="168"/>
      <c r="M199" s="168"/>
      <c r="N199" s="169"/>
      <c r="P199" s="8"/>
    </row>
    <row r="200" spans="1:16" s="1213" customFormat="1" ht="18" customHeight="1" x14ac:dyDescent="0.3">
      <c r="A200" s="590">
        <v>191</v>
      </c>
      <c r="B200" s="1208"/>
      <c r="C200" s="1209"/>
      <c r="D200" s="1210" t="s">
        <v>311</v>
      </c>
      <c r="E200" s="1211"/>
      <c r="F200" s="1211"/>
      <c r="G200" s="1786"/>
      <c r="H200" s="1212"/>
      <c r="I200" s="1203">
        <f>SUM(J200:N200)</f>
        <v>7650</v>
      </c>
      <c r="J200" s="1204"/>
      <c r="K200" s="1204"/>
      <c r="L200" s="1204">
        <v>7650</v>
      </c>
      <c r="M200" s="1204"/>
      <c r="N200" s="1205"/>
    </row>
    <row r="201" spans="1:16" s="1213" customFormat="1" ht="18" customHeight="1" x14ac:dyDescent="0.3">
      <c r="A201" s="590">
        <v>192</v>
      </c>
      <c r="B201" s="1208"/>
      <c r="C201" s="1209"/>
      <c r="D201" s="583" t="s">
        <v>1072</v>
      </c>
      <c r="E201" s="1211"/>
      <c r="F201" s="1211"/>
      <c r="G201" s="1786"/>
      <c r="H201" s="1212"/>
      <c r="I201" s="573">
        <f t="shared" ref="I201:I203" si="45">SUM(J201:N201)</f>
        <v>7650</v>
      </c>
      <c r="J201" s="1204"/>
      <c r="K201" s="1204"/>
      <c r="L201" s="445">
        <v>7650</v>
      </c>
      <c r="M201" s="445"/>
      <c r="N201" s="441"/>
    </row>
    <row r="202" spans="1:16" s="1213" customFormat="1" ht="18" customHeight="1" x14ac:dyDescent="0.3">
      <c r="A202" s="590">
        <v>193</v>
      </c>
      <c r="B202" s="1208"/>
      <c r="C202" s="1209"/>
      <c r="D202" s="1338" t="s">
        <v>986</v>
      </c>
      <c r="E202" s="1211"/>
      <c r="F202" s="1211"/>
      <c r="G202" s="1786"/>
      <c r="H202" s="1212"/>
      <c r="I202" s="573">
        <f t="shared" si="45"/>
        <v>0</v>
      </c>
      <c r="J202" s="445"/>
      <c r="K202" s="445"/>
      <c r="L202" s="185"/>
      <c r="M202" s="185"/>
      <c r="N202" s="186"/>
    </row>
    <row r="203" spans="1:16" s="1213" customFormat="1" ht="18" customHeight="1" x14ac:dyDescent="0.3">
      <c r="A203" s="590">
        <v>194</v>
      </c>
      <c r="B203" s="1208"/>
      <c r="C203" s="1209"/>
      <c r="D203" s="583" t="s">
        <v>1151</v>
      </c>
      <c r="E203" s="1211"/>
      <c r="F203" s="1211"/>
      <c r="G203" s="1786"/>
      <c r="H203" s="1212"/>
      <c r="I203" s="573">
        <f t="shared" si="45"/>
        <v>7650</v>
      </c>
      <c r="J203" s="445"/>
      <c r="K203" s="445"/>
      <c r="L203" s="445">
        <f>SUM(L201:L202)</f>
        <v>7650</v>
      </c>
      <c r="M203" s="445"/>
      <c r="N203" s="441"/>
    </row>
    <row r="204" spans="1:16" s="8" customFormat="1" ht="22.5" customHeight="1" x14ac:dyDescent="0.3">
      <c r="A204" s="590">
        <v>195</v>
      </c>
      <c r="B204" s="165"/>
      <c r="C204" s="162">
        <v>37</v>
      </c>
      <c r="D204" s="583" t="s">
        <v>440</v>
      </c>
      <c r="E204" s="164">
        <v>41004</v>
      </c>
      <c r="F204" s="164">
        <v>52450</v>
      </c>
      <c r="G204" s="1784">
        <v>43834</v>
      </c>
      <c r="H204" s="605" t="s">
        <v>23</v>
      </c>
      <c r="I204" s="573"/>
      <c r="J204" s="168"/>
      <c r="K204" s="168"/>
      <c r="L204" s="168"/>
      <c r="M204" s="168"/>
      <c r="N204" s="169"/>
    </row>
    <row r="205" spans="1:16" s="1213" customFormat="1" ht="18" customHeight="1" x14ac:dyDescent="0.3">
      <c r="A205" s="590">
        <v>196</v>
      </c>
      <c r="B205" s="1208"/>
      <c r="C205" s="1209"/>
      <c r="D205" s="1210" t="s">
        <v>311</v>
      </c>
      <c r="E205" s="1211"/>
      <c r="F205" s="1211"/>
      <c r="G205" s="1786"/>
      <c r="H205" s="1212"/>
      <c r="I205" s="1203">
        <f>SUM(J205:N205)</f>
        <v>46997</v>
      </c>
      <c r="J205" s="1204"/>
      <c r="K205" s="1204"/>
      <c r="L205" s="1204">
        <v>46997</v>
      </c>
      <c r="M205" s="1204"/>
      <c r="N205" s="1205"/>
    </row>
    <row r="206" spans="1:16" s="1213" customFormat="1" ht="18" customHeight="1" x14ac:dyDescent="0.3">
      <c r="A206" s="590">
        <v>197</v>
      </c>
      <c r="B206" s="1208"/>
      <c r="C206" s="1209"/>
      <c r="D206" s="583" t="s">
        <v>1072</v>
      </c>
      <c r="E206" s="1211"/>
      <c r="F206" s="1211"/>
      <c r="G206" s="1786"/>
      <c r="H206" s="1212"/>
      <c r="I206" s="573">
        <f t="shared" ref="I206:I208" si="46">SUM(J206:N206)</f>
        <v>56997</v>
      </c>
      <c r="J206" s="1204"/>
      <c r="K206" s="1204"/>
      <c r="L206" s="445">
        <v>56997</v>
      </c>
      <c r="M206" s="1204"/>
      <c r="N206" s="1205"/>
    </row>
    <row r="207" spans="1:16" s="1213" customFormat="1" ht="18" customHeight="1" x14ac:dyDescent="0.3">
      <c r="A207" s="590">
        <v>198</v>
      </c>
      <c r="B207" s="1208"/>
      <c r="C207" s="1209"/>
      <c r="D207" s="1338" t="s">
        <v>986</v>
      </c>
      <c r="E207" s="1211"/>
      <c r="F207" s="1211"/>
      <c r="G207" s="1786"/>
      <c r="H207" s="1212"/>
      <c r="I207" s="1341">
        <f t="shared" si="46"/>
        <v>0</v>
      </c>
      <c r="J207" s="185"/>
      <c r="K207" s="185"/>
      <c r="L207" s="185"/>
      <c r="M207" s="185"/>
      <c r="N207" s="186"/>
    </row>
    <row r="208" spans="1:16" s="1213" customFormat="1" ht="18" customHeight="1" x14ac:dyDescent="0.3">
      <c r="A208" s="590">
        <v>199</v>
      </c>
      <c r="B208" s="1208"/>
      <c r="C208" s="1209"/>
      <c r="D208" s="583" t="s">
        <v>1151</v>
      </c>
      <c r="E208" s="1211"/>
      <c r="F208" s="1211"/>
      <c r="G208" s="1786"/>
      <c r="H208" s="1212"/>
      <c r="I208" s="573">
        <f t="shared" si="46"/>
        <v>56997</v>
      </c>
      <c r="J208" s="445"/>
      <c r="K208" s="445"/>
      <c r="L208" s="445">
        <f>SUM(L206:L207)</f>
        <v>56997</v>
      </c>
      <c r="M208" s="445"/>
      <c r="N208" s="441"/>
    </row>
    <row r="209" spans="1:16" s="3" customFormat="1" ht="22.5" customHeight="1" x14ac:dyDescent="0.3">
      <c r="A209" s="590">
        <v>200</v>
      </c>
      <c r="B209" s="161"/>
      <c r="C209" s="162">
        <v>38</v>
      </c>
      <c r="D209" s="584" t="s">
        <v>69</v>
      </c>
      <c r="E209" s="164">
        <v>4781</v>
      </c>
      <c r="F209" s="164">
        <v>2500</v>
      </c>
      <c r="G209" s="1784">
        <v>2920</v>
      </c>
      <c r="H209" s="605" t="s">
        <v>23</v>
      </c>
      <c r="I209" s="576"/>
      <c r="J209" s="175"/>
      <c r="K209" s="175"/>
      <c r="L209" s="175"/>
      <c r="M209" s="175"/>
      <c r="N209" s="176"/>
      <c r="O209" s="8"/>
      <c r="P209" s="8"/>
    </row>
    <row r="210" spans="1:16" s="1213" customFormat="1" ht="18" customHeight="1" x14ac:dyDescent="0.3">
      <c r="A210" s="590">
        <v>201</v>
      </c>
      <c r="B210" s="1208"/>
      <c r="C210" s="1209"/>
      <c r="D210" s="1210" t="s">
        <v>311</v>
      </c>
      <c r="E210" s="1211"/>
      <c r="F210" s="1211"/>
      <c r="G210" s="1786"/>
      <c r="H210" s="1212"/>
      <c r="I210" s="1203">
        <f>SUM(J210:N210)</f>
        <v>2125</v>
      </c>
      <c r="J210" s="1204"/>
      <c r="K210" s="1204"/>
      <c r="L210" s="1204">
        <v>2125</v>
      </c>
      <c r="M210" s="1204"/>
      <c r="N210" s="1205"/>
    </row>
    <row r="211" spans="1:16" s="1213" customFormat="1" ht="18" customHeight="1" x14ac:dyDescent="0.3">
      <c r="A211" s="590">
        <v>202</v>
      </c>
      <c r="B211" s="1208"/>
      <c r="C211" s="1209"/>
      <c r="D211" s="583" t="s">
        <v>1072</v>
      </c>
      <c r="E211" s="1211"/>
      <c r="F211" s="1211"/>
      <c r="G211" s="1786"/>
      <c r="H211" s="1212"/>
      <c r="I211" s="573">
        <f t="shared" ref="I211:I213" si="47">SUM(J211:N211)</f>
        <v>2125</v>
      </c>
      <c r="J211" s="1204"/>
      <c r="K211" s="1204"/>
      <c r="L211" s="445">
        <v>2125</v>
      </c>
      <c r="M211" s="1204"/>
      <c r="N211" s="1205"/>
    </row>
    <row r="212" spans="1:16" s="1213" customFormat="1" ht="18" customHeight="1" x14ac:dyDescent="0.3">
      <c r="A212" s="590">
        <v>203</v>
      </c>
      <c r="B212" s="1208"/>
      <c r="C212" s="1209"/>
      <c r="D212" s="1338" t="s">
        <v>963</v>
      </c>
      <c r="E212" s="1211"/>
      <c r="F212" s="1211"/>
      <c r="G212" s="1786"/>
      <c r="H212" s="1212"/>
      <c r="I212" s="1341">
        <f t="shared" si="47"/>
        <v>0</v>
      </c>
      <c r="J212" s="185"/>
      <c r="K212" s="185"/>
      <c r="L212" s="185"/>
      <c r="M212" s="185"/>
      <c r="N212" s="186"/>
    </row>
    <row r="213" spans="1:16" s="1213" customFormat="1" ht="18" customHeight="1" x14ac:dyDescent="0.3">
      <c r="A213" s="590">
        <v>204</v>
      </c>
      <c r="B213" s="1208"/>
      <c r="C213" s="1209"/>
      <c r="D213" s="583" t="s">
        <v>1151</v>
      </c>
      <c r="E213" s="1211"/>
      <c r="F213" s="1211"/>
      <c r="G213" s="1786"/>
      <c r="H213" s="1212"/>
      <c r="I213" s="573">
        <f t="shared" si="47"/>
        <v>2125</v>
      </c>
      <c r="J213" s="445"/>
      <c r="K213" s="445"/>
      <c r="L213" s="445">
        <f>SUM(L211:L212)</f>
        <v>2125</v>
      </c>
      <c r="M213" s="445"/>
      <c r="N213" s="441"/>
    </row>
    <row r="214" spans="1:16" s="1821" customFormat="1" ht="22.5" customHeight="1" x14ac:dyDescent="0.35">
      <c r="A214" s="590">
        <v>205</v>
      </c>
      <c r="B214" s="585"/>
      <c r="C214" s="162">
        <v>39</v>
      </c>
      <c r="D214" s="584" t="s">
        <v>11</v>
      </c>
      <c r="E214" s="164">
        <v>37560</v>
      </c>
      <c r="F214" s="164">
        <v>38100</v>
      </c>
      <c r="G214" s="1784">
        <v>38100</v>
      </c>
      <c r="H214" s="605" t="s">
        <v>24</v>
      </c>
      <c r="I214" s="576"/>
      <c r="J214" s="175"/>
      <c r="K214" s="175"/>
      <c r="L214" s="175"/>
      <c r="M214" s="175"/>
      <c r="N214" s="176"/>
      <c r="O214" s="1822"/>
      <c r="P214" s="1822"/>
    </row>
    <row r="215" spans="1:16" s="1213" customFormat="1" ht="18" customHeight="1" x14ac:dyDescent="0.3">
      <c r="A215" s="590">
        <v>206</v>
      </c>
      <c r="B215" s="1208"/>
      <c r="C215" s="1209"/>
      <c r="D215" s="1210" t="s">
        <v>311</v>
      </c>
      <c r="E215" s="1211"/>
      <c r="F215" s="1211"/>
      <c r="G215" s="1786"/>
      <c r="H215" s="1212"/>
      <c r="I215" s="1203">
        <f>SUM(J215:N215)</f>
        <v>38100</v>
      </c>
      <c r="J215" s="1204"/>
      <c r="K215" s="1204"/>
      <c r="L215" s="1204">
        <v>38100</v>
      </c>
      <c r="M215" s="1204"/>
      <c r="N215" s="1205"/>
    </row>
    <row r="216" spans="1:16" s="1213" customFormat="1" ht="18" customHeight="1" x14ac:dyDescent="0.3">
      <c r="A216" s="590">
        <v>207</v>
      </c>
      <c r="B216" s="1208"/>
      <c r="C216" s="1209"/>
      <c r="D216" s="583" t="s">
        <v>1072</v>
      </c>
      <c r="E216" s="1211"/>
      <c r="F216" s="1211"/>
      <c r="G216" s="1786"/>
      <c r="H216" s="1212"/>
      <c r="I216" s="573">
        <f t="shared" ref="I216:I218" si="48">SUM(J216:N216)</f>
        <v>38100</v>
      </c>
      <c r="J216" s="1204"/>
      <c r="K216" s="1204"/>
      <c r="L216" s="445">
        <v>38100</v>
      </c>
      <c r="M216" s="1204"/>
      <c r="N216" s="1205"/>
    </row>
    <row r="217" spans="1:16" s="1213" customFormat="1" ht="18" customHeight="1" x14ac:dyDescent="0.3">
      <c r="A217" s="590">
        <v>208</v>
      </c>
      <c r="B217" s="1208"/>
      <c r="C217" s="1209"/>
      <c r="D217" s="1338" t="s">
        <v>963</v>
      </c>
      <c r="E217" s="1211"/>
      <c r="F217" s="1211"/>
      <c r="G217" s="1786"/>
      <c r="H217" s="1212"/>
      <c r="I217" s="1341">
        <f t="shared" si="48"/>
        <v>0</v>
      </c>
      <c r="J217" s="185"/>
      <c r="K217" s="185"/>
      <c r="L217" s="185"/>
      <c r="M217" s="185"/>
      <c r="N217" s="186"/>
    </row>
    <row r="218" spans="1:16" s="1213" customFormat="1" ht="18" customHeight="1" x14ac:dyDescent="0.3">
      <c r="A218" s="590">
        <v>209</v>
      </c>
      <c r="B218" s="1208"/>
      <c r="C218" s="1209"/>
      <c r="D218" s="583" t="s">
        <v>1151</v>
      </c>
      <c r="E218" s="1211"/>
      <c r="F218" s="1211"/>
      <c r="G218" s="1786"/>
      <c r="H218" s="1212"/>
      <c r="I218" s="573">
        <f t="shared" si="48"/>
        <v>38100</v>
      </c>
      <c r="J218" s="445"/>
      <c r="K218" s="445"/>
      <c r="L218" s="445">
        <f>SUM(L216:L217)</f>
        <v>38100</v>
      </c>
      <c r="M218" s="445"/>
      <c r="N218" s="441"/>
    </row>
    <row r="219" spans="1:16" s="1821" customFormat="1" ht="22.5" customHeight="1" x14ac:dyDescent="0.35">
      <c r="A219" s="590">
        <v>210</v>
      </c>
      <c r="B219" s="585"/>
      <c r="C219" s="162">
        <v>40</v>
      </c>
      <c r="D219" s="584" t="s">
        <v>70</v>
      </c>
      <c r="E219" s="164">
        <v>4582</v>
      </c>
      <c r="F219" s="164">
        <v>4000</v>
      </c>
      <c r="G219" s="1784">
        <v>4366</v>
      </c>
      <c r="H219" s="605" t="s">
        <v>24</v>
      </c>
      <c r="I219" s="576"/>
      <c r="J219" s="175"/>
      <c r="K219" s="175"/>
      <c r="L219" s="175"/>
      <c r="M219" s="175"/>
      <c r="N219" s="176"/>
      <c r="O219" s="1822"/>
      <c r="P219" s="1822"/>
    </row>
    <row r="220" spans="1:16" s="1213" customFormat="1" ht="18" customHeight="1" x14ac:dyDescent="0.3">
      <c r="A220" s="590">
        <v>211</v>
      </c>
      <c r="B220" s="1208"/>
      <c r="C220" s="1209"/>
      <c r="D220" s="1210" t="s">
        <v>311</v>
      </c>
      <c r="E220" s="1211"/>
      <c r="F220" s="1211"/>
      <c r="G220" s="1786"/>
      <c r="H220" s="1212"/>
      <c r="I220" s="1203">
        <f>SUM(J220:N220)</f>
        <v>4250</v>
      </c>
      <c r="J220" s="1204"/>
      <c r="K220" s="1204"/>
      <c r="L220" s="1204">
        <v>4250</v>
      </c>
      <c r="M220" s="1204"/>
      <c r="N220" s="1205"/>
    </row>
    <row r="221" spans="1:16" s="1213" customFormat="1" ht="18" customHeight="1" x14ac:dyDescent="0.3">
      <c r="A221" s="590">
        <v>212</v>
      </c>
      <c r="B221" s="1208"/>
      <c r="C221" s="1209"/>
      <c r="D221" s="583" t="s">
        <v>1072</v>
      </c>
      <c r="E221" s="1211"/>
      <c r="F221" s="1211"/>
      <c r="G221" s="1786"/>
      <c r="H221" s="1212"/>
      <c r="I221" s="573">
        <f t="shared" ref="I221:I223" si="49">SUM(J221:N221)</f>
        <v>4250</v>
      </c>
      <c r="J221" s="1204"/>
      <c r="K221" s="1204"/>
      <c r="L221" s="445">
        <v>4250</v>
      </c>
      <c r="M221" s="1204"/>
      <c r="N221" s="1205"/>
    </row>
    <row r="222" spans="1:16" s="1213" customFormat="1" ht="18" customHeight="1" x14ac:dyDescent="0.3">
      <c r="A222" s="590">
        <v>213</v>
      </c>
      <c r="B222" s="1208"/>
      <c r="C222" s="1209"/>
      <c r="D222" s="1338" t="s">
        <v>963</v>
      </c>
      <c r="E222" s="1211"/>
      <c r="F222" s="1211"/>
      <c r="G222" s="1786"/>
      <c r="H222" s="1212"/>
      <c r="I222" s="1341">
        <f t="shared" si="49"/>
        <v>0</v>
      </c>
      <c r="J222" s="185"/>
      <c r="K222" s="185"/>
      <c r="L222" s="185"/>
      <c r="M222" s="185"/>
      <c r="N222" s="186"/>
    </row>
    <row r="223" spans="1:16" s="1213" customFormat="1" ht="18" customHeight="1" x14ac:dyDescent="0.3">
      <c r="A223" s="590">
        <v>214</v>
      </c>
      <c r="B223" s="1208"/>
      <c r="C223" s="1209"/>
      <c r="D223" s="583" t="s">
        <v>1151</v>
      </c>
      <c r="E223" s="1211"/>
      <c r="F223" s="1211"/>
      <c r="G223" s="1786"/>
      <c r="H223" s="1212"/>
      <c r="I223" s="573">
        <f t="shared" si="49"/>
        <v>4250</v>
      </c>
      <c r="J223" s="445"/>
      <c r="K223" s="445"/>
      <c r="L223" s="445">
        <f>SUM(L221:L222)</f>
        <v>4250</v>
      </c>
      <c r="M223" s="445"/>
      <c r="N223" s="441"/>
    </row>
    <row r="224" spans="1:16" s="1821" customFormat="1" ht="22.5" customHeight="1" x14ac:dyDescent="0.35">
      <c r="A224" s="590">
        <v>215</v>
      </c>
      <c r="B224" s="585"/>
      <c r="C224" s="162">
        <v>41</v>
      </c>
      <c r="D224" s="584" t="s">
        <v>71</v>
      </c>
      <c r="E224" s="164">
        <f>SUM(E229,E234,E239,E244)</f>
        <v>6198</v>
      </c>
      <c r="F224" s="164">
        <f>SUM(F229,F234,F239,F244)</f>
        <v>6100</v>
      </c>
      <c r="G224" s="1784">
        <f>SUM(G229,G234,G239,G244)</f>
        <v>6240</v>
      </c>
      <c r="H224" s="605" t="s">
        <v>24</v>
      </c>
      <c r="I224" s="576"/>
      <c r="J224" s="175"/>
      <c r="K224" s="175"/>
      <c r="L224" s="175"/>
      <c r="M224" s="175"/>
      <c r="N224" s="176"/>
      <c r="O224" s="1822"/>
      <c r="P224" s="1822"/>
    </row>
    <row r="225" spans="1:16" s="1213" customFormat="1" ht="18" customHeight="1" x14ac:dyDescent="0.3">
      <c r="A225" s="590">
        <v>216</v>
      </c>
      <c r="B225" s="1208"/>
      <c r="C225" s="1209"/>
      <c r="D225" s="1210" t="s">
        <v>311</v>
      </c>
      <c r="E225" s="1211"/>
      <c r="F225" s="1211"/>
      <c r="G225" s="1786"/>
      <c r="H225" s="1212"/>
      <c r="I225" s="1203">
        <f>SUM(J225:N225)</f>
        <v>9435</v>
      </c>
      <c r="J225" s="1207">
        <f t="shared" ref="J225:N226" si="50">SUM(J230,J235,J240,J245)</f>
        <v>0</v>
      </c>
      <c r="K225" s="1207">
        <f t="shared" si="50"/>
        <v>0</v>
      </c>
      <c r="L225" s="1207">
        <f t="shared" si="50"/>
        <v>425</v>
      </c>
      <c r="M225" s="1207">
        <f t="shared" si="50"/>
        <v>0</v>
      </c>
      <c r="N225" s="1205">
        <f t="shared" si="50"/>
        <v>9010</v>
      </c>
    </row>
    <row r="226" spans="1:16" s="1213" customFormat="1" ht="18" customHeight="1" x14ac:dyDescent="0.3">
      <c r="A226" s="590">
        <v>217</v>
      </c>
      <c r="B226" s="1208"/>
      <c r="C226" s="1209"/>
      <c r="D226" s="583" t="s">
        <v>1072</v>
      </c>
      <c r="E226" s="1211"/>
      <c r="F226" s="1211"/>
      <c r="G226" s="1786"/>
      <c r="H226" s="1212"/>
      <c r="I226" s="573">
        <f t="shared" ref="I226:I228" si="51">SUM(J226:N226)</f>
        <v>0</v>
      </c>
      <c r="J226" s="1347">
        <f t="shared" si="50"/>
        <v>0</v>
      </c>
      <c r="K226" s="1347">
        <f t="shared" si="50"/>
        <v>0</v>
      </c>
      <c r="L226" s="1347">
        <f t="shared" si="50"/>
        <v>0</v>
      </c>
      <c r="M226" s="1347">
        <f t="shared" si="50"/>
        <v>0</v>
      </c>
      <c r="N226" s="441">
        <f t="shared" si="50"/>
        <v>0</v>
      </c>
    </row>
    <row r="227" spans="1:16" s="1213" customFormat="1" ht="18" customHeight="1" x14ac:dyDescent="0.3">
      <c r="A227" s="590">
        <v>218</v>
      </c>
      <c r="B227" s="1208"/>
      <c r="C227" s="1209"/>
      <c r="D227" s="1338" t="s">
        <v>963</v>
      </c>
      <c r="E227" s="1211"/>
      <c r="F227" s="1211"/>
      <c r="G227" s="1786"/>
      <c r="H227" s="1212"/>
      <c r="I227" s="1341">
        <f t="shared" si="51"/>
        <v>0</v>
      </c>
      <c r="J227" s="175">
        <f>J232+J237+J242+J247</f>
        <v>0</v>
      </c>
      <c r="K227" s="175">
        <f t="shared" ref="K227:N227" si="52">K232+K237+K242+K247</f>
        <v>0</v>
      </c>
      <c r="L227" s="175">
        <f t="shared" si="52"/>
        <v>0</v>
      </c>
      <c r="M227" s="175">
        <f t="shared" si="52"/>
        <v>0</v>
      </c>
      <c r="N227" s="176">
        <f t="shared" si="52"/>
        <v>0</v>
      </c>
    </row>
    <row r="228" spans="1:16" s="1213" customFormat="1" ht="18" customHeight="1" x14ac:dyDescent="0.3">
      <c r="A228" s="590">
        <v>219</v>
      </c>
      <c r="B228" s="1208"/>
      <c r="C228" s="1209"/>
      <c r="D228" s="583" t="s">
        <v>1151</v>
      </c>
      <c r="E228" s="1211"/>
      <c r="F228" s="1211"/>
      <c r="G228" s="1786"/>
      <c r="H228" s="1212"/>
      <c r="I228" s="573">
        <f t="shared" si="51"/>
        <v>0</v>
      </c>
      <c r="J228" s="1347">
        <f t="shared" ref="J228:K228" si="53">SUM(J225:J227)</f>
        <v>0</v>
      </c>
      <c r="K228" s="1347">
        <f t="shared" si="53"/>
        <v>0</v>
      </c>
      <c r="L228" s="1347">
        <f>SUM(L226:L227)</f>
        <v>0</v>
      </c>
      <c r="M228" s="1347">
        <f>SUM(M226:M227)</f>
        <v>0</v>
      </c>
      <c r="N228" s="1796">
        <f>SUM(N226:N227)</f>
        <v>0</v>
      </c>
    </row>
    <row r="229" spans="1:16" s="622" customFormat="1" ht="18" customHeight="1" x14ac:dyDescent="0.3">
      <c r="A229" s="590">
        <v>220</v>
      </c>
      <c r="B229" s="173"/>
      <c r="C229" s="166"/>
      <c r="D229" s="442" t="s">
        <v>72</v>
      </c>
      <c r="E229" s="164"/>
      <c r="F229" s="174"/>
      <c r="G229" s="1787"/>
      <c r="H229" s="606"/>
      <c r="I229" s="575"/>
      <c r="J229" s="175"/>
      <c r="K229" s="175"/>
      <c r="L229" s="175"/>
      <c r="M229" s="175"/>
      <c r="N229" s="186"/>
      <c r="P229" s="623"/>
    </row>
    <row r="230" spans="1:16" s="1231" customFormat="1" ht="18" customHeight="1" x14ac:dyDescent="0.3">
      <c r="A230" s="590">
        <v>221</v>
      </c>
      <c r="B230" s="1220"/>
      <c r="C230" s="1209"/>
      <c r="D230" s="1229" t="s">
        <v>311</v>
      </c>
      <c r="E230" s="1211"/>
      <c r="F230" s="1222"/>
      <c r="G230" s="1790"/>
      <c r="H230" s="1223"/>
      <c r="I230" s="1206">
        <f>SUM(J230:N230)</f>
        <v>4250</v>
      </c>
      <c r="J230" s="1224"/>
      <c r="K230" s="1224"/>
      <c r="L230" s="1224"/>
      <c r="M230" s="1224"/>
      <c r="N230" s="1225">
        <v>4250</v>
      </c>
      <c r="P230" s="1232"/>
    </row>
    <row r="231" spans="1:16" s="1231" customFormat="1" ht="18" customHeight="1" x14ac:dyDescent="0.3">
      <c r="A231" s="590">
        <v>222</v>
      </c>
      <c r="B231" s="1220"/>
      <c r="C231" s="1209"/>
      <c r="D231" s="1344" t="s">
        <v>1072</v>
      </c>
      <c r="E231" s="1211"/>
      <c r="F231" s="1222"/>
      <c r="G231" s="1790"/>
      <c r="H231" s="1223"/>
      <c r="I231" s="575">
        <f t="shared" ref="I231:I233" si="54">SUM(J231:N231)</f>
        <v>0</v>
      </c>
      <c r="J231" s="1224"/>
      <c r="K231" s="1224"/>
      <c r="L231" s="1224"/>
      <c r="M231" s="1224"/>
      <c r="N231" s="1343">
        <v>0</v>
      </c>
      <c r="P231" s="1232"/>
    </row>
    <row r="232" spans="1:16" s="1231" customFormat="1" ht="18" customHeight="1" x14ac:dyDescent="0.3">
      <c r="A232" s="590">
        <v>223</v>
      </c>
      <c r="B232" s="1220"/>
      <c r="C232" s="1209"/>
      <c r="D232" s="1345" t="s">
        <v>987</v>
      </c>
      <c r="E232" s="1211"/>
      <c r="F232" s="1222"/>
      <c r="G232" s="1790"/>
      <c r="H232" s="1223"/>
      <c r="I232" s="1341">
        <f t="shared" si="54"/>
        <v>0</v>
      </c>
      <c r="J232" s="185"/>
      <c r="K232" s="185"/>
      <c r="L232" s="185"/>
      <c r="M232" s="185"/>
      <c r="N232" s="186"/>
      <c r="P232" s="1232"/>
    </row>
    <row r="233" spans="1:16" s="1231" customFormat="1" ht="18" customHeight="1" x14ac:dyDescent="0.3">
      <c r="A233" s="590">
        <v>224</v>
      </c>
      <c r="B233" s="1220"/>
      <c r="C233" s="1209"/>
      <c r="D233" s="1344" t="s">
        <v>1151</v>
      </c>
      <c r="E233" s="1211"/>
      <c r="F233" s="1222"/>
      <c r="G233" s="1790"/>
      <c r="H233" s="1223"/>
      <c r="I233" s="575">
        <f t="shared" si="54"/>
        <v>0</v>
      </c>
      <c r="J233" s="1342"/>
      <c r="K233" s="1342"/>
      <c r="L233" s="1342"/>
      <c r="M233" s="1342"/>
      <c r="N233" s="1343">
        <f>SUM(N231:N232)</f>
        <v>0</v>
      </c>
      <c r="P233" s="1232"/>
    </row>
    <row r="234" spans="1:16" s="622" customFormat="1" ht="18" customHeight="1" x14ac:dyDescent="0.3">
      <c r="A234" s="590">
        <v>225</v>
      </c>
      <c r="B234" s="173"/>
      <c r="C234" s="166"/>
      <c r="D234" s="442" t="s">
        <v>73</v>
      </c>
      <c r="E234" s="174">
        <v>5098</v>
      </c>
      <c r="F234" s="174">
        <v>5000</v>
      </c>
      <c r="G234" s="1787">
        <v>5140</v>
      </c>
      <c r="H234" s="606"/>
      <c r="I234" s="576"/>
      <c r="J234" s="175"/>
      <c r="K234" s="175"/>
      <c r="L234" s="175"/>
      <c r="M234" s="175"/>
      <c r="N234" s="176"/>
      <c r="P234" s="623"/>
    </row>
    <row r="235" spans="1:16" s="1231" customFormat="1" ht="18" customHeight="1" x14ac:dyDescent="0.3">
      <c r="A235" s="590">
        <v>226</v>
      </c>
      <c r="B235" s="1220"/>
      <c r="C235" s="1209"/>
      <c r="D235" s="1229" t="s">
        <v>311</v>
      </c>
      <c r="E235" s="1222"/>
      <c r="F235" s="1222"/>
      <c r="G235" s="1790"/>
      <c r="H235" s="1223"/>
      <c r="I235" s="1206">
        <f>SUM(J235:N235)</f>
        <v>4250</v>
      </c>
      <c r="J235" s="1224"/>
      <c r="K235" s="1224"/>
      <c r="L235" s="1224"/>
      <c r="M235" s="1224"/>
      <c r="N235" s="1225">
        <v>4250</v>
      </c>
      <c r="P235" s="1232"/>
    </row>
    <row r="236" spans="1:16" s="1231" customFormat="1" ht="18" customHeight="1" x14ac:dyDescent="0.3">
      <c r="A236" s="590">
        <v>227</v>
      </c>
      <c r="B236" s="1220"/>
      <c r="C236" s="1209"/>
      <c r="D236" s="1344" t="s">
        <v>1072</v>
      </c>
      <c r="E236" s="1222"/>
      <c r="F236" s="1222"/>
      <c r="G236" s="1790"/>
      <c r="H236" s="1223"/>
      <c r="I236" s="575">
        <f t="shared" ref="I236:I238" si="55">SUM(J236:N236)</f>
        <v>0</v>
      </c>
      <c r="J236" s="1224"/>
      <c r="K236" s="1224"/>
      <c r="L236" s="1224"/>
      <c r="M236" s="1224"/>
      <c r="N236" s="1343">
        <v>0</v>
      </c>
      <c r="P236" s="1232"/>
    </row>
    <row r="237" spans="1:16" s="1231" customFormat="1" ht="18" customHeight="1" x14ac:dyDescent="0.3">
      <c r="A237" s="590">
        <v>228</v>
      </c>
      <c r="B237" s="1220"/>
      <c r="C237" s="1209"/>
      <c r="D237" s="1345" t="s">
        <v>963</v>
      </c>
      <c r="E237" s="1222"/>
      <c r="F237" s="1222"/>
      <c r="G237" s="1790"/>
      <c r="H237" s="1223"/>
      <c r="I237" s="1341">
        <f t="shared" si="55"/>
        <v>0</v>
      </c>
      <c r="J237" s="185"/>
      <c r="K237" s="185"/>
      <c r="L237" s="185"/>
      <c r="M237" s="185"/>
      <c r="N237" s="186"/>
      <c r="P237" s="1232"/>
    </row>
    <row r="238" spans="1:16" s="1231" customFormat="1" ht="18" customHeight="1" x14ac:dyDescent="0.3">
      <c r="A238" s="590">
        <v>229</v>
      </c>
      <c r="B238" s="1220"/>
      <c r="C238" s="1209"/>
      <c r="D238" s="1344" t="s">
        <v>1151</v>
      </c>
      <c r="E238" s="1222"/>
      <c r="F238" s="1222"/>
      <c r="G238" s="1790"/>
      <c r="H238" s="1223"/>
      <c r="I238" s="575">
        <f t="shared" si="55"/>
        <v>0</v>
      </c>
      <c r="J238" s="1342"/>
      <c r="K238" s="1342"/>
      <c r="L238" s="1342"/>
      <c r="M238" s="1342"/>
      <c r="N238" s="1343">
        <f>SUM(N236:N237)</f>
        <v>0</v>
      </c>
      <c r="P238" s="1232"/>
    </row>
    <row r="239" spans="1:16" s="622" customFormat="1" ht="18" customHeight="1" x14ac:dyDescent="0.3">
      <c r="A239" s="590">
        <v>230</v>
      </c>
      <c r="B239" s="173"/>
      <c r="C239" s="166"/>
      <c r="D239" s="442" t="s">
        <v>819</v>
      </c>
      <c r="E239" s="174">
        <v>500</v>
      </c>
      <c r="F239" s="174">
        <v>500</v>
      </c>
      <c r="G239" s="1787">
        <v>500</v>
      </c>
      <c r="H239" s="606"/>
      <c r="I239" s="576"/>
      <c r="J239" s="175"/>
      <c r="K239" s="175"/>
      <c r="L239" s="175"/>
      <c r="M239" s="175"/>
      <c r="N239" s="176"/>
      <c r="P239" s="623"/>
    </row>
    <row r="240" spans="1:16" s="1231" customFormat="1" ht="18" customHeight="1" x14ac:dyDescent="0.3">
      <c r="A240" s="590">
        <v>231</v>
      </c>
      <c r="B240" s="1220"/>
      <c r="C240" s="1209"/>
      <c r="D240" s="1229" t="s">
        <v>311</v>
      </c>
      <c r="E240" s="1222"/>
      <c r="F240" s="1222"/>
      <c r="G240" s="1790"/>
      <c r="H240" s="1223"/>
      <c r="I240" s="1206">
        <f>SUM(J240:N240)</f>
        <v>425</v>
      </c>
      <c r="J240" s="1224"/>
      <c r="K240" s="1224"/>
      <c r="L240" s="1224">
        <v>425</v>
      </c>
      <c r="M240" s="1224"/>
      <c r="N240" s="1225"/>
      <c r="P240" s="1232"/>
    </row>
    <row r="241" spans="1:16" s="1231" customFormat="1" ht="18" customHeight="1" x14ac:dyDescent="0.3">
      <c r="A241" s="590">
        <v>232</v>
      </c>
      <c r="B241" s="1220"/>
      <c r="C241" s="1209"/>
      <c r="D241" s="1344" t="s">
        <v>1072</v>
      </c>
      <c r="E241" s="1222"/>
      <c r="F241" s="1222"/>
      <c r="G241" s="1790"/>
      <c r="H241" s="1223"/>
      <c r="I241" s="575">
        <f>SUM(J241:N241)</f>
        <v>0</v>
      </c>
      <c r="J241" s="1224"/>
      <c r="K241" s="1224"/>
      <c r="L241" s="1342">
        <f>425-425</f>
        <v>0</v>
      </c>
      <c r="M241" s="1224"/>
      <c r="N241" s="1225"/>
      <c r="P241" s="1232"/>
    </row>
    <row r="242" spans="1:16" s="1231" customFormat="1" ht="18" customHeight="1" x14ac:dyDescent="0.3">
      <c r="A242" s="590">
        <v>233</v>
      </c>
      <c r="B242" s="1220"/>
      <c r="C242" s="1209"/>
      <c r="D242" s="1345" t="s">
        <v>963</v>
      </c>
      <c r="E242" s="1222"/>
      <c r="F242" s="1222"/>
      <c r="G242" s="1790"/>
      <c r="H242" s="1223"/>
      <c r="I242" s="1341">
        <f>SUM(J242:N242)</f>
        <v>0</v>
      </c>
      <c r="J242" s="185"/>
      <c r="K242" s="185"/>
      <c r="L242" s="185"/>
      <c r="M242" s="185"/>
      <c r="N242" s="186"/>
      <c r="P242" s="1232"/>
    </row>
    <row r="243" spans="1:16" s="1231" customFormat="1" ht="18" customHeight="1" x14ac:dyDescent="0.3">
      <c r="A243" s="590">
        <v>234</v>
      </c>
      <c r="B243" s="1220"/>
      <c r="C243" s="1209"/>
      <c r="D243" s="1344" t="s">
        <v>1151</v>
      </c>
      <c r="E243" s="1222"/>
      <c r="F243" s="1222"/>
      <c r="G243" s="1790"/>
      <c r="H243" s="1223"/>
      <c r="I243" s="575">
        <f>SUM(J243:N243)</f>
        <v>0</v>
      </c>
      <c r="J243" s="1342"/>
      <c r="K243" s="1342"/>
      <c r="L243" s="1342">
        <f>SUM(L241:L242)</f>
        <v>0</v>
      </c>
      <c r="M243" s="1342"/>
      <c r="N243" s="1343"/>
      <c r="P243" s="1232"/>
    </row>
    <row r="244" spans="1:16" s="622" customFormat="1" ht="18" customHeight="1" x14ac:dyDescent="0.3">
      <c r="A244" s="590">
        <v>235</v>
      </c>
      <c r="B244" s="173"/>
      <c r="C244" s="166"/>
      <c r="D244" s="442" t="s">
        <v>820</v>
      </c>
      <c r="E244" s="174">
        <v>600</v>
      </c>
      <c r="F244" s="174">
        <v>600</v>
      </c>
      <c r="G244" s="1787">
        <v>600</v>
      </c>
      <c r="H244" s="606"/>
      <c r="I244" s="576"/>
      <c r="J244" s="175"/>
      <c r="K244" s="175"/>
      <c r="L244" s="175"/>
      <c r="M244" s="175"/>
      <c r="N244" s="176"/>
      <c r="P244" s="623"/>
    </row>
    <row r="245" spans="1:16" s="1231" customFormat="1" ht="18" customHeight="1" x14ac:dyDescent="0.3">
      <c r="A245" s="590">
        <v>236</v>
      </c>
      <c r="B245" s="1220"/>
      <c r="C245" s="1209"/>
      <c r="D245" s="1229" t="s">
        <v>311</v>
      </c>
      <c r="E245" s="1211"/>
      <c r="F245" s="1222"/>
      <c r="G245" s="1790"/>
      <c r="H245" s="1223"/>
      <c r="I245" s="1206">
        <f>SUM(J245:N245)</f>
        <v>510</v>
      </c>
      <c r="J245" s="1224"/>
      <c r="K245" s="1224"/>
      <c r="L245" s="1224"/>
      <c r="M245" s="1224"/>
      <c r="N245" s="1225">
        <v>510</v>
      </c>
      <c r="P245" s="1232"/>
    </row>
    <row r="246" spans="1:16" s="1231" customFormat="1" ht="18" customHeight="1" x14ac:dyDescent="0.3">
      <c r="A246" s="590">
        <v>237</v>
      </c>
      <c r="B246" s="1220"/>
      <c r="C246" s="1209"/>
      <c r="D246" s="1344" t="s">
        <v>1072</v>
      </c>
      <c r="E246" s="1211"/>
      <c r="F246" s="1222"/>
      <c r="G246" s="1790"/>
      <c r="H246" s="1223"/>
      <c r="I246" s="575">
        <f t="shared" ref="I246:I248" si="56">SUM(J246:N246)</f>
        <v>0</v>
      </c>
      <c r="J246" s="1224"/>
      <c r="K246" s="1224"/>
      <c r="L246" s="1224"/>
      <c r="M246" s="1224"/>
      <c r="N246" s="1343">
        <v>0</v>
      </c>
      <c r="P246" s="1232"/>
    </row>
    <row r="247" spans="1:16" s="1231" customFormat="1" ht="18" customHeight="1" x14ac:dyDescent="0.3">
      <c r="A247" s="590">
        <v>238</v>
      </c>
      <c r="B247" s="1220"/>
      <c r="C247" s="1209"/>
      <c r="D247" s="1345" t="s">
        <v>987</v>
      </c>
      <c r="E247" s="1211"/>
      <c r="F247" s="1222"/>
      <c r="G247" s="1790"/>
      <c r="H247" s="1223"/>
      <c r="I247" s="1341">
        <f t="shared" si="56"/>
        <v>0</v>
      </c>
      <c r="J247" s="185"/>
      <c r="K247" s="185"/>
      <c r="L247" s="185"/>
      <c r="M247" s="185"/>
      <c r="N247" s="186"/>
      <c r="P247" s="1232"/>
    </row>
    <row r="248" spans="1:16" s="1231" customFormat="1" ht="18" customHeight="1" x14ac:dyDescent="0.3">
      <c r="A248" s="590">
        <v>239</v>
      </c>
      <c r="B248" s="1220"/>
      <c r="C248" s="1209"/>
      <c r="D248" s="1344" t="s">
        <v>1151</v>
      </c>
      <c r="E248" s="1211"/>
      <c r="F248" s="1222"/>
      <c r="G248" s="1790"/>
      <c r="H248" s="1223"/>
      <c r="I248" s="575">
        <f t="shared" si="56"/>
        <v>0</v>
      </c>
      <c r="J248" s="1342"/>
      <c r="K248" s="1342"/>
      <c r="L248" s="1342"/>
      <c r="M248" s="1342"/>
      <c r="N248" s="1343">
        <f>SUM(N246:N247)</f>
        <v>0</v>
      </c>
      <c r="P248" s="1232"/>
    </row>
    <row r="249" spans="1:16" s="1821" customFormat="1" ht="22.5" customHeight="1" x14ac:dyDescent="0.35">
      <c r="A249" s="590">
        <v>240</v>
      </c>
      <c r="B249" s="585"/>
      <c r="C249" s="162">
        <v>42</v>
      </c>
      <c r="D249" s="584" t="s">
        <v>441</v>
      </c>
      <c r="E249" s="164">
        <f>SUM(E254,E259,E264,E269)</f>
        <v>15620</v>
      </c>
      <c r="F249" s="164">
        <f>SUM(F254,F259,F264,F269)</f>
        <v>23600</v>
      </c>
      <c r="G249" s="1784">
        <f>SUM(G254,G259,G264,G269)</f>
        <v>13522</v>
      </c>
      <c r="H249" s="605" t="s">
        <v>24</v>
      </c>
      <c r="I249" s="576"/>
      <c r="J249" s="175"/>
      <c r="K249" s="175"/>
      <c r="L249" s="175"/>
      <c r="M249" s="175"/>
      <c r="N249" s="176"/>
      <c r="O249" s="1822"/>
      <c r="P249" s="1822"/>
    </row>
    <row r="250" spans="1:16" s="1213" customFormat="1" ht="18" customHeight="1" x14ac:dyDescent="0.3">
      <c r="A250" s="590">
        <v>241</v>
      </c>
      <c r="B250" s="1208"/>
      <c r="C250" s="1209"/>
      <c r="D250" s="1210" t="s">
        <v>311</v>
      </c>
      <c r="E250" s="1211"/>
      <c r="F250" s="1211"/>
      <c r="G250" s="1786"/>
      <c r="H250" s="1212"/>
      <c r="I250" s="1203">
        <f>SUM(J250:N250)</f>
        <v>20060</v>
      </c>
      <c r="J250" s="1207">
        <f t="shared" ref="J250:N251" si="57">SUM(J255,J260,J265,J270)</f>
        <v>0</v>
      </c>
      <c r="K250" s="1207">
        <f t="shared" si="57"/>
        <v>0</v>
      </c>
      <c r="L250" s="1207">
        <f t="shared" si="57"/>
        <v>3400</v>
      </c>
      <c r="M250" s="1207">
        <f t="shared" si="57"/>
        <v>0</v>
      </c>
      <c r="N250" s="1205">
        <f t="shared" si="57"/>
        <v>16660</v>
      </c>
    </row>
    <row r="251" spans="1:16" s="1213" customFormat="1" ht="18" customHeight="1" x14ac:dyDescent="0.3">
      <c r="A251" s="590">
        <v>242</v>
      </c>
      <c r="B251" s="1208"/>
      <c r="C251" s="1209"/>
      <c r="D251" s="583" t="s">
        <v>1072</v>
      </c>
      <c r="E251" s="1211"/>
      <c r="F251" s="1211"/>
      <c r="G251" s="1786"/>
      <c r="H251" s="1212"/>
      <c r="I251" s="573">
        <f t="shared" ref="I251:I253" si="58">SUM(J251:N251)</f>
        <v>7555</v>
      </c>
      <c r="J251" s="1347">
        <f>SUM(J256,J261,J266,J271)</f>
        <v>0</v>
      </c>
      <c r="K251" s="1347">
        <f t="shared" si="57"/>
        <v>0</v>
      </c>
      <c r="L251" s="1347">
        <f t="shared" si="57"/>
        <v>2000</v>
      </c>
      <c r="M251" s="1347">
        <f t="shared" si="57"/>
        <v>0</v>
      </c>
      <c r="N251" s="441">
        <f t="shared" si="57"/>
        <v>5555</v>
      </c>
    </row>
    <row r="252" spans="1:16" s="1213" customFormat="1" ht="18" customHeight="1" x14ac:dyDescent="0.3">
      <c r="A252" s="590">
        <v>243</v>
      </c>
      <c r="B252" s="1208"/>
      <c r="C252" s="1209"/>
      <c r="D252" s="1338" t="s">
        <v>963</v>
      </c>
      <c r="E252" s="1211"/>
      <c r="F252" s="1211"/>
      <c r="G252" s="1786"/>
      <c r="H252" s="1212"/>
      <c r="I252" s="1341">
        <f t="shared" si="58"/>
        <v>0</v>
      </c>
      <c r="J252" s="175">
        <f>J257+J262+J267+J272</f>
        <v>0</v>
      </c>
      <c r="K252" s="175">
        <f t="shared" ref="K252:N252" si="59">K257+K262+K267+K272</f>
        <v>0</v>
      </c>
      <c r="L252" s="175">
        <f t="shared" si="59"/>
        <v>0</v>
      </c>
      <c r="M252" s="175">
        <f t="shared" si="59"/>
        <v>0</v>
      </c>
      <c r="N252" s="176">
        <f t="shared" si="59"/>
        <v>0</v>
      </c>
    </row>
    <row r="253" spans="1:16" s="1213" customFormat="1" ht="18" customHeight="1" x14ac:dyDescent="0.3">
      <c r="A253" s="590">
        <v>244</v>
      </c>
      <c r="B253" s="1208"/>
      <c r="C253" s="1209"/>
      <c r="D253" s="583" t="s">
        <v>1151</v>
      </c>
      <c r="E253" s="1211"/>
      <c r="F253" s="1211"/>
      <c r="G253" s="1786"/>
      <c r="H253" s="1212"/>
      <c r="I253" s="573">
        <f t="shared" si="58"/>
        <v>7555</v>
      </c>
      <c r="J253" s="1347">
        <f>SUM(J251:J252)</f>
        <v>0</v>
      </c>
      <c r="K253" s="1347">
        <f t="shared" ref="K253:N253" si="60">SUM(K251:K252)</f>
        <v>0</v>
      </c>
      <c r="L253" s="1347">
        <f t="shared" si="60"/>
        <v>2000</v>
      </c>
      <c r="M253" s="1347">
        <f t="shared" si="60"/>
        <v>0</v>
      </c>
      <c r="N253" s="1796">
        <f t="shared" si="60"/>
        <v>5555</v>
      </c>
    </row>
    <row r="254" spans="1:16" s="622" customFormat="1" ht="18" customHeight="1" x14ac:dyDescent="0.3">
      <c r="A254" s="590">
        <v>245</v>
      </c>
      <c r="B254" s="173"/>
      <c r="C254" s="166"/>
      <c r="D254" s="442" t="s">
        <v>283</v>
      </c>
      <c r="E254" s="174">
        <v>4000</v>
      </c>
      <c r="F254" s="174">
        <v>4000</v>
      </c>
      <c r="G254" s="1787">
        <v>4000</v>
      </c>
      <c r="H254" s="606"/>
      <c r="I254" s="575"/>
      <c r="J254" s="185"/>
      <c r="K254" s="185"/>
      <c r="L254" s="185"/>
      <c r="M254" s="185"/>
      <c r="N254" s="186"/>
      <c r="P254" s="623"/>
    </row>
    <row r="255" spans="1:16" s="1231" customFormat="1" ht="18" customHeight="1" x14ac:dyDescent="0.3">
      <c r="A255" s="590">
        <v>246</v>
      </c>
      <c r="B255" s="1220"/>
      <c r="C255" s="1209"/>
      <c r="D255" s="1229" t="s">
        <v>311</v>
      </c>
      <c r="E255" s="1222"/>
      <c r="F255" s="1222"/>
      <c r="G255" s="1790"/>
      <c r="H255" s="1223"/>
      <c r="I255" s="1206">
        <f>SUM(J255:N255)</f>
        <v>3400</v>
      </c>
      <c r="J255" s="1224"/>
      <c r="K255" s="1224"/>
      <c r="L255" s="1224"/>
      <c r="M255" s="1224"/>
      <c r="N255" s="1225">
        <v>3400</v>
      </c>
      <c r="P255" s="1232"/>
    </row>
    <row r="256" spans="1:16" s="1231" customFormat="1" ht="18" customHeight="1" x14ac:dyDescent="0.3">
      <c r="A256" s="590">
        <v>247</v>
      </c>
      <c r="B256" s="1220"/>
      <c r="C256" s="1209"/>
      <c r="D256" s="1344" t="s">
        <v>1072</v>
      </c>
      <c r="E256" s="1222"/>
      <c r="F256" s="1222"/>
      <c r="G256" s="1790"/>
      <c r="H256" s="1223"/>
      <c r="I256" s="575">
        <f t="shared" ref="I256:I258" si="61">SUM(J256:N256)</f>
        <v>2000</v>
      </c>
      <c r="J256" s="1224"/>
      <c r="K256" s="1224"/>
      <c r="L256" s="1342">
        <f>0+2000</f>
        <v>2000</v>
      </c>
      <c r="M256" s="1224"/>
      <c r="N256" s="1343">
        <f>0</f>
        <v>0</v>
      </c>
      <c r="P256" s="1232"/>
    </row>
    <row r="257" spans="1:16" s="1231" customFormat="1" ht="18" customHeight="1" x14ac:dyDescent="0.3">
      <c r="A257" s="590">
        <v>248</v>
      </c>
      <c r="B257" s="1220"/>
      <c r="C257" s="1209"/>
      <c r="D257" s="1345" t="s">
        <v>986</v>
      </c>
      <c r="E257" s="1222"/>
      <c r="F257" s="1222"/>
      <c r="G257" s="1790"/>
      <c r="H257" s="1223"/>
      <c r="I257" s="1341">
        <f t="shared" si="61"/>
        <v>0</v>
      </c>
      <c r="J257" s="185"/>
      <c r="K257" s="185"/>
      <c r="L257" s="185"/>
      <c r="M257" s="185"/>
      <c r="N257" s="186"/>
      <c r="P257" s="1232"/>
    </row>
    <row r="258" spans="1:16" s="1231" customFormat="1" ht="18" customHeight="1" x14ac:dyDescent="0.3">
      <c r="A258" s="590">
        <v>249</v>
      </c>
      <c r="B258" s="1220"/>
      <c r="C258" s="1209"/>
      <c r="D258" s="1344" t="s">
        <v>1151</v>
      </c>
      <c r="E258" s="1222"/>
      <c r="F258" s="1222"/>
      <c r="G258" s="1790"/>
      <c r="H258" s="1223"/>
      <c r="I258" s="575">
        <f t="shared" si="61"/>
        <v>2000</v>
      </c>
      <c r="J258" s="1342"/>
      <c r="K258" s="1342"/>
      <c r="L258" s="1342">
        <f>SUM(L256:L257)</f>
        <v>2000</v>
      </c>
      <c r="M258" s="1342"/>
      <c r="N258" s="1343">
        <f>SUM(N256:N257)</f>
        <v>0</v>
      </c>
      <c r="P258" s="1232"/>
    </row>
    <row r="259" spans="1:16" s="622" customFormat="1" ht="18" customHeight="1" x14ac:dyDescent="0.3">
      <c r="A259" s="590">
        <v>250</v>
      </c>
      <c r="B259" s="173"/>
      <c r="C259" s="166"/>
      <c r="D259" s="442" t="s">
        <v>397</v>
      </c>
      <c r="E259" s="174">
        <v>7500</v>
      </c>
      <c r="F259" s="174">
        <v>14000</v>
      </c>
      <c r="G259" s="1787">
        <v>5100</v>
      </c>
      <c r="H259" s="606"/>
      <c r="I259" s="575"/>
      <c r="J259" s="175"/>
      <c r="K259" s="175"/>
      <c r="L259" s="175"/>
      <c r="M259" s="175"/>
      <c r="N259" s="176"/>
      <c r="P259" s="623"/>
    </row>
    <row r="260" spans="1:16" s="1231" customFormat="1" ht="18" customHeight="1" x14ac:dyDescent="0.3">
      <c r="A260" s="590">
        <v>251</v>
      </c>
      <c r="B260" s="1220"/>
      <c r="C260" s="1209"/>
      <c r="D260" s="1229" t="s">
        <v>311</v>
      </c>
      <c r="E260" s="1222"/>
      <c r="F260" s="1222"/>
      <c r="G260" s="1790"/>
      <c r="H260" s="1223"/>
      <c r="I260" s="1206">
        <f>SUM(J260:N260)</f>
        <v>11900</v>
      </c>
      <c r="J260" s="1224"/>
      <c r="K260" s="1224"/>
      <c r="L260" s="1224"/>
      <c r="M260" s="1224"/>
      <c r="N260" s="1225">
        <v>11900</v>
      </c>
      <c r="P260" s="1232"/>
    </row>
    <row r="261" spans="1:16" s="1231" customFormat="1" ht="18" customHeight="1" x14ac:dyDescent="0.3">
      <c r="A261" s="590">
        <v>252</v>
      </c>
      <c r="B261" s="1220"/>
      <c r="C261" s="1209"/>
      <c r="D261" s="1344" t="s">
        <v>1072</v>
      </c>
      <c r="E261" s="1222"/>
      <c r="F261" s="1222"/>
      <c r="G261" s="1790"/>
      <c r="H261" s="1223"/>
      <c r="I261" s="575">
        <f t="shared" ref="I261" si="62">SUM(J261:N261)</f>
        <v>5555</v>
      </c>
      <c r="J261" s="1224"/>
      <c r="K261" s="1224"/>
      <c r="L261" s="1224"/>
      <c r="M261" s="1224"/>
      <c r="N261" s="1343">
        <f>10000-4445</f>
        <v>5555</v>
      </c>
      <c r="P261" s="1232"/>
    </row>
    <row r="262" spans="1:16" s="1231" customFormat="1" ht="18" customHeight="1" x14ac:dyDescent="0.3">
      <c r="A262" s="590">
        <v>253</v>
      </c>
      <c r="B262" s="1220"/>
      <c r="C262" s="1209"/>
      <c r="D262" s="1345" t="s">
        <v>986</v>
      </c>
      <c r="E262" s="1222"/>
      <c r="F262" s="1222"/>
      <c r="G262" s="1790"/>
      <c r="H262" s="1223"/>
      <c r="I262" s="1341">
        <f t="shared" ref="I262:I263" si="63">SUM(J262:N262)</f>
        <v>0</v>
      </c>
      <c r="J262" s="185"/>
      <c r="K262" s="185"/>
      <c r="L262" s="185"/>
      <c r="M262" s="185"/>
      <c r="N262" s="186"/>
      <c r="P262" s="1232"/>
    </row>
    <row r="263" spans="1:16" s="1231" customFormat="1" ht="18" customHeight="1" x14ac:dyDescent="0.3">
      <c r="A263" s="590">
        <v>254</v>
      </c>
      <c r="B263" s="1220"/>
      <c r="C263" s="1209"/>
      <c r="D263" s="1344" t="s">
        <v>1151</v>
      </c>
      <c r="E263" s="1222"/>
      <c r="F263" s="1222"/>
      <c r="G263" s="1790"/>
      <c r="H263" s="1223"/>
      <c r="I263" s="575">
        <f t="shared" si="63"/>
        <v>5555</v>
      </c>
      <c r="J263" s="1342"/>
      <c r="K263" s="1342"/>
      <c r="L263" s="1342"/>
      <c r="M263" s="1342"/>
      <c r="N263" s="1343">
        <f>SUM(N261:N262)</f>
        <v>5555</v>
      </c>
      <c r="P263" s="1232"/>
    </row>
    <row r="264" spans="1:16" s="622" customFormat="1" ht="18" customHeight="1" x14ac:dyDescent="0.3">
      <c r="A264" s="590">
        <v>255</v>
      </c>
      <c r="B264" s="173"/>
      <c r="C264" s="166"/>
      <c r="D264" s="442" t="s">
        <v>285</v>
      </c>
      <c r="E264" s="174">
        <v>2520</v>
      </c>
      <c r="F264" s="174">
        <v>4000</v>
      </c>
      <c r="G264" s="1787">
        <v>2822</v>
      </c>
      <c r="H264" s="606"/>
      <c r="I264" s="575"/>
      <c r="J264" s="175"/>
      <c r="K264" s="175"/>
      <c r="L264" s="175"/>
      <c r="M264" s="175"/>
      <c r="N264" s="176"/>
      <c r="P264" s="623"/>
    </row>
    <row r="265" spans="1:16" s="1231" customFormat="1" ht="18" customHeight="1" x14ac:dyDescent="0.3">
      <c r="A265" s="590">
        <v>256</v>
      </c>
      <c r="B265" s="1220"/>
      <c r="C265" s="1209"/>
      <c r="D265" s="1229" t="s">
        <v>311</v>
      </c>
      <c r="E265" s="1222"/>
      <c r="F265" s="1222"/>
      <c r="G265" s="1790"/>
      <c r="H265" s="1223"/>
      <c r="I265" s="1206">
        <f>SUM(J265:N265)</f>
        <v>3400</v>
      </c>
      <c r="J265" s="1224"/>
      <c r="K265" s="1224"/>
      <c r="L265" s="1224">
        <v>3400</v>
      </c>
      <c r="M265" s="1224"/>
      <c r="N265" s="1225"/>
      <c r="P265" s="1232"/>
    </row>
    <row r="266" spans="1:16" s="1231" customFormat="1" ht="18" customHeight="1" x14ac:dyDescent="0.3">
      <c r="A266" s="590">
        <v>257</v>
      </c>
      <c r="B266" s="1220"/>
      <c r="C266" s="1209"/>
      <c r="D266" s="1344" t="s">
        <v>1072</v>
      </c>
      <c r="E266" s="1222"/>
      <c r="F266" s="1222"/>
      <c r="G266" s="1790"/>
      <c r="H266" s="1223"/>
      <c r="I266" s="575">
        <f t="shared" ref="I266" si="64">SUM(J266:N266)</f>
        <v>0</v>
      </c>
      <c r="J266" s="1224"/>
      <c r="K266" s="1224"/>
      <c r="L266" s="1342">
        <v>0</v>
      </c>
      <c r="M266" s="1224"/>
      <c r="N266" s="1225"/>
      <c r="P266" s="1232"/>
    </row>
    <row r="267" spans="1:16" s="1231" customFormat="1" ht="18" customHeight="1" x14ac:dyDescent="0.3">
      <c r="A267" s="590">
        <v>258</v>
      </c>
      <c r="B267" s="1220"/>
      <c r="C267" s="1209"/>
      <c r="D267" s="1345" t="s">
        <v>986</v>
      </c>
      <c r="E267" s="1222"/>
      <c r="F267" s="1222"/>
      <c r="G267" s="1790"/>
      <c r="H267" s="1223"/>
      <c r="I267" s="1341">
        <f t="shared" ref="I267:I268" si="65">SUM(J267:N267)</f>
        <v>0</v>
      </c>
      <c r="J267" s="185"/>
      <c r="K267" s="185"/>
      <c r="L267" s="185"/>
      <c r="M267" s="185"/>
      <c r="N267" s="186"/>
      <c r="P267" s="1232"/>
    </row>
    <row r="268" spans="1:16" s="1231" customFormat="1" ht="18" customHeight="1" x14ac:dyDescent="0.3">
      <c r="A268" s="590">
        <v>259</v>
      </c>
      <c r="B268" s="1220"/>
      <c r="C268" s="1209"/>
      <c r="D268" s="1344" t="s">
        <v>1151</v>
      </c>
      <c r="E268" s="1222"/>
      <c r="F268" s="1222"/>
      <c r="G268" s="1790"/>
      <c r="H268" s="1223"/>
      <c r="I268" s="575">
        <f t="shared" si="65"/>
        <v>0</v>
      </c>
      <c r="J268" s="1342"/>
      <c r="K268" s="1342"/>
      <c r="L268" s="1342">
        <f>SUM(L266:L267)</f>
        <v>0</v>
      </c>
      <c r="M268" s="1342"/>
      <c r="N268" s="1343"/>
      <c r="P268" s="1232"/>
    </row>
    <row r="269" spans="1:16" s="622" customFormat="1" ht="18" customHeight="1" x14ac:dyDescent="0.3">
      <c r="A269" s="590">
        <v>260</v>
      </c>
      <c r="B269" s="173"/>
      <c r="C269" s="166"/>
      <c r="D269" s="442" t="s">
        <v>284</v>
      </c>
      <c r="E269" s="174">
        <v>1600</v>
      </c>
      <c r="F269" s="174">
        <v>1600</v>
      </c>
      <c r="G269" s="1787">
        <v>1600</v>
      </c>
      <c r="H269" s="606"/>
      <c r="I269" s="575"/>
      <c r="J269" s="175"/>
      <c r="K269" s="175"/>
      <c r="L269" s="175"/>
      <c r="M269" s="175"/>
      <c r="N269" s="176"/>
      <c r="P269" s="623"/>
    </row>
    <row r="270" spans="1:16" s="1231" customFormat="1" ht="18" customHeight="1" x14ac:dyDescent="0.3">
      <c r="A270" s="590">
        <v>261</v>
      </c>
      <c r="B270" s="1220"/>
      <c r="C270" s="1209"/>
      <c r="D270" s="1229" t="s">
        <v>311</v>
      </c>
      <c r="E270" s="1211"/>
      <c r="F270" s="1222"/>
      <c r="G270" s="1790"/>
      <c r="H270" s="1223"/>
      <c r="I270" s="1206">
        <f>SUM(J270:N270)</f>
        <v>1360</v>
      </c>
      <c r="J270" s="1224"/>
      <c r="K270" s="1224"/>
      <c r="L270" s="1224"/>
      <c r="M270" s="1224"/>
      <c r="N270" s="1225">
        <v>1360</v>
      </c>
      <c r="P270" s="1232"/>
    </row>
    <row r="271" spans="1:16" s="1231" customFormat="1" ht="18" customHeight="1" x14ac:dyDescent="0.3">
      <c r="A271" s="590">
        <v>262</v>
      </c>
      <c r="B271" s="1220"/>
      <c r="C271" s="1209"/>
      <c r="D271" s="1344" t="s">
        <v>1072</v>
      </c>
      <c r="E271" s="1211"/>
      <c r="F271" s="1222"/>
      <c r="G271" s="1790"/>
      <c r="H271" s="1223"/>
      <c r="I271" s="575">
        <f t="shared" ref="I271" si="66">SUM(J271:N271)</f>
        <v>0</v>
      </c>
      <c r="J271" s="1224"/>
      <c r="K271" s="1224"/>
      <c r="L271" s="1224"/>
      <c r="M271" s="1224"/>
      <c r="N271" s="1343">
        <v>0</v>
      </c>
      <c r="P271" s="1232"/>
    </row>
    <row r="272" spans="1:16" s="1231" customFormat="1" ht="18" customHeight="1" x14ac:dyDescent="0.3">
      <c r="A272" s="590">
        <v>263</v>
      </c>
      <c r="B272" s="1220"/>
      <c r="C272" s="1209"/>
      <c r="D272" s="1345" t="s">
        <v>986</v>
      </c>
      <c r="E272" s="1211"/>
      <c r="F272" s="1222"/>
      <c r="G272" s="1790"/>
      <c r="H272" s="1223"/>
      <c r="I272" s="1341">
        <f t="shared" ref="I272:I273" si="67">SUM(J272:N272)</f>
        <v>0</v>
      </c>
      <c r="J272" s="185"/>
      <c r="K272" s="185"/>
      <c r="L272" s="185"/>
      <c r="M272" s="185"/>
      <c r="N272" s="186"/>
      <c r="P272" s="1232"/>
    </row>
    <row r="273" spans="1:16" s="1231" customFormat="1" ht="18" customHeight="1" x14ac:dyDescent="0.3">
      <c r="A273" s="590">
        <v>264</v>
      </c>
      <c r="B273" s="1220"/>
      <c r="C273" s="1209"/>
      <c r="D273" s="1344" t="s">
        <v>1151</v>
      </c>
      <c r="E273" s="1211"/>
      <c r="F273" s="1222"/>
      <c r="G273" s="1790"/>
      <c r="H273" s="1223"/>
      <c r="I273" s="575">
        <f t="shared" si="67"/>
        <v>0</v>
      </c>
      <c r="J273" s="1342"/>
      <c r="K273" s="1342"/>
      <c r="L273" s="1342"/>
      <c r="M273" s="1342"/>
      <c r="N273" s="1343">
        <f>SUM(N271:N272)</f>
        <v>0</v>
      </c>
      <c r="P273" s="1232"/>
    </row>
    <row r="274" spans="1:16" s="157" customFormat="1" ht="22.5" customHeight="1" x14ac:dyDescent="0.3">
      <c r="A274" s="590">
        <v>265</v>
      </c>
      <c r="B274" s="586"/>
      <c r="C274" s="162">
        <v>43</v>
      </c>
      <c r="D274" s="584" t="s">
        <v>483</v>
      </c>
      <c r="E274" s="164">
        <v>4400</v>
      </c>
      <c r="F274" s="174">
        <v>5000</v>
      </c>
      <c r="G274" s="1787">
        <v>4667</v>
      </c>
      <c r="H274" s="605" t="s">
        <v>24</v>
      </c>
      <c r="I274" s="575"/>
      <c r="J274" s="185"/>
      <c r="K274" s="185"/>
      <c r="L274" s="185"/>
      <c r="M274" s="185"/>
      <c r="N274" s="186"/>
      <c r="P274" s="1822"/>
    </row>
    <row r="275" spans="1:16" s="1226" customFormat="1" ht="18" customHeight="1" x14ac:dyDescent="0.3">
      <c r="A275" s="590">
        <v>266</v>
      </c>
      <c r="B275" s="1220"/>
      <c r="C275" s="1209"/>
      <c r="D275" s="1210" t="s">
        <v>311</v>
      </c>
      <c r="E275" s="1211"/>
      <c r="F275" s="1222"/>
      <c r="G275" s="1790"/>
      <c r="H275" s="1223"/>
      <c r="I275" s="1203">
        <f>SUM(J275:N275)</f>
        <v>4250</v>
      </c>
      <c r="J275" s="1224"/>
      <c r="K275" s="1224"/>
      <c r="L275" s="1224"/>
      <c r="M275" s="1224"/>
      <c r="N275" s="1205">
        <v>4250</v>
      </c>
      <c r="P275" s="1213"/>
    </row>
    <row r="276" spans="1:16" s="1226" customFormat="1" ht="18" customHeight="1" x14ac:dyDescent="0.3">
      <c r="A276" s="590">
        <v>267</v>
      </c>
      <c r="B276" s="1220"/>
      <c r="C276" s="1209"/>
      <c r="D276" s="583" t="s">
        <v>1072</v>
      </c>
      <c r="E276" s="1211"/>
      <c r="F276" s="1222"/>
      <c r="G276" s="1790"/>
      <c r="H276" s="1223"/>
      <c r="I276" s="573">
        <f>SUM(J276:N276)</f>
        <v>0</v>
      </c>
      <c r="J276" s="1224"/>
      <c r="K276" s="1224"/>
      <c r="L276" s="1224"/>
      <c r="M276" s="1224"/>
      <c r="N276" s="441">
        <v>0</v>
      </c>
      <c r="P276" s="1213"/>
    </row>
    <row r="277" spans="1:16" s="1226" customFormat="1" ht="18" customHeight="1" x14ac:dyDescent="0.3">
      <c r="A277" s="590">
        <v>268</v>
      </c>
      <c r="B277" s="1220"/>
      <c r="C277" s="1209"/>
      <c r="D277" s="1338" t="s">
        <v>986</v>
      </c>
      <c r="E277" s="1211"/>
      <c r="F277" s="1222"/>
      <c r="G277" s="1790"/>
      <c r="H277" s="1223"/>
      <c r="I277" s="1341">
        <f>SUM(J277:N277)</f>
        <v>0</v>
      </c>
      <c r="J277" s="185"/>
      <c r="K277" s="185"/>
      <c r="L277" s="185"/>
      <c r="M277" s="185"/>
      <c r="N277" s="169"/>
      <c r="P277" s="1213"/>
    </row>
    <row r="278" spans="1:16" s="1226" customFormat="1" ht="18" customHeight="1" x14ac:dyDescent="0.3">
      <c r="A278" s="590">
        <v>269</v>
      </c>
      <c r="B278" s="1220"/>
      <c r="C278" s="1209"/>
      <c r="D278" s="583" t="s">
        <v>1151</v>
      </c>
      <c r="E278" s="1211"/>
      <c r="F278" s="1222"/>
      <c r="G278" s="1790"/>
      <c r="H278" s="1223"/>
      <c r="I278" s="573">
        <f>SUM(J278:N278)</f>
        <v>0</v>
      </c>
      <c r="J278" s="1342"/>
      <c r="K278" s="1342"/>
      <c r="L278" s="1342"/>
      <c r="M278" s="1342"/>
      <c r="N278" s="441">
        <f>SUM(N276:N277)</f>
        <v>0</v>
      </c>
      <c r="P278" s="1213"/>
    </row>
    <row r="279" spans="1:16" s="1821" customFormat="1" ht="22.5" customHeight="1" x14ac:dyDescent="0.35">
      <c r="A279" s="590">
        <v>270</v>
      </c>
      <c r="B279" s="585"/>
      <c r="C279" s="162">
        <v>44</v>
      </c>
      <c r="D279" s="584" t="s">
        <v>442</v>
      </c>
      <c r="E279" s="164">
        <v>1323</v>
      </c>
      <c r="F279" s="164">
        <v>2000</v>
      </c>
      <c r="G279" s="1784">
        <v>938</v>
      </c>
      <c r="H279" s="605" t="s">
        <v>23</v>
      </c>
      <c r="I279" s="575"/>
      <c r="J279" s="175"/>
      <c r="K279" s="175"/>
      <c r="L279" s="175"/>
      <c r="M279" s="175"/>
      <c r="N279" s="176"/>
      <c r="O279" s="1822"/>
      <c r="P279" s="1822"/>
    </row>
    <row r="280" spans="1:16" s="1213" customFormat="1" ht="18" customHeight="1" x14ac:dyDescent="0.3">
      <c r="A280" s="590">
        <v>271</v>
      </c>
      <c r="B280" s="1208"/>
      <c r="C280" s="1209"/>
      <c r="D280" s="1210" t="s">
        <v>311</v>
      </c>
      <c r="E280" s="1211"/>
      <c r="F280" s="1211"/>
      <c r="G280" s="1786"/>
      <c r="H280" s="1212"/>
      <c r="I280" s="1203">
        <f>SUM(J280:N280)</f>
        <v>1700</v>
      </c>
      <c r="J280" s="1204"/>
      <c r="K280" s="1204"/>
      <c r="L280" s="1204"/>
      <c r="M280" s="1204">
        <v>1700</v>
      </c>
      <c r="N280" s="1205"/>
    </row>
    <row r="281" spans="1:16" s="1213" customFormat="1" ht="18" customHeight="1" x14ac:dyDescent="0.3">
      <c r="A281" s="590">
        <v>272</v>
      </c>
      <c r="B281" s="1208"/>
      <c r="C281" s="1209"/>
      <c r="D281" s="583" t="s">
        <v>1072</v>
      </c>
      <c r="E281" s="1211"/>
      <c r="F281" s="1211"/>
      <c r="G281" s="1786"/>
      <c r="H281" s="1212"/>
      <c r="I281" s="573">
        <f>SUM(J281:N281)</f>
        <v>1700</v>
      </c>
      <c r="J281" s="1204"/>
      <c r="K281" s="1204"/>
      <c r="L281" s="1204"/>
      <c r="M281" s="445">
        <v>1700</v>
      </c>
      <c r="N281" s="1205"/>
    </row>
    <row r="282" spans="1:16" s="1213" customFormat="1" ht="18" customHeight="1" x14ac:dyDescent="0.3">
      <c r="A282" s="590">
        <v>273</v>
      </c>
      <c r="B282" s="1208"/>
      <c r="C282" s="1209"/>
      <c r="D282" s="1338" t="s">
        <v>963</v>
      </c>
      <c r="E282" s="1211"/>
      <c r="F282" s="1211"/>
      <c r="G282" s="1786"/>
      <c r="H282" s="1212"/>
      <c r="I282" s="1341">
        <f t="shared" ref="I282:I283" si="68">SUM(J282:N282)</f>
        <v>0</v>
      </c>
      <c r="J282" s="185"/>
      <c r="K282" s="185"/>
      <c r="L282" s="185"/>
      <c r="M282" s="185"/>
      <c r="N282" s="186"/>
    </row>
    <row r="283" spans="1:16" s="1213" customFormat="1" ht="18" customHeight="1" x14ac:dyDescent="0.3">
      <c r="A283" s="590">
        <v>274</v>
      </c>
      <c r="B283" s="1208"/>
      <c r="C283" s="1209"/>
      <c r="D283" s="583" t="s">
        <v>1151</v>
      </c>
      <c r="E283" s="1211"/>
      <c r="F283" s="1211"/>
      <c r="G283" s="1786"/>
      <c r="H283" s="1212"/>
      <c r="I283" s="573">
        <f t="shared" si="68"/>
        <v>1700</v>
      </c>
      <c r="J283" s="445"/>
      <c r="K283" s="445"/>
      <c r="L283" s="445"/>
      <c r="M283" s="445">
        <f>SUM(M281:M282)</f>
        <v>1700</v>
      </c>
      <c r="N283" s="441"/>
    </row>
    <row r="284" spans="1:16" s="1821" customFormat="1" ht="22.5" customHeight="1" x14ac:dyDescent="0.35">
      <c r="A284" s="590">
        <v>275</v>
      </c>
      <c r="B284" s="585"/>
      <c r="C284" s="162">
        <v>45</v>
      </c>
      <c r="D284" s="584" t="s">
        <v>286</v>
      </c>
      <c r="E284" s="164"/>
      <c r="F284" s="164">
        <v>100</v>
      </c>
      <c r="G284" s="1784"/>
      <c r="H284" s="605" t="s">
        <v>23</v>
      </c>
      <c r="I284" s="573"/>
      <c r="J284" s="168"/>
      <c r="K284" s="168"/>
      <c r="L284" s="168"/>
      <c r="M284" s="168"/>
      <c r="N284" s="169"/>
      <c r="P284" s="1822"/>
    </row>
    <row r="285" spans="1:16" s="1213" customFormat="1" ht="18" customHeight="1" x14ac:dyDescent="0.3">
      <c r="A285" s="590">
        <v>276</v>
      </c>
      <c r="B285" s="1208"/>
      <c r="C285" s="1209"/>
      <c r="D285" s="1210" t="s">
        <v>311</v>
      </c>
      <c r="E285" s="1211"/>
      <c r="F285" s="1211"/>
      <c r="G285" s="1786"/>
      <c r="H285" s="1212"/>
      <c r="I285" s="1203">
        <f>SUM(J285:N285)</f>
        <v>85</v>
      </c>
      <c r="J285" s="1204"/>
      <c r="K285" s="1204"/>
      <c r="L285" s="1204"/>
      <c r="M285" s="1204">
        <v>85</v>
      </c>
      <c r="N285" s="1205"/>
    </row>
    <row r="286" spans="1:16" s="1213" customFormat="1" ht="18" customHeight="1" x14ac:dyDescent="0.3">
      <c r="A286" s="590">
        <v>277</v>
      </c>
      <c r="B286" s="1208"/>
      <c r="C286" s="1209"/>
      <c r="D286" s="583" t="s">
        <v>1072</v>
      </c>
      <c r="E286" s="1211"/>
      <c r="F286" s="1211"/>
      <c r="G286" s="1786"/>
      <c r="H286" s="1216"/>
      <c r="I286" s="573">
        <f t="shared" ref="I286:I288" si="69">SUM(J286:N286)</f>
        <v>85</v>
      </c>
      <c r="J286" s="1204"/>
      <c r="K286" s="1204"/>
      <c r="L286" s="1204"/>
      <c r="M286" s="445">
        <v>85</v>
      </c>
      <c r="N286" s="1205"/>
    </row>
    <row r="287" spans="1:16" s="1213" customFormat="1" ht="18" customHeight="1" x14ac:dyDescent="0.3">
      <c r="A287" s="590">
        <v>278</v>
      </c>
      <c r="B287" s="1208"/>
      <c r="C287" s="1209"/>
      <c r="D287" s="1338" t="s">
        <v>963</v>
      </c>
      <c r="E287" s="1211"/>
      <c r="F287" s="1211"/>
      <c r="G287" s="1786"/>
      <c r="H287" s="1216"/>
      <c r="I287" s="1341">
        <f t="shared" si="69"/>
        <v>0</v>
      </c>
      <c r="J287" s="185"/>
      <c r="K287" s="185"/>
      <c r="L287" s="185"/>
      <c r="M287" s="185"/>
      <c r="N287" s="186"/>
    </row>
    <row r="288" spans="1:16" s="1213" customFormat="1" ht="18" customHeight="1" x14ac:dyDescent="0.3">
      <c r="A288" s="590">
        <v>279</v>
      </c>
      <c r="B288" s="1208"/>
      <c r="C288" s="1209"/>
      <c r="D288" s="583" t="s">
        <v>1151</v>
      </c>
      <c r="E288" s="1211"/>
      <c r="F288" s="1211"/>
      <c r="G288" s="1786"/>
      <c r="H288" s="1216"/>
      <c r="I288" s="573">
        <f t="shared" si="69"/>
        <v>85</v>
      </c>
      <c r="J288" s="445"/>
      <c r="K288" s="445"/>
      <c r="L288" s="445"/>
      <c r="M288" s="445">
        <f>SUM(M286:M287)</f>
        <v>85</v>
      </c>
      <c r="N288" s="441"/>
    </row>
    <row r="289" spans="1:16" s="1822" customFormat="1" ht="22.5" customHeight="1" x14ac:dyDescent="0.3">
      <c r="A289" s="590">
        <v>280</v>
      </c>
      <c r="B289" s="582"/>
      <c r="C289" s="162">
        <v>46</v>
      </c>
      <c r="D289" s="583" t="s">
        <v>443</v>
      </c>
      <c r="E289" s="164"/>
      <c r="F289" s="164">
        <v>100</v>
      </c>
      <c r="G289" s="1784"/>
      <c r="H289" s="607" t="s">
        <v>23</v>
      </c>
      <c r="I289" s="573"/>
      <c r="J289" s="168"/>
      <c r="K289" s="168"/>
      <c r="L289" s="168"/>
      <c r="M289" s="168"/>
      <c r="N289" s="169"/>
    </row>
    <row r="290" spans="1:16" s="1213" customFormat="1" ht="18" customHeight="1" x14ac:dyDescent="0.3">
      <c r="A290" s="590">
        <v>281</v>
      </c>
      <c r="B290" s="1208"/>
      <c r="C290" s="1209"/>
      <c r="D290" s="1210" t="s">
        <v>311</v>
      </c>
      <c r="E290" s="1211"/>
      <c r="F290" s="1211"/>
      <c r="G290" s="1786"/>
      <c r="H290" s="1216"/>
      <c r="I290" s="1203">
        <f>SUM(J290:N290)</f>
        <v>85</v>
      </c>
      <c r="J290" s="1204"/>
      <c r="K290" s="1204"/>
      <c r="L290" s="1204">
        <v>85</v>
      </c>
      <c r="M290" s="1204"/>
      <c r="N290" s="1205"/>
    </row>
    <row r="291" spans="1:16" s="1213" customFormat="1" ht="18" customHeight="1" x14ac:dyDescent="0.3">
      <c r="A291" s="590">
        <v>282</v>
      </c>
      <c r="B291" s="1208"/>
      <c r="C291" s="1209"/>
      <c r="D291" s="583" t="s">
        <v>1072</v>
      </c>
      <c r="E291" s="1211"/>
      <c r="F291" s="1211"/>
      <c r="G291" s="1786"/>
      <c r="H291" s="1216"/>
      <c r="I291" s="573">
        <f t="shared" ref="I291:I293" si="70">SUM(J291:N291)</f>
        <v>85</v>
      </c>
      <c r="J291" s="1204"/>
      <c r="K291" s="1204"/>
      <c r="L291" s="445">
        <v>85</v>
      </c>
      <c r="M291" s="1204"/>
      <c r="N291" s="1205"/>
    </row>
    <row r="292" spans="1:16" s="1213" customFormat="1" ht="18" customHeight="1" x14ac:dyDescent="0.3">
      <c r="A292" s="590">
        <v>283</v>
      </c>
      <c r="B292" s="1208"/>
      <c r="C292" s="1209"/>
      <c r="D292" s="1338" t="s">
        <v>963</v>
      </c>
      <c r="E292" s="1211"/>
      <c r="F292" s="1211"/>
      <c r="G292" s="1786"/>
      <c r="H292" s="1216"/>
      <c r="I292" s="1341">
        <f t="shared" si="70"/>
        <v>0</v>
      </c>
      <c r="J292" s="185"/>
      <c r="K292" s="185"/>
      <c r="L292" s="185"/>
      <c r="M292" s="185"/>
      <c r="N292" s="186"/>
    </row>
    <row r="293" spans="1:16" s="1213" customFormat="1" ht="18" customHeight="1" x14ac:dyDescent="0.3">
      <c r="A293" s="590">
        <v>284</v>
      </c>
      <c r="B293" s="1208"/>
      <c r="C293" s="1209"/>
      <c r="D293" s="583" t="s">
        <v>1151</v>
      </c>
      <c r="E293" s="1211"/>
      <c r="F293" s="1211"/>
      <c r="G293" s="1786"/>
      <c r="H293" s="1216"/>
      <c r="I293" s="573">
        <f t="shared" si="70"/>
        <v>85</v>
      </c>
      <c r="J293" s="445"/>
      <c r="K293" s="445"/>
      <c r="L293" s="445">
        <f>SUM(L291:L292)</f>
        <v>85</v>
      </c>
      <c r="M293" s="445"/>
      <c r="N293" s="441"/>
    </row>
    <row r="294" spans="1:16" s="1821" customFormat="1" ht="22.5" customHeight="1" x14ac:dyDescent="0.35">
      <c r="A294" s="590">
        <v>285</v>
      </c>
      <c r="B294" s="585"/>
      <c r="C294" s="162">
        <v>47</v>
      </c>
      <c r="D294" s="584" t="s">
        <v>287</v>
      </c>
      <c r="E294" s="164">
        <f>SUM(E299,E313,E318,E323,E328,E333,E338,E343)</f>
        <v>10952</v>
      </c>
      <c r="F294" s="164">
        <f>SUM(F299,F313,F318,F323,F328,F333,F338,F343)+F308</f>
        <v>27650</v>
      </c>
      <c r="G294" s="1784">
        <f>SUM(G299,G313,G318,G323,G328,G333,G338,G343)+G308</f>
        <v>11293</v>
      </c>
      <c r="H294" s="605"/>
      <c r="I294" s="574"/>
      <c r="J294" s="171"/>
      <c r="K294" s="171"/>
      <c r="L294" s="171"/>
      <c r="M294" s="171"/>
      <c r="N294" s="172"/>
      <c r="O294" s="1822"/>
      <c r="P294" s="1822"/>
    </row>
    <row r="295" spans="1:16" s="1213" customFormat="1" ht="18" customHeight="1" x14ac:dyDescent="0.3">
      <c r="A295" s="590">
        <v>286</v>
      </c>
      <c r="B295" s="1208"/>
      <c r="C295" s="1209"/>
      <c r="D295" s="1210" t="s">
        <v>311</v>
      </c>
      <c r="E295" s="1211"/>
      <c r="F295" s="1211"/>
      <c r="G295" s="1786"/>
      <c r="H295" s="1212"/>
      <c r="I295" s="1203">
        <f>SUM(J295:N295)</f>
        <v>17553</v>
      </c>
      <c r="J295" s="1204">
        <f>SUM(J300,J314,J319,J324,J329,J334,J339,J344)</f>
        <v>0</v>
      </c>
      <c r="K295" s="1204">
        <f>SUM(K300,K314,K319,K324,K329,K334,K339,K344)</f>
        <v>0</v>
      </c>
      <c r="L295" s="1204">
        <f>SUM(L300,L314,L319,L324,L329,L334,L339,L344)</f>
        <v>0</v>
      </c>
      <c r="M295" s="1204">
        <f>SUM(M300,M314,M319,M324,M329,M334,M339,M344)+M309</f>
        <v>17553</v>
      </c>
      <c r="N295" s="1205">
        <f>SUM(N300,N314,N319,N324,N329,N334,N339,N344)</f>
        <v>0</v>
      </c>
    </row>
    <row r="296" spans="1:16" s="1213" customFormat="1" ht="18" customHeight="1" x14ac:dyDescent="0.3">
      <c r="A296" s="590">
        <v>287</v>
      </c>
      <c r="B296" s="1208"/>
      <c r="C296" s="1209"/>
      <c r="D296" s="583" t="s">
        <v>1072</v>
      </c>
      <c r="E296" s="1211"/>
      <c r="F296" s="1211"/>
      <c r="G296" s="1786"/>
      <c r="H296" s="1212"/>
      <c r="I296" s="573">
        <f t="shared" ref="I296:I298" si="71">SUM(J296:N296)</f>
        <v>24153</v>
      </c>
      <c r="J296" s="445">
        <f t="shared" ref="J296:L296" si="72">SUM(J301,J315,J320,J325,J330,J335,J340,J345)+J310+J305</f>
        <v>0</v>
      </c>
      <c r="K296" s="445">
        <f t="shared" si="72"/>
        <v>0</v>
      </c>
      <c r="L296" s="445">
        <f t="shared" si="72"/>
        <v>0</v>
      </c>
      <c r="M296" s="445">
        <f>SUM(M301,M315,M320,M325,M330,M335,M340,M345)+M310+M305</f>
        <v>24153</v>
      </c>
      <c r="N296" s="441">
        <f>SUM(N301,N315,N320,N325,N330,N335,N340,N345)+N310+N305</f>
        <v>0</v>
      </c>
    </row>
    <row r="297" spans="1:16" s="1213" customFormat="1" ht="18" customHeight="1" x14ac:dyDescent="0.3">
      <c r="A297" s="590">
        <v>288</v>
      </c>
      <c r="B297" s="1208"/>
      <c r="C297" s="1209"/>
      <c r="D297" s="1338" t="s">
        <v>963</v>
      </c>
      <c r="E297" s="1211"/>
      <c r="F297" s="1211"/>
      <c r="G297" s="1786"/>
      <c r="H297" s="1212"/>
      <c r="I297" s="1341">
        <f t="shared" si="71"/>
        <v>0</v>
      </c>
      <c r="J297" s="185">
        <f>J302+J311+J316+J321+J326+J331+J336+J341+J346+J306</f>
        <v>0</v>
      </c>
      <c r="K297" s="185">
        <f t="shared" ref="K297:N297" si="73">K302+K311+K316+K321+K326+K331+K336+K341+K346+K306</f>
        <v>0</v>
      </c>
      <c r="L297" s="185">
        <f t="shared" si="73"/>
        <v>0</v>
      </c>
      <c r="M297" s="185">
        <f t="shared" si="73"/>
        <v>0</v>
      </c>
      <c r="N297" s="186">
        <f t="shared" si="73"/>
        <v>0</v>
      </c>
    </row>
    <row r="298" spans="1:16" s="1213" customFormat="1" ht="18" customHeight="1" x14ac:dyDescent="0.3">
      <c r="A298" s="590">
        <v>289</v>
      </c>
      <c r="B298" s="1208"/>
      <c r="C298" s="1209"/>
      <c r="D298" s="583" t="s">
        <v>1151</v>
      </c>
      <c r="E298" s="1211"/>
      <c r="F298" s="1211"/>
      <c r="G298" s="1786"/>
      <c r="H298" s="1212"/>
      <c r="I298" s="573">
        <f t="shared" si="71"/>
        <v>24153</v>
      </c>
      <c r="J298" s="445">
        <f>SUM(J296:J297)</f>
        <v>0</v>
      </c>
      <c r="K298" s="445">
        <f t="shared" ref="K298:N298" si="74">SUM(K296:K297)</f>
        <v>0</v>
      </c>
      <c r="L298" s="445">
        <f t="shared" si="74"/>
        <v>0</v>
      </c>
      <c r="M298" s="445">
        <f t="shared" si="74"/>
        <v>24153</v>
      </c>
      <c r="N298" s="441">
        <f t="shared" si="74"/>
        <v>0</v>
      </c>
    </row>
    <row r="299" spans="1:16" s="622" customFormat="1" ht="18" customHeight="1" x14ac:dyDescent="0.3">
      <c r="A299" s="590">
        <v>290</v>
      </c>
      <c r="B299" s="173"/>
      <c r="C299" s="166"/>
      <c r="D299" s="442" t="s">
        <v>292</v>
      </c>
      <c r="E299" s="174">
        <v>2100</v>
      </c>
      <c r="F299" s="174">
        <v>2500</v>
      </c>
      <c r="G299" s="1787">
        <v>2021</v>
      </c>
      <c r="H299" s="606" t="s">
        <v>23</v>
      </c>
      <c r="I299" s="575"/>
      <c r="J299" s="185"/>
      <c r="K299" s="185"/>
      <c r="L299" s="185"/>
      <c r="M299" s="185"/>
      <c r="N299" s="186"/>
      <c r="P299" s="623"/>
    </row>
    <row r="300" spans="1:16" s="1231" customFormat="1" ht="18" customHeight="1" x14ac:dyDescent="0.3">
      <c r="A300" s="590">
        <v>291</v>
      </c>
      <c r="B300" s="1220"/>
      <c r="C300" s="1209"/>
      <c r="D300" s="1229" t="s">
        <v>311</v>
      </c>
      <c r="E300" s="1222"/>
      <c r="F300" s="1222"/>
      <c r="G300" s="1790"/>
      <c r="H300" s="1223"/>
      <c r="I300" s="1206">
        <f>SUM(J300:N300)</f>
        <v>2125</v>
      </c>
      <c r="J300" s="1224"/>
      <c r="K300" s="1224"/>
      <c r="L300" s="1224"/>
      <c r="M300" s="1224">
        <v>2125</v>
      </c>
      <c r="N300" s="1225"/>
      <c r="P300" s="1232"/>
    </row>
    <row r="301" spans="1:16" s="1231" customFormat="1" ht="18" customHeight="1" x14ac:dyDescent="0.3">
      <c r="A301" s="590">
        <v>292</v>
      </c>
      <c r="B301" s="1220"/>
      <c r="C301" s="1209"/>
      <c r="D301" s="1344" t="s">
        <v>1072</v>
      </c>
      <c r="E301" s="1222"/>
      <c r="F301" s="1222"/>
      <c r="G301" s="1790"/>
      <c r="H301" s="1223"/>
      <c r="I301" s="575">
        <f t="shared" ref="I301:I307" si="75">SUM(J301:N301)</f>
        <v>2125</v>
      </c>
      <c r="J301" s="1224"/>
      <c r="K301" s="1224"/>
      <c r="L301" s="1224"/>
      <c r="M301" s="1342">
        <v>2125</v>
      </c>
      <c r="N301" s="1225"/>
      <c r="P301" s="1232"/>
    </row>
    <row r="302" spans="1:16" s="1231" customFormat="1" ht="18" customHeight="1" x14ac:dyDescent="0.3">
      <c r="A302" s="590">
        <v>293</v>
      </c>
      <c r="B302" s="1220"/>
      <c r="C302" s="1209"/>
      <c r="D302" s="1345" t="s">
        <v>963</v>
      </c>
      <c r="E302" s="1222"/>
      <c r="F302" s="1222"/>
      <c r="G302" s="1790"/>
      <c r="H302" s="1223"/>
      <c r="I302" s="1341">
        <f t="shared" si="75"/>
        <v>0</v>
      </c>
      <c r="J302" s="185"/>
      <c r="K302" s="185"/>
      <c r="L302" s="185"/>
      <c r="M302" s="185"/>
      <c r="N302" s="186"/>
      <c r="P302" s="1232"/>
    </row>
    <row r="303" spans="1:16" s="1231" customFormat="1" ht="18" customHeight="1" x14ac:dyDescent="0.3">
      <c r="A303" s="590">
        <v>294</v>
      </c>
      <c r="B303" s="1220"/>
      <c r="C303" s="1209"/>
      <c r="D303" s="1344" t="s">
        <v>1151</v>
      </c>
      <c r="E303" s="1222"/>
      <c r="F303" s="1222"/>
      <c r="G303" s="1790"/>
      <c r="H303" s="1223"/>
      <c r="I303" s="575">
        <f t="shared" si="75"/>
        <v>2125</v>
      </c>
      <c r="J303" s="1342"/>
      <c r="K303" s="1342"/>
      <c r="L303" s="1342"/>
      <c r="M303" s="1342">
        <f>SUM(M301:M302)</f>
        <v>2125</v>
      </c>
      <c r="N303" s="1343"/>
      <c r="P303" s="1232"/>
    </row>
    <row r="304" spans="1:16" s="1231" customFormat="1" ht="18" customHeight="1" x14ac:dyDescent="0.3">
      <c r="A304" s="590">
        <v>295</v>
      </c>
      <c r="B304" s="1220"/>
      <c r="C304" s="1209"/>
      <c r="D304" s="443" t="s">
        <v>1035</v>
      </c>
      <c r="E304" s="1222"/>
      <c r="F304" s="1222"/>
      <c r="G304" s="1790"/>
      <c r="H304" s="606" t="s">
        <v>24</v>
      </c>
      <c r="I304" s="575"/>
      <c r="J304" s="1342"/>
      <c r="K304" s="1342"/>
      <c r="L304" s="1342"/>
      <c r="M304" s="1342"/>
      <c r="N304" s="1343"/>
      <c r="P304" s="1232"/>
    </row>
    <row r="305" spans="1:16" s="1231" customFormat="1" ht="18" customHeight="1" x14ac:dyDescent="0.3">
      <c r="A305" s="590">
        <v>296</v>
      </c>
      <c r="B305" s="1220"/>
      <c r="C305" s="1209"/>
      <c r="D305" s="1344" t="s">
        <v>1072</v>
      </c>
      <c r="E305" s="1222"/>
      <c r="F305" s="1222"/>
      <c r="G305" s="1790"/>
      <c r="H305" s="606"/>
      <c r="I305" s="575">
        <f t="shared" si="75"/>
        <v>8500</v>
      </c>
      <c r="J305" s="1342"/>
      <c r="K305" s="1342"/>
      <c r="L305" s="1342"/>
      <c r="M305" s="1342">
        <v>8500</v>
      </c>
      <c r="N305" s="1343"/>
      <c r="P305" s="1232"/>
    </row>
    <row r="306" spans="1:16" s="1231" customFormat="1" ht="18" customHeight="1" x14ac:dyDescent="0.3">
      <c r="A306" s="590">
        <v>297</v>
      </c>
      <c r="B306" s="1220"/>
      <c r="C306" s="1209"/>
      <c r="D306" s="1345" t="s">
        <v>986</v>
      </c>
      <c r="E306" s="1222"/>
      <c r="F306" s="1222"/>
      <c r="G306" s="1790"/>
      <c r="H306" s="1223"/>
      <c r="I306" s="1341">
        <f t="shared" si="75"/>
        <v>0</v>
      </c>
      <c r="J306" s="1342"/>
      <c r="K306" s="1342"/>
      <c r="L306" s="1342"/>
      <c r="M306" s="168"/>
      <c r="N306" s="1343"/>
      <c r="P306" s="1232"/>
    </row>
    <row r="307" spans="1:16" s="1231" customFormat="1" ht="18" customHeight="1" x14ac:dyDescent="0.3">
      <c r="A307" s="590">
        <v>298</v>
      </c>
      <c r="B307" s="1220"/>
      <c r="C307" s="1209"/>
      <c r="D307" s="1344" t="s">
        <v>1151</v>
      </c>
      <c r="E307" s="1222"/>
      <c r="F307" s="1222"/>
      <c r="G307" s="1790"/>
      <c r="H307" s="1223"/>
      <c r="I307" s="575">
        <f t="shared" si="75"/>
        <v>8500</v>
      </c>
      <c r="J307" s="1342"/>
      <c r="K307" s="1342"/>
      <c r="L307" s="1342"/>
      <c r="M307" s="1342">
        <f>SUM(M305:M306)</f>
        <v>8500</v>
      </c>
      <c r="N307" s="1343"/>
      <c r="P307" s="1232"/>
    </row>
    <row r="308" spans="1:16" s="622" customFormat="1" ht="18" customHeight="1" x14ac:dyDescent="0.3">
      <c r="A308" s="590">
        <v>299</v>
      </c>
      <c r="B308" s="173"/>
      <c r="C308" s="166"/>
      <c r="D308" s="443" t="s">
        <v>621</v>
      </c>
      <c r="E308" s="174"/>
      <c r="F308" s="174">
        <v>12500</v>
      </c>
      <c r="G308" s="1787">
        <v>302</v>
      </c>
      <c r="H308" s="606" t="s">
        <v>24</v>
      </c>
      <c r="I308" s="575"/>
      <c r="J308" s="185"/>
      <c r="K308" s="185"/>
      <c r="L308" s="185"/>
      <c r="M308" s="185"/>
      <c r="N308" s="186"/>
      <c r="P308" s="623"/>
    </row>
    <row r="309" spans="1:16" s="1231" customFormat="1" ht="18" customHeight="1" x14ac:dyDescent="0.3">
      <c r="A309" s="590">
        <v>300</v>
      </c>
      <c r="B309" s="1220"/>
      <c r="C309" s="1209"/>
      <c r="D309" s="1229" t="s">
        <v>311</v>
      </c>
      <c r="E309" s="1222"/>
      <c r="F309" s="1222"/>
      <c r="G309" s="1790"/>
      <c r="H309" s="1223"/>
      <c r="I309" s="1206">
        <f>SUM(J309:N309)</f>
        <v>4675</v>
      </c>
      <c r="J309" s="1224"/>
      <c r="K309" s="1224"/>
      <c r="L309" s="1224"/>
      <c r="M309" s="1224">
        <v>4675</v>
      </c>
      <c r="N309" s="1225"/>
      <c r="P309" s="1232"/>
    </row>
    <row r="310" spans="1:16" s="1231" customFormat="1" ht="18" customHeight="1" x14ac:dyDescent="0.3">
      <c r="A310" s="590">
        <v>301</v>
      </c>
      <c r="B310" s="1220"/>
      <c r="C310" s="1209"/>
      <c r="D310" s="1344" t="s">
        <v>1072</v>
      </c>
      <c r="E310" s="1222"/>
      <c r="F310" s="1222"/>
      <c r="G310" s="1790"/>
      <c r="H310" s="1223"/>
      <c r="I310" s="575">
        <f t="shared" ref="I310" si="76">SUM(J310:N310)</f>
        <v>2775</v>
      </c>
      <c r="J310" s="1224"/>
      <c r="K310" s="1224"/>
      <c r="L310" s="1224"/>
      <c r="M310" s="1342">
        <v>2775</v>
      </c>
      <c r="N310" s="1225"/>
      <c r="P310" s="1232"/>
    </row>
    <row r="311" spans="1:16" s="1231" customFormat="1" ht="18" customHeight="1" x14ac:dyDescent="0.3">
      <c r="A311" s="590">
        <v>302</v>
      </c>
      <c r="B311" s="1220"/>
      <c r="C311" s="1209"/>
      <c r="D311" s="1345" t="s">
        <v>987</v>
      </c>
      <c r="E311" s="1222"/>
      <c r="F311" s="1222"/>
      <c r="G311" s="1790"/>
      <c r="H311" s="1223"/>
      <c r="I311" s="1341">
        <f t="shared" ref="I311:I312" si="77">SUM(J311:N311)</f>
        <v>0</v>
      </c>
      <c r="J311" s="185"/>
      <c r="K311" s="185"/>
      <c r="L311" s="185"/>
      <c r="M311" s="185"/>
      <c r="N311" s="186"/>
      <c r="P311" s="1232"/>
    </row>
    <row r="312" spans="1:16" s="1231" customFormat="1" ht="18" customHeight="1" x14ac:dyDescent="0.3">
      <c r="A312" s="590">
        <v>303</v>
      </c>
      <c r="B312" s="1220"/>
      <c r="C312" s="1209"/>
      <c r="D312" s="1344" t="s">
        <v>1151</v>
      </c>
      <c r="E312" s="1222"/>
      <c r="F312" s="1222"/>
      <c r="G312" s="1790"/>
      <c r="H312" s="1223"/>
      <c r="I312" s="575">
        <f t="shared" si="77"/>
        <v>2775</v>
      </c>
      <c r="J312" s="1342"/>
      <c r="K312" s="1342"/>
      <c r="L312" s="1342"/>
      <c r="M312" s="1342">
        <f>SUM(M310:M311)</f>
        <v>2775</v>
      </c>
      <c r="N312" s="1343"/>
      <c r="P312" s="1232"/>
    </row>
    <row r="313" spans="1:16" s="622" customFormat="1" ht="18" customHeight="1" x14ac:dyDescent="0.3">
      <c r="A313" s="590">
        <v>304</v>
      </c>
      <c r="B313" s="173"/>
      <c r="C313" s="166"/>
      <c r="D313" s="443" t="s">
        <v>444</v>
      </c>
      <c r="E313" s="174">
        <v>6360</v>
      </c>
      <c r="F313" s="174">
        <v>8000</v>
      </c>
      <c r="G313" s="1787">
        <v>6288</v>
      </c>
      <c r="H313" s="606" t="s">
        <v>24</v>
      </c>
      <c r="I313" s="576"/>
      <c r="J313" s="175"/>
      <c r="K313" s="175"/>
      <c r="L313" s="175"/>
      <c r="M313" s="175"/>
      <c r="N313" s="176"/>
      <c r="P313" s="623"/>
    </row>
    <row r="314" spans="1:16" s="1231" customFormat="1" ht="18" customHeight="1" x14ac:dyDescent="0.3">
      <c r="A314" s="590">
        <v>305</v>
      </c>
      <c r="B314" s="1220"/>
      <c r="C314" s="1209"/>
      <c r="D314" s="1229" t="s">
        <v>311</v>
      </c>
      <c r="E314" s="1222"/>
      <c r="F314" s="1222"/>
      <c r="G314" s="1790"/>
      <c r="H314" s="1223"/>
      <c r="I314" s="1206">
        <f>SUM(J314:N314)</f>
        <v>6800</v>
      </c>
      <c r="J314" s="1224"/>
      <c r="K314" s="1224"/>
      <c r="L314" s="1224"/>
      <c r="M314" s="1224">
        <v>6800</v>
      </c>
      <c r="N314" s="1225"/>
      <c r="P314" s="1232"/>
    </row>
    <row r="315" spans="1:16" s="1231" customFormat="1" ht="18" customHeight="1" x14ac:dyDescent="0.3">
      <c r="A315" s="590">
        <v>306</v>
      </c>
      <c r="B315" s="1220"/>
      <c r="C315" s="1209"/>
      <c r="D315" s="1344" t="s">
        <v>1072</v>
      </c>
      <c r="E315" s="1222"/>
      <c r="F315" s="1222"/>
      <c r="G315" s="1790"/>
      <c r="H315" s="1223"/>
      <c r="I315" s="575">
        <f t="shared" ref="I315" si="78">SUM(J315:N315)</f>
        <v>6800</v>
      </c>
      <c r="J315" s="1224"/>
      <c r="K315" s="1224"/>
      <c r="L315" s="1224"/>
      <c r="M315" s="1342">
        <v>6800</v>
      </c>
      <c r="N315" s="1225"/>
      <c r="P315" s="1232"/>
    </row>
    <row r="316" spans="1:16" s="1231" customFormat="1" ht="18" customHeight="1" x14ac:dyDescent="0.3">
      <c r="A316" s="590">
        <v>307</v>
      </c>
      <c r="B316" s="1220"/>
      <c r="C316" s="1209"/>
      <c r="D316" s="1345" t="s">
        <v>963</v>
      </c>
      <c r="E316" s="1222"/>
      <c r="F316" s="1222"/>
      <c r="G316" s="1790"/>
      <c r="H316" s="1223"/>
      <c r="I316" s="1341">
        <f t="shared" ref="I316:I317" si="79">SUM(J316:N316)</f>
        <v>0</v>
      </c>
      <c r="J316" s="185"/>
      <c r="K316" s="185"/>
      <c r="L316" s="185"/>
      <c r="M316" s="185"/>
      <c r="N316" s="186"/>
      <c r="P316" s="1232"/>
    </row>
    <row r="317" spans="1:16" s="1231" customFormat="1" ht="18" customHeight="1" x14ac:dyDescent="0.3">
      <c r="A317" s="590">
        <v>308</v>
      </c>
      <c r="B317" s="1220"/>
      <c r="C317" s="1209"/>
      <c r="D317" s="1344" t="s">
        <v>1151</v>
      </c>
      <c r="E317" s="1222"/>
      <c r="F317" s="1222"/>
      <c r="G317" s="1790"/>
      <c r="H317" s="1223"/>
      <c r="I317" s="575">
        <f t="shared" si="79"/>
        <v>6800</v>
      </c>
      <c r="J317" s="1342"/>
      <c r="K317" s="1342"/>
      <c r="L317" s="1342"/>
      <c r="M317" s="1342">
        <f>SUM(M315:M316)</f>
        <v>6800</v>
      </c>
      <c r="N317" s="1343"/>
      <c r="P317" s="1232"/>
    </row>
    <row r="318" spans="1:16" s="622" customFormat="1" ht="18" customHeight="1" x14ac:dyDescent="0.3">
      <c r="A318" s="590">
        <v>309</v>
      </c>
      <c r="B318" s="173"/>
      <c r="C318" s="166"/>
      <c r="D318" s="443" t="s">
        <v>445</v>
      </c>
      <c r="E318" s="174"/>
      <c r="F318" s="174">
        <v>100</v>
      </c>
      <c r="G318" s="1787"/>
      <c r="H318" s="606" t="s">
        <v>24</v>
      </c>
      <c r="I318" s="576"/>
      <c r="J318" s="175"/>
      <c r="K318" s="175"/>
      <c r="L318" s="175"/>
      <c r="M318" s="175"/>
      <c r="N318" s="176"/>
      <c r="P318" s="623"/>
    </row>
    <row r="319" spans="1:16" s="1231" customFormat="1" ht="18" customHeight="1" x14ac:dyDescent="0.3">
      <c r="A319" s="590">
        <v>310</v>
      </c>
      <c r="B319" s="1220"/>
      <c r="C319" s="1209"/>
      <c r="D319" s="1229" t="s">
        <v>311</v>
      </c>
      <c r="E319" s="1222"/>
      <c r="F319" s="1222"/>
      <c r="G319" s="1790"/>
      <c r="H319" s="1223"/>
      <c r="I319" s="1206">
        <f>SUM(J319:N319)</f>
        <v>85</v>
      </c>
      <c r="J319" s="1224"/>
      <c r="K319" s="1224"/>
      <c r="L319" s="1224"/>
      <c r="M319" s="1224">
        <v>85</v>
      </c>
      <c r="N319" s="1225"/>
      <c r="P319" s="1232"/>
    </row>
    <row r="320" spans="1:16" s="1231" customFormat="1" ht="18" customHeight="1" x14ac:dyDescent="0.3">
      <c r="A320" s="590">
        <v>311</v>
      </c>
      <c r="B320" s="1220"/>
      <c r="C320" s="1209"/>
      <c r="D320" s="1344" t="s">
        <v>1072</v>
      </c>
      <c r="E320" s="1222"/>
      <c r="F320" s="1222"/>
      <c r="G320" s="1790"/>
      <c r="H320" s="1223"/>
      <c r="I320" s="575">
        <f t="shared" ref="I320" si="80">SUM(J320:N320)</f>
        <v>85</v>
      </c>
      <c r="J320" s="1224"/>
      <c r="K320" s="1224"/>
      <c r="L320" s="1224"/>
      <c r="M320" s="1342">
        <v>85</v>
      </c>
      <c r="N320" s="1225"/>
      <c r="P320" s="1232"/>
    </row>
    <row r="321" spans="1:16" s="1231" customFormat="1" ht="18" customHeight="1" x14ac:dyDescent="0.3">
      <c r="A321" s="590">
        <v>312</v>
      </c>
      <c r="B321" s="1220"/>
      <c r="C321" s="1209"/>
      <c r="D321" s="1345" t="s">
        <v>963</v>
      </c>
      <c r="E321" s="1222"/>
      <c r="F321" s="1222"/>
      <c r="G321" s="1790"/>
      <c r="H321" s="1223"/>
      <c r="I321" s="1341">
        <f t="shared" ref="I321:I322" si="81">SUM(J321:N321)</f>
        <v>0</v>
      </c>
      <c r="J321" s="185"/>
      <c r="K321" s="185"/>
      <c r="L321" s="185"/>
      <c r="M321" s="185"/>
      <c r="N321" s="186"/>
      <c r="P321" s="1232"/>
    </row>
    <row r="322" spans="1:16" s="1231" customFormat="1" ht="18" customHeight="1" x14ac:dyDescent="0.3">
      <c r="A322" s="590">
        <v>313</v>
      </c>
      <c r="B322" s="1220"/>
      <c r="C322" s="1209"/>
      <c r="D322" s="1344" t="s">
        <v>1151</v>
      </c>
      <c r="E322" s="1222"/>
      <c r="F322" s="1222"/>
      <c r="G322" s="1790"/>
      <c r="H322" s="1223"/>
      <c r="I322" s="575">
        <f t="shared" si="81"/>
        <v>85</v>
      </c>
      <c r="J322" s="1342"/>
      <c r="K322" s="1342"/>
      <c r="L322" s="1342"/>
      <c r="M322" s="1342">
        <f>SUM(M320:M321)</f>
        <v>85</v>
      </c>
      <c r="N322" s="1343"/>
      <c r="P322" s="1232"/>
    </row>
    <row r="323" spans="1:16" s="622" customFormat="1" ht="18" customHeight="1" x14ac:dyDescent="0.3">
      <c r="A323" s="590">
        <v>314</v>
      </c>
      <c r="B323" s="173"/>
      <c r="C323" s="166"/>
      <c r="D323" s="443" t="s">
        <v>446</v>
      </c>
      <c r="E323" s="174">
        <v>1215</v>
      </c>
      <c r="F323" s="174">
        <v>2000</v>
      </c>
      <c r="G323" s="1787">
        <v>1320</v>
      </c>
      <c r="H323" s="606" t="s">
        <v>24</v>
      </c>
      <c r="I323" s="576"/>
      <c r="J323" s="175"/>
      <c r="K323" s="175"/>
      <c r="L323" s="175"/>
      <c r="M323" s="175"/>
      <c r="N323" s="176"/>
      <c r="P323" s="623"/>
    </row>
    <row r="324" spans="1:16" s="1231" customFormat="1" ht="18" customHeight="1" x14ac:dyDescent="0.3">
      <c r="A324" s="590">
        <v>315</v>
      </c>
      <c r="B324" s="1220"/>
      <c r="C324" s="1209"/>
      <c r="D324" s="1229" t="s">
        <v>311</v>
      </c>
      <c r="E324" s="1222"/>
      <c r="F324" s="1222"/>
      <c r="G324" s="1790"/>
      <c r="H324" s="1223"/>
      <c r="I324" s="1206">
        <f>SUM(J324:N324)</f>
        <v>1700</v>
      </c>
      <c r="J324" s="1224"/>
      <c r="K324" s="1224"/>
      <c r="L324" s="1224"/>
      <c r="M324" s="1224">
        <v>1700</v>
      </c>
      <c r="N324" s="1225"/>
      <c r="P324" s="1232"/>
    </row>
    <row r="325" spans="1:16" s="1231" customFormat="1" ht="18" customHeight="1" x14ac:dyDescent="0.3">
      <c r="A325" s="590">
        <v>316</v>
      </c>
      <c r="B325" s="1220"/>
      <c r="C325" s="1209"/>
      <c r="D325" s="1344" t="s">
        <v>1072</v>
      </c>
      <c r="E325" s="1222"/>
      <c r="F325" s="1222"/>
      <c r="G325" s="1790"/>
      <c r="H325" s="1223"/>
      <c r="I325" s="575">
        <f t="shared" ref="I325" si="82">SUM(J325:N325)</f>
        <v>1700</v>
      </c>
      <c r="J325" s="1224"/>
      <c r="K325" s="1224"/>
      <c r="L325" s="1224"/>
      <c r="M325" s="1342">
        <v>1700</v>
      </c>
      <c r="N325" s="1225"/>
      <c r="P325" s="1232"/>
    </row>
    <row r="326" spans="1:16" s="1231" customFormat="1" ht="18" customHeight="1" x14ac:dyDescent="0.3">
      <c r="A326" s="590">
        <v>317</v>
      </c>
      <c r="B326" s="1220"/>
      <c r="C326" s="1209"/>
      <c r="D326" s="1345" t="s">
        <v>963</v>
      </c>
      <c r="E326" s="1222"/>
      <c r="F326" s="1222"/>
      <c r="G326" s="1790"/>
      <c r="H326" s="1223"/>
      <c r="I326" s="1341">
        <f t="shared" ref="I326:I327" si="83">SUM(J326:N326)</f>
        <v>0</v>
      </c>
      <c r="J326" s="185"/>
      <c r="K326" s="185"/>
      <c r="L326" s="185"/>
      <c r="M326" s="185"/>
      <c r="N326" s="186"/>
      <c r="P326" s="1232"/>
    </row>
    <row r="327" spans="1:16" s="1231" customFormat="1" ht="18" customHeight="1" x14ac:dyDescent="0.3">
      <c r="A327" s="590">
        <v>318</v>
      </c>
      <c r="B327" s="1220"/>
      <c r="C327" s="1209"/>
      <c r="D327" s="1344" t="s">
        <v>1151</v>
      </c>
      <c r="E327" s="1222"/>
      <c r="F327" s="1222"/>
      <c r="G327" s="1790"/>
      <c r="H327" s="1223"/>
      <c r="I327" s="575">
        <f t="shared" si="83"/>
        <v>1700</v>
      </c>
      <c r="J327" s="1342"/>
      <c r="K327" s="1342"/>
      <c r="L327" s="1342"/>
      <c r="M327" s="1342">
        <f>SUM(M325:M326)</f>
        <v>1700</v>
      </c>
      <c r="N327" s="1225"/>
      <c r="P327" s="1232"/>
    </row>
    <row r="328" spans="1:16" s="622" customFormat="1" ht="18" customHeight="1" x14ac:dyDescent="0.3">
      <c r="A328" s="590">
        <v>319</v>
      </c>
      <c r="B328" s="173"/>
      <c r="C328" s="166"/>
      <c r="D328" s="443" t="s">
        <v>447</v>
      </c>
      <c r="E328" s="174"/>
      <c r="F328" s="174">
        <v>50</v>
      </c>
      <c r="G328" s="1787"/>
      <c r="H328" s="606" t="s">
        <v>24</v>
      </c>
      <c r="I328" s="576"/>
      <c r="J328" s="175"/>
      <c r="K328" s="175"/>
      <c r="L328" s="175"/>
      <c r="M328" s="175"/>
      <c r="N328" s="176"/>
      <c r="P328" s="623"/>
    </row>
    <row r="329" spans="1:16" s="1231" customFormat="1" ht="18" customHeight="1" x14ac:dyDescent="0.3">
      <c r="A329" s="590">
        <v>320</v>
      </c>
      <c r="B329" s="1220"/>
      <c r="C329" s="1209"/>
      <c r="D329" s="1229" t="s">
        <v>311</v>
      </c>
      <c r="E329" s="1222"/>
      <c r="F329" s="1222"/>
      <c r="G329" s="1790"/>
      <c r="H329" s="1223"/>
      <c r="I329" s="1206">
        <f>SUM(J329:N329)</f>
        <v>43</v>
      </c>
      <c r="J329" s="1224"/>
      <c r="K329" s="1224"/>
      <c r="L329" s="1224"/>
      <c r="M329" s="1224">
        <v>43</v>
      </c>
      <c r="N329" s="1225"/>
      <c r="P329" s="1232"/>
    </row>
    <row r="330" spans="1:16" s="1231" customFormat="1" ht="18" customHeight="1" x14ac:dyDescent="0.3">
      <c r="A330" s="590">
        <v>321</v>
      </c>
      <c r="B330" s="1220"/>
      <c r="C330" s="1209"/>
      <c r="D330" s="1344" t="s">
        <v>1072</v>
      </c>
      <c r="E330" s="1222"/>
      <c r="F330" s="1222"/>
      <c r="G330" s="1790"/>
      <c r="H330" s="1223"/>
      <c r="I330" s="575">
        <f t="shared" ref="I330" si="84">SUM(J330:N330)</f>
        <v>43</v>
      </c>
      <c r="J330" s="1224"/>
      <c r="K330" s="1224"/>
      <c r="L330" s="1224"/>
      <c r="M330" s="1342">
        <v>43</v>
      </c>
      <c r="N330" s="1225"/>
      <c r="P330" s="1232"/>
    </row>
    <row r="331" spans="1:16" s="1231" customFormat="1" ht="18" customHeight="1" x14ac:dyDescent="0.3">
      <c r="A331" s="590">
        <v>322</v>
      </c>
      <c r="B331" s="1220"/>
      <c r="C331" s="1209"/>
      <c r="D331" s="1345" t="s">
        <v>963</v>
      </c>
      <c r="E331" s="1222"/>
      <c r="F331" s="1222"/>
      <c r="G331" s="1790"/>
      <c r="H331" s="1223"/>
      <c r="I331" s="1341">
        <f t="shared" ref="I331:I332" si="85">SUM(J331:N331)</f>
        <v>0</v>
      </c>
      <c r="J331" s="185"/>
      <c r="K331" s="185"/>
      <c r="L331" s="185"/>
      <c r="M331" s="185"/>
      <c r="N331" s="186"/>
      <c r="P331" s="1232"/>
    </row>
    <row r="332" spans="1:16" s="1231" customFormat="1" ht="18" customHeight="1" x14ac:dyDescent="0.3">
      <c r="A332" s="590">
        <v>323</v>
      </c>
      <c r="B332" s="1220"/>
      <c r="C332" s="1209"/>
      <c r="D332" s="1344" t="s">
        <v>1151</v>
      </c>
      <c r="E332" s="1222"/>
      <c r="F332" s="1222"/>
      <c r="G332" s="1790"/>
      <c r="H332" s="1223"/>
      <c r="I332" s="575">
        <f t="shared" si="85"/>
        <v>43</v>
      </c>
      <c r="J332" s="1342"/>
      <c r="K332" s="1342"/>
      <c r="L332" s="1342"/>
      <c r="M332" s="1342">
        <f>SUM(M330:M331)</f>
        <v>43</v>
      </c>
      <c r="N332" s="1343"/>
      <c r="P332" s="1232"/>
    </row>
    <row r="333" spans="1:16" s="622" customFormat="1" ht="18" customHeight="1" x14ac:dyDescent="0.3">
      <c r="A333" s="590">
        <v>324</v>
      </c>
      <c r="B333" s="173"/>
      <c r="C333" s="166"/>
      <c r="D333" s="443" t="s">
        <v>448</v>
      </c>
      <c r="E333" s="174">
        <v>1080</v>
      </c>
      <c r="F333" s="174">
        <v>1500</v>
      </c>
      <c r="G333" s="1787">
        <v>1320</v>
      </c>
      <c r="H333" s="606" t="s">
        <v>24</v>
      </c>
      <c r="I333" s="576"/>
      <c r="J333" s="175"/>
      <c r="K333" s="175"/>
      <c r="L333" s="175"/>
      <c r="M333" s="175"/>
      <c r="N333" s="176"/>
      <c r="P333" s="623"/>
    </row>
    <row r="334" spans="1:16" s="1231" customFormat="1" ht="18" customHeight="1" x14ac:dyDescent="0.3">
      <c r="A334" s="590">
        <v>325</v>
      </c>
      <c r="B334" s="1220"/>
      <c r="C334" s="1209"/>
      <c r="D334" s="1229" t="s">
        <v>311</v>
      </c>
      <c r="E334" s="1222"/>
      <c r="F334" s="1222"/>
      <c r="G334" s="1790"/>
      <c r="H334" s="1223"/>
      <c r="I334" s="1206">
        <f>SUM(J334:N334)</f>
        <v>1275</v>
      </c>
      <c r="J334" s="1224"/>
      <c r="K334" s="1224"/>
      <c r="L334" s="1224"/>
      <c r="M334" s="1224">
        <v>1275</v>
      </c>
      <c r="N334" s="1225"/>
      <c r="P334" s="1232"/>
    </row>
    <row r="335" spans="1:16" s="1231" customFormat="1" ht="18" customHeight="1" x14ac:dyDescent="0.3">
      <c r="A335" s="590">
        <v>326</v>
      </c>
      <c r="B335" s="1220"/>
      <c r="C335" s="1209"/>
      <c r="D335" s="1344" t="s">
        <v>1072</v>
      </c>
      <c r="E335" s="1222"/>
      <c r="F335" s="1222"/>
      <c r="G335" s="1790"/>
      <c r="H335" s="1223"/>
      <c r="I335" s="575">
        <f t="shared" ref="I335" si="86">SUM(J335:N335)</f>
        <v>1275</v>
      </c>
      <c r="J335" s="1224"/>
      <c r="K335" s="1224"/>
      <c r="L335" s="1224"/>
      <c r="M335" s="1342">
        <v>1275</v>
      </c>
      <c r="N335" s="1225"/>
      <c r="P335" s="1232"/>
    </row>
    <row r="336" spans="1:16" s="1231" customFormat="1" ht="18" customHeight="1" x14ac:dyDescent="0.3">
      <c r="A336" s="590">
        <v>327</v>
      </c>
      <c r="B336" s="1220"/>
      <c r="C336" s="1209"/>
      <c r="D336" s="1345" t="s">
        <v>963</v>
      </c>
      <c r="E336" s="1222"/>
      <c r="F336" s="1222"/>
      <c r="G336" s="1790"/>
      <c r="H336" s="1223"/>
      <c r="I336" s="1341">
        <f t="shared" ref="I336:I337" si="87">SUM(J336:N336)</f>
        <v>0</v>
      </c>
      <c r="J336" s="185"/>
      <c r="K336" s="185"/>
      <c r="L336" s="185"/>
      <c r="M336" s="185"/>
      <c r="N336" s="186"/>
      <c r="P336" s="1232"/>
    </row>
    <row r="337" spans="1:16" s="1231" customFormat="1" ht="18" customHeight="1" x14ac:dyDescent="0.3">
      <c r="A337" s="590">
        <v>328</v>
      </c>
      <c r="B337" s="1220"/>
      <c r="C337" s="1209"/>
      <c r="D337" s="1344" t="s">
        <v>1151</v>
      </c>
      <c r="E337" s="1222"/>
      <c r="F337" s="1222"/>
      <c r="G337" s="1790"/>
      <c r="H337" s="1223"/>
      <c r="I337" s="575">
        <f t="shared" si="87"/>
        <v>1275</v>
      </c>
      <c r="J337" s="1342"/>
      <c r="K337" s="1342"/>
      <c r="L337" s="1342"/>
      <c r="M337" s="1342">
        <f>SUM(M335:M336)</f>
        <v>1275</v>
      </c>
      <c r="N337" s="1343"/>
      <c r="P337" s="1232"/>
    </row>
    <row r="338" spans="1:16" s="622" customFormat="1" ht="18" customHeight="1" x14ac:dyDescent="0.3">
      <c r="A338" s="590">
        <v>329</v>
      </c>
      <c r="B338" s="173"/>
      <c r="C338" s="166"/>
      <c r="D338" s="443" t="s">
        <v>449</v>
      </c>
      <c r="E338" s="174"/>
      <c r="F338" s="174">
        <v>400</v>
      </c>
      <c r="G338" s="1787"/>
      <c r="H338" s="606" t="s">
        <v>24</v>
      </c>
      <c r="I338" s="576"/>
      <c r="J338" s="175"/>
      <c r="K338" s="175"/>
      <c r="L338" s="175"/>
      <c r="M338" s="175"/>
      <c r="N338" s="176"/>
      <c r="P338" s="623"/>
    </row>
    <row r="339" spans="1:16" s="1231" customFormat="1" ht="18" customHeight="1" x14ac:dyDescent="0.3">
      <c r="A339" s="590">
        <v>330</v>
      </c>
      <c r="B339" s="1220"/>
      <c r="C339" s="1209"/>
      <c r="D339" s="1229" t="s">
        <v>311</v>
      </c>
      <c r="E339" s="1211"/>
      <c r="F339" s="1222"/>
      <c r="G339" s="1790"/>
      <c r="H339" s="1223"/>
      <c r="I339" s="1206">
        <f>SUM(J339:N339)</f>
        <v>340</v>
      </c>
      <c r="J339" s="1224"/>
      <c r="K339" s="1224"/>
      <c r="L339" s="1224"/>
      <c r="M339" s="1224">
        <v>340</v>
      </c>
      <c r="N339" s="1225"/>
      <c r="P339" s="1232"/>
    </row>
    <row r="340" spans="1:16" s="1231" customFormat="1" ht="18" customHeight="1" x14ac:dyDescent="0.3">
      <c r="A340" s="590">
        <v>331</v>
      </c>
      <c r="B340" s="1220"/>
      <c r="C340" s="1209"/>
      <c r="D340" s="1344" t="s">
        <v>1072</v>
      </c>
      <c r="E340" s="1211"/>
      <c r="F340" s="1222"/>
      <c r="G340" s="1790"/>
      <c r="H340" s="1223"/>
      <c r="I340" s="575">
        <f t="shared" ref="I340" si="88">SUM(J340:N340)</f>
        <v>340</v>
      </c>
      <c r="J340" s="1224"/>
      <c r="K340" s="1224"/>
      <c r="L340" s="1224"/>
      <c r="M340" s="1342">
        <v>340</v>
      </c>
      <c r="N340" s="1225"/>
      <c r="P340" s="1232"/>
    </row>
    <row r="341" spans="1:16" s="1231" customFormat="1" ht="18" customHeight="1" x14ac:dyDescent="0.3">
      <c r="A341" s="590">
        <v>332</v>
      </c>
      <c r="B341" s="1220"/>
      <c r="C341" s="1209"/>
      <c r="D341" s="1345" t="s">
        <v>963</v>
      </c>
      <c r="E341" s="1211"/>
      <c r="F341" s="1222"/>
      <c r="G341" s="1790"/>
      <c r="H341" s="1223"/>
      <c r="I341" s="1341">
        <f t="shared" ref="I341:I342" si="89">SUM(J341:N341)</f>
        <v>0</v>
      </c>
      <c r="J341" s="185"/>
      <c r="K341" s="185"/>
      <c r="L341" s="185"/>
      <c r="M341" s="185"/>
      <c r="N341" s="186"/>
      <c r="P341" s="1232"/>
    </row>
    <row r="342" spans="1:16" s="1231" customFormat="1" ht="18" customHeight="1" x14ac:dyDescent="0.3">
      <c r="A342" s="590">
        <v>333</v>
      </c>
      <c r="B342" s="1220"/>
      <c r="C342" s="1209"/>
      <c r="D342" s="1344" t="s">
        <v>1151</v>
      </c>
      <c r="E342" s="1211"/>
      <c r="F342" s="1222"/>
      <c r="G342" s="1790"/>
      <c r="H342" s="1223"/>
      <c r="I342" s="575">
        <f t="shared" si="89"/>
        <v>340</v>
      </c>
      <c r="J342" s="1342"/>
      <c r="K342" s="1342"/>
      <c r="L342" s="1342"/>
      <c r="M342" s="1342">
        <f>SUM(M340:M341)</f>
        <v>340</v>
      </c>
      <c r="N342" s="1343"/>
      <c r="P342" s="1232"/>
    </row>
    <row r="343" spans="1:16" s="622" customFormat="1" ht="18" customHeight="1" x14ac:dyDescent="0.3">
      <c r="A343" s="590">
        <v>334</v>
      </c>
      <c r="B343" s="173"/>
      <c r="C343" s="166"/>
      <c r="D343" s="443" t="s">
        <v>450</v>
      </c>
      <c r="E343" s="164">
        <v>197</v>
      </c>
      <c r="F343" s="174">
        <v>600</v>
      </c>
      <c r="G343" s="1787">
        <v>42</v>
      </c>
      <c r="H343" s="606" t="s">
        <v>24</v>
      </c>
      <c r="I343" s="575"/>
      <c r="J343" s="185"/>
      <c r="K343" s="185"/>
      <c r="L343" s="185"/>
      <c r="M343" s="185"/>
      <c r="N343" s="186"/>
      <c r="P343" s="623"/>
    </row>
    <row r="344" spans="1:16" s="1231" customFormat="1" ht="18" customHeight="1" x14ac:dyDescent="0.3">
      <c r="A344" s="590">
        <v>335</v>
      </c>
      <c r="B344" s="1220"/>
      <c r="C344" s="1209"/>
      <c r="D344" s="1229" t="s">
        <v>311</v>
      </c>
      <c r="E344" s="1211"/>
      <c r="F344" s="1222"/>
      <c r="G344" s="1790"/>
      <c r="H344" s="1223"/>
      <c r="I344" s="1206">
        <f>SUM(J344:N344)</f>
        <v>510</v>
      </c>
      <c r="J344" s="1224"/>
      <c r="K344" s="1224"/>
      <c r="L344" s="1224"/>
      <c r="M344" s="1224">
        <v>510</v>
      </c>
      <c r="N344" s="1225"/>
      <c r="P344" s="1232"/>
    </row>
    <row r="345" spans="1:16" s="1231" customFormat="1" ht="18" customHeight="1" x14ac:dyDescent="0.3">
      <c r="A345" s="590">
        <v>336</v>
      </c>
      <c r="B345" s="1220"/>
      <c r="C345" s="1209"/>
      <c r="D345" s="1344" t="s">
        <v>1072</v>
      </c>
      <c r="E345" s="1211"/>
      <c r="F345" s="1222"/>
      <c r="G345" s="1790"/>
      <c r="H345" s="1223"/>
      <c r="I345" s="575">
        <f t="shared" ref="I345" si="90">SUM(J345:N345)</f>
        <v>510</v>
      </c>
      <c r="J345" s="1224"/>
      <c r="K345" s="1224"/>
      <c r="L345" s="1224"/>
      <c r="M345" s="1342">
        <v>510</v>
      </c>
      <c r="N345" s="1225"/>
      <c r="P345" s="1232"/>
    </row>
    <row r="346" spans="1:16" s="1231" customFormat="1" ht="18" customHeight="1" x14ac:dyDescent="0.3">
      <c r="A346" s="590">
        <v>337</v>
      </c>
      <c r="B346" s="1220"/>
      <c r="C346" s="1209"/>
      <c r="D346" s="1345" t="s">
        <v>963</v>
      </c>
      <c r="E346" s="1211"/>
      <c r="F346" s="1222"/>
      <c r="G346" s="1790"/>
      <c r="H346" s="1223"/>
      <c r="I346" s="1341">
        <f t="shared" ref="I346:I347" si="91">SUM(J346:N346)</f>
        <v>0</v>
      </c>
      <c r="J346" s="185"/>
      <c r="K346" s="185"/>
      <c r="L346" s="185"/>
      <c r="M346" s="185"/>
      <c r="N346" s="186"/>
      <c r="P346" s="1232"/>
    </row>
    <row r="347" spans="1:16" s="1231" customFormat="1" ht="18" customHeight="1" x14ac:dyDescent="0.3">
      <c r="A347" s="590">
        <v>338</v>
      </c>
      <c r="B347" s="1220"/>
      <c r="C347" s="1209"/>
      <c r="D347" s="1344" t="s">
        <v>1151</v>
      </c>
      <c r="E347" s="1211"/>
      <c r="F347" s="1222"/>
      <c r="G347" s="1790"/>
      <c r="H347" s="1223"/>
      <c r="I347" s="575">
        <f t="shared" si="91"/>
        <v>510</v>
      </c>
      <c r="J347" s="1342"/>
      <c r="K347" s="1342"/>
      <c r="L347" s="1342"/>
      <c r="M347" s="1342">
        <f>SUM(M345:M346)</f>
        <v>510</v>
      </c>
      <c r="N347" s="1343"/>
      <c r="P347" s="1232"/>
    </row>
    <row r="348" spans="1:16" s="3" customFormat="1" ht="22.5" customHeight="1" x14ac:dyDescent="0.3">
      <c r="A348" s="590">
        <v>339</v>
      </c>
      <c r="B348" s="161"/>
      <c r="C348" s="162">
        <v>48</v>
      </c>
      <c r="D348" s="584" t="s">
        <v>74</v>
      </c>
      <c r="E348" s="164">
        <v>4045</v>
      </c>
      <c r="F348" s="164">
        <v>4500</v>
      </c>
      <c r="G348" s="1784">
        <v>2941</v>
      </c>
      <c r="H348" s="605" t="s">
        <v>23</v>
      </c>
      <c r="I348" s="573"/>
      <c r="J348" s="168"/>
      <c r="K348" s="168"/>
      <c r="L348" s="168"/>
      <c r="M348" s="168"/>
      <c r="N348" s="169"/>
      <c r="P348" s="8"/>
    </row>
    <row r="349" spans="1:16" s="1213" customFormat="1" ht="18" customHeight="1" x14ac:dyDescent="0.3">
      <c r="A349" s="590">
        <v>340</v>
      </c>
      <c r="B349" s="1208"/>
      <c r="C349" s="1209"/>
      <c r="D349" s="1210" t="s">
        <v>311</v>
      </c>
      <c r="E349" s="1211"/>
      <c r="F349" s="1211"/>
      <c r="G349" s="1786"/>
      <c r="H349" s="1212"/>
      <c r="I349" s="1203">
        <f>SUM(J349:N349)</f>
        <v>3825</v>
      </c>
      <c r="J349" s="1204"/>
      <c r="K349" s="1204"/>
      <c r="L349" s="1204"/>
      <c r="M349" s="1204">
        <v>3825</v>
      </c>
      <c r="N349" s="1205"/>
    </row>
    <row r="350" spans="1:16" s="1213" customFormat="1" ht="18" customHeight="1" x14ac:dyDescent="0.3">
      <c r="A350" s="590">
        <v>341</v>
      </c>
      <c r="B350" s="1208"/>
      <c r="C350" s="1209"/>
      <c r="D350" s="583" t="s">
        <v>1072</v>
      </c>
      <c r="E350" s="1211"/>
      <c r="F350" s="1211"/>
      <c r="G350" s="1786"/>
      <c r="H350" s="1212"/>
      <c r="I350" s="573">
        <f t="shared" ref="I350:I352" si="92">SUM(J350:N350)</f>
        <v>6175</v>
      </c>
      <c r="J350" s="1204"/>
      <c r="K350" s="1204"/>
      <c r="L350" s="1204"/>
      <c r="M350" s="445">
        <v>6175</v>
      </c>
      <c r="N350" s="1205"/>
    </row>
    <row r="351" spans="1:16" s="1213" customFormat="1" ht="18" customHeight="1" x14ac:dyDescent="0.3">
      <c r="A351" s="590">
        <v>342</v>
      </c>
      <c r="B351" s="1208"/>
      <c r="C351" s="1209"/>
      <c r="D351" s="1338" t="s">
        <v>986</v>
      </c>
      <c r="E351" s="1211"/>
      <c r="F351" s="1211"/>
      <c r="G351" s="1786"/>
      <c r="H351" s="1212"/>
      <c r="I351" s="1341">
        <f t="shared" si="92"/>
        <v>0</v>
      </c>
      <c r="J351" s="185"/>
      <c r="K351" s="185"/>
      <c r="L351" s="185"/>
      <c r="M351" s="185"/>
      <c r="N351" s="186"/>
    </row>
    <row r="352" spans="1:16" s="1213" customFormat="1" ht="18" customHeight="1" x14ac:dyDescent="0.3">
      <c r="A352" s="590">
        <v>343</v>
      </c>
      <c r="B352" s="1208"/>
      <c r="C352" s="1209"/>
      <c r="D352" s="583" t="s">
        <v>1151</v>
      </c>
      <c r="E352" s="1211"/>
      <c r="F352" s="1211"/>
      <c r="G352" s="1786"/>
      <c r="H352" s="1212"/>
      <c r="I352" s="573">
        <f t="shared" si="92"/>
        <v>6175</v>
      </c>
      <c r="J352" s="445"/>
      <c r="K352" s="445"/>
      <c r="L352" s="445"/>
      <c r="M352" s="445">
        <f>SUM(M350:M351)</f>
        <v>6175</v>
      </c>
      <c r="N352" s="441"/>
    </row>
    <row r="353" spans="1:16" s="1821" customFormat="1" ht="22.5" customHeight="1" x14ac:dyDescent="0.35">
      <c r="A353" s="590">
        <v>344</v>
      </c>
      <c r="B353" s="585"/>
      <c r="C353" s="162">
        <v>49</v>
      </c>
      <c r="D353" s="584" t="s">
        <v>75</v>
      </c>
      <c r="E353" s="164">
        <v>8951</v>
      </c>
      <c r="F353" s="164">
        <v>11447</v>
      </c>
      <c r="G353" s="1784">
        <v>9164</v>
      </c>
      <c r="H353" s="605" t="s">
        <v>24</v>
      </c>
      <c r="I353" s="573"/>
      <c r="J353" s="168"/>
      <c r="K353" s="168"/>
      <c r="L353" s="168"/>
      <c r="M353" s="168"/>
      <c r="N353" s="169"/>
      <c r="P353" s="1822"/>
    </row>
    <row r="354" spans="1:16" s="1213" customFormat="1" ht="18" customHeight="1" x14ac:dyDescent="0.3">
      <c r="A354" s="590">
        <v>345</v>
      </c>
      <c r="B354" s="1208"/>
      <c r="C354" s="1209"/>
      <c r="D354" s="1210" t="s">
        <v>311</v>
      </c>
      <c r="E354" s="1211"/>
      <c r="F354" s="1211"/>
      <c r="G354" s="1786"/>
      <c r="H354" s="1212"/>
      <c r="I354" s="1203">
        <f>SUM(J354:N354)</f>
        <v>7650</v>
      </c>
      <c r="J354" s="1204">
        <v>6565</v>
      </c>
      <c r="K354" s="1204">
        <v>938</v>
      </c>
      <c r="L354" s="1204">
        <v>147</v>
      </c>
      <c r="M354" s="1204"/>
      <c r="N354" s="1205"/>
    </row>
    <row r="355" spans="1:16" s="1213" customFormat="1" ht="18" customHeight="1" x14ac:dyDescent="0.3">
      <c r="A355" s="590">
        <v>346</v>
      </c>
      <c r="B355" s="1208"/>
      <c r="C355" s="1209"/>
      <c r="D355" s="583" t="s">
        <v>1072</v>
      </c>
      <c r="E355" s="1211"/>
      <c r="F355" s="1211"/>
      <c r="G355" s="1786"/>
      <c r="H355" s="1212"/>
      <c r="I355" s="573">
        <f>SUM(J355:N355)</f>
        <v>8099</v>
      </c>
      <c r="J355" s="445">
        <v>6565</v>
      </c>
      <c r="K355" s="445">
        <v>938</v>
      </c>
      <c r="L355" s="445">
        <v>147</v>
      </c>
      <c r="M355" s="445"/>
      <c r="N355" s="441">
        <v>449</v>
      </c>
    </row>
    <row r="356" spans="1:16" s="1213" customFormat="1" ht="18" customHeight="1" x14ac:dyDescent="0.3">
      <c r="A356" s="590">
        <v>347</v>
      </c>
      <c r="B356" s="1208"/>
      <c r="C356" s="1209"/>
      <c r="D356" s="1338" t="s">
        <v>986</v>
      </c>
      <c r="E356" s="1211"/>
      <c r="F356" s="1211"/>
      <c r="G356" s="1786"/>
      <c r="H356" s="1212"/>
      <c r="I356" s="1341">
        <f t="shared" ref="I356:I357" si="93">SUM(J356:N356)</f>
        <v>0</v>
      </c>
      <c r="J356" s="185"/>
      <c r="K356" s="185"/>
      <c r="L356" s="185"/>
      <c r="M356" s="185"/>
      <c r="N356" s="186"/>
    </row>
    <row r="357" spans="1:16" s="1213" customFormat="1" ht="18" customHeight="1" x14ac:dyDescent="0.3">
      <c r="A357" s="590">
        <v>348</v>
      </c>
      <c r="B357" s="1208"/>
      <c r="C357" s="1209"/>
      <c r="D357" s="583" t="s">
        <v>1151</v>
      </c>
      <c r="E357" s="1211"/>
      <c r="F357" s="1211"/>
      <c r="G357" s="1786"/>
      <c r="H357" s="1212"/>
      <c r="I357" s="573">
        <f t="shared" si="93"/>
        <v>8099</v>
      </c>
      <c r="J357" s="445">
        <f>SUM(J355:J356)</f>
        <v>6565</v>
      </c>
      <c r="K357" s="445">
        <f t="shared" ref="K357:N357" si="94">SUM(K355:K356)</f>
        <v>938</v>
      </c>
      <c r="L357" s="445">
        <f t="shared" si="94"/>
        <v>147</v>
      </c>
      <c r="M357" s="445"/>
      <c r="N357" s="441">
        <f t="shared" si="94"/>
        <v>449</v>
      </c>
    </row>
    <row r="358" spans="1:16" s="1821" customFormat="1" ht="22.5" customHeight="1" x14ac:dyDescent="0.35">
      <c r="A358" s="590">
        <v>349</v>
      </c>
      <c r="B358" s="585"/>
      <c r="C358" s="162">
        <v>50</v>
      </c>
      <c r="D358" s="584" t="s">
        <v>272</v>
      </c>
      <c r="E358" s="164">
        <v>1129</v>
      </c>
      <c r="F358" s="164">
        <v>1560</v>
      </c>
      <c r="G358" s="1784">
        <v>753</v>
      </c>
      <c r="H358" s="605" t="s">
        <v>24</v>
      </c>
      <c r="I358" s="573"/>
      <c r="J358" s="168"/>
      <c r="K358" s="168"/>
      <c r="L358" s="168"/>
      <c r="M358" s="168"/>
      <c r="N358" s="169"/>
      <c r="P358" s="1822"/>
    </row>
    <row r="359" spans="1:16" s="1213" customFormat="1" ht="18" customHeight="1" x14ac:dyDescent="0.3">
      <c r="A359" s="590">
        <v>350</v>
      </c>
      <c r="B359" s="1208"/>
      <c r="C359" s="1209"/>
      <c r="D359" s="1210" t="s">
        <v>311</v>
      </c>
      <c r="E359" s="1211"/>
      <c r="F359" s="1211"/>
      <c r="G359" s="1786"/>
      <c r="H359" s="1212"/>
      <c r="I359" s="1203">
        <f>SUM(J359:N359)</f>
        <v>1560</v>
      </c>
      <c r="J359" s="1204">
        <v>1365</v>
      </c>
      <c r="K359" s="1204">
        <v>195</v>
      </c>
      <c r="L359" s="1204"/>
      <c r="M359" s="1204"/>
      <c r="N359" s="1205"/>
    </row>
    <row r="360" spans="1:16" s="1213" customFormat="1" ht="18" customHeight="1" x14ac:dyDescent="0.3">
      <c r="A360" s="590">
        <v>351</v>
      </c>
      <c r="B360" s="1208"/>
      <c r="C360" s="1209"/>
      <c r="D360" s="583" t="s">
        <v>1072</v>
      </c>
      <c r="E360" s="1211"/>
      <c r="F360" s="1211"/>
      <c r="G360" s="1786"/>
      <c r="H360" s="1212"/>
      <c r="I360" s="573">
        <f t="shared" ref="I360:I362" si="95">SUM(J360:N360)</f>
        <v>1560</v>
      </c>
      <c r="J360" s="445">
        <v>1365</v>
      </c>
      <c r="K360" s="445">
        <v>195</v>
      </c>
      <c r="L360" s="1204"/>
      <c r="M360" s="1204"/>
      <c r="N360" s="1205"/>
    </row>
    <row r="361" spans="1:16" s="1213" customFormat="1" ht="18" customHeight="1" x14ac:dyDescent="0.3">
      <c r="A361" s="590">
        <v>352</v>
      </c>
      <c r="B361" s="1208"/>
      <c r="C361" s="1209"/>
      <c r="D361" s="1338" t="s">
        <v>963</v>
      </c>
      <c r="E361" s="1211"/>
      <c r="F361" s="1211"/>
      <c r="G361" s="1786"/>
      <c r="H361" s="1212"/>
      <c r="I361" s="1341">
        <f t="shared" si="95"/>
        <v>0</v>
      </c>
      <c r="J361" s="185"/>
      <c r="K361" s="185"/>
      <c r="L361" s="185"/>
      <c r="M361" s="185"/>
      <c r="N361" s="186"/>
    </row>
    <row r="362" spans="1:16" s="1213" customFormat="1" ht="18" customHeight="1" x14ac:dyDescent="0.3">
      <c r="A362" s="590">
        <v>353</v>
      </c>
      <c r="B362" s="1208"/>
      <c r="C362" s="1209"/>
      <c r="D362" s="583" t="s">
        <v>1151</v>
      </c>
      <c r="E362" s="1211"/>
      <c r="F362" s="1211"/>
      <c r="G362" s="1786"/>
      <c r="H362" s="1212"/>
      <c r="I362" s="573">
        <f t="shared" si="95"/>
        <v>1560</v>
      </c>
      <c r="J362" s="445">
        <f>SUM(J360:J361)</f>
        <v>1365</v>
      </c>
      <c r="K362" s="445">
        <f>SUM(K360:K361)</f>
        <v>195</v>
      </c>
      <c r="L362" s="445"/>
      <c r="M362" s="445"/>
      <c r="N362" s="441"/>
    </row>
    <row r="363" spans="1:16" s="1821" customFormat="1" ht="22.5" customHeight="1" x14ac:dyDescent="0.35">
      <c r="A363" s="590">
        <v>354</v>
      </c>
      <c r="B363" s="585"/>
      <c r="C363" s="162">
        <v>51</v>
      </c>
      <c r="D363" s="584" t="s">
        <v>76</v>
      </c>
      <c r="E363" s="164">
        <v>2</v>
      </c>
      <c r="F363" s="164">
        <v>100</v>
      </c>
      <c r="G363" s="1784"/>
      <c r="H363" s="605" t="s">
        <v>24</v>
      </c>
      <c r="I363" s="573"/>
      <c r="J363" s="168"/>
      <c r="K363" s="168"/>
      <c r="L363" s="168"/>
      <c r="M363" s="168"/>
      <c r="N363" s="169"/>
      <c r="P363" s="1822"/>
    </row>
    <row r="364" spans="1:16" s="1213" customFormat="1" ht="18" customHeight="1" x14ac:dyDescent="0.3">
      <c r="A364" s="590">
        <v>355</v>
      </c>
      <c r="B364" s="1208"/>
      <c r="C364" s="1209"/>
      <c r="D364" s="1210" t="s">
        <v>311</v>
      </c>
      <c r="E364" s="1211"/>
      <c r="F364" s="1211"/>
      <c r="G364" s="1786"/>
      <c r="H364" s="1212"/>
      <c r="I364" s="1203">
        <f>SUM(J364:N364)</f>
        <v>85</v>
      </c>
      <c r="J364" s="1204"/>
      <c r="K364" s="1204"/>
      <c r="L364" s="1204"/>
      <c r="M364" s="1204">
        <v>85</v>
      </c>
      <c r="N364" s="1205"/>
    </row>
    <row r="365" spans="1:16" s="1213" customFormat="1" ht="18" customHeight="1" x14ac:dyDescent="0.3">
      <c r="A365" s="590">
        <v>356</v>
      </c>
      <c r="B365" s="1208"/>
      <c r="C365" s="1209"/>
      <c r="D365" s="583" t="s">
        <v>1072</v>
      </c>
      <c r="E365" s="1211"/>
      <c r="F365" s="1211"/>
      <c r="G365" s="1786"/>
      <c r="H365" s="1212"/>
      <c r="I365" s="573">
        <f t="shared" ref="I365:I367" si="96">SUM(J365:N365)</f>
        <v>85</v>
      </c>
      <c r="J365" s="1204"/>
      <c r="K365" s="1204"/>
      <c r="L365" s="1204"/>
      <c r="M365" s="445">
        <v>85</v>
      </c>
      <c r="N365" s="1205"/>
    </row>
    <row r="366" spans="1:16" s="1213" customFormat="1" ht="18" customHeight="1" x14ac:dyDescent="0.3">
      <c r="A366" s="590">
        <v>357</v>
      </c>
      <c r="B366" s="1208"/>
      <c r="C366" s="1209"/>
      <c r="D366" s="1338" t="s">
        <v>963</v>
      </c>
      <c r="E366" s="1211"/>
      <c r="F366" s="1211"/>
      <c r="G366" s="1786"/>
      <c r="H366" s="1212"/>
      <c r="I366" s="1341">
        <f t="shared" si="96"/>
        <v>0</v>
      </c>
      <c r="J366" s="185"/>
      <c r="K366" s="185"/>
      <c r="L366" s="185"/>
      <c r="M366" s="185"/>
      <c r="N366" s="186"/>
    </row>
    <row r="367" spans="1:16" s="1213" customFormat="1" ht="18" customHeight="1" x14ac:dyDescent="0.3">
      <c r="A367" s="590">
        <v>358</v>
      </c>
      <c r="B367" s="1208"/>
      <c r="C367" s="1209"/>
      <c r="D367" s="583" t="s">
        <v>1151</v>
      </c>
      <c r="E367" s="1211"/>
      <c r="F367" s="1211"/>
      <c r="G367" s="1786"/>
      <c r="H367" s="1212"/>
      <c r="I367" s="573">
        <f t="shared" si="96"/>
        <v>85</v>
      </c>
      <c r="J367" s="445"/>
      <c r="K367" s="445"/>
      <c r="L367" s="445"/>
      <c r="M367" s="445">
        <f>SUM(M365:M366)</f>
        <v>85</v>
      </c>
      <c r="N367" s="441"/>
    </row>
    <row r="368" spans="1:16" s="1821" customFormat="1" ht="22.5" customHeight="1" x14ac:dyDescent="0.35">
      <c r="A368" s="590">
        <v>359</v>
      </c>
      <c r="B368" s="585"/>
      <c r="C368" s="162">
        <v>52</v>
      </c>
      <c r="D368" s="584" t="s">
        <v>294</v>
      </c>
      <c r="E368" s="164">
        <v>6000</v>
      </c>
      <c r="F368" s="164">
        <v>6000</v>
      </c>
      <c r="G368" s="1784">
        <v>6000</v>
      </c>
      <c r="H368" s="605" t="s">
        <v>23</v>
      </c>
      <c r="I368" s="573"/>
      <c r="J368" s="168"/>
      <c r="K368" s="168"/>
      <c r="L368" s="168"/>
      <c r="M368" s="168"/>
      <c r="N368" s="169"/>
      <c r="P368" s="1822"/>
    </row>
    <row r="369" spans="1:16" s="1213" customFormat="1" ht="18" customHeight="1" x14ac:dyDescent="0.3">
      <c r="A369" s="590">
        <v>360</v>
      </c>
      <c r="B369" s="1208"/>
      <c r="C369" s="1209"/>
      <c r="D369" s="1210" t="s">
        <v>311</v>
      </c>
      <c r="E369" s="1211"/>
      <c r="F369" s="1211"/>
      <c r="G369" s="1786"/>
      <c r="H369" s="1212"/>
      <c r="I369" s="1203">
        <f>SUM(J369:N369)</f>
        <v>5100</v>
      </c>
      <c r="J369" s="1204"/>
      <c r="K369" s="1204"/>
      <c r="L369" s="1204">
        <v>5100</v>
      </c>
      <c r="M369" s="1204"/>
      <c r="N369" s="1205"/>
    </row>
    <row r="370" spans="1:16" s="1213" customFormat="1" ht="18" customHeight="1" x14ac:dyDescent="0.3">
      <c r="A370" s="590">
        <v>361</v>
      </c>
      <c r="B370" s="1208"/>
      <c r="C370" s="1209"/>
      <c r="D370" s="583" t="s">
        <v>1072</v>
      </c>
      <c r="E370" s="1211"/>
      <c r="F370" s="1211"/>
      <c r="G370" s="1786"/>
      <c r="H370" s="1212"/>
      <c r="I370" s="573">
        <f t="shared" ref="I370:I372" si="97">SUM(J370:N370)</f>
        <v>6000</v>
      </c>
      <c r="J370" s="1204"/>
      <c r="K370" s="1204"/>
      <c r="L370" s="445">
        <v>6000</v>
      </c>
      <c r="M370" s="1204"/>
      <c r="N370" s="1205"/>
    </row>
    <row r="371" spans="1:16" s="1213" customFormat="1" ht="18" customHeight="1" x14ac:dyDescent="0.3">
      <c r="A371" s="590">
        <v>362</v>
      </c>
      <c r="B371" s="1208"/>
      <c r="C371" s="1209"/>
      <c r="D371" s="1338" t="s">
        <v>986</v>
      </c>
      <c r="E371" s="1211"/>
      <c r="F371" s="1211"/>
      <c r="G371" s="1786"/>
      <c r="H371" s="1212"/>
      <c r="I371" s="1341">
        <f t="shared" si="97"/>
        <v>0</v>
      </c>
      <c r="J371" s="185"/>
      <c r="K371" s="185"/>
      <c r="L371" s="185"/>
      <c r="M371" s="185"/>
      <c r="N371" s="186"/>
    </row>
    <row r="372" spans="1:16" s="1213" customFormat="1" ht="18" customHeight="1" x14ac:dyDescent="0.3">
      <c r="A372" s="590">
        <v>363</v>
      </c>
      <c r="B372" s="1208"/>
      <c r="C372" s="1209"/>
      <c r="D372" s="583" t="s">
        <v>1151</v>
      </c>
      <c r="E372" s="1211"/>
      <c r="F372" s="1211"/>
      <c r="G372" s="1786"/>
      <c r="H372" s="1212"/>
      <c r="I372" s="573">
        <f t="shared" si="97"/>
        <v>6000</v>
      </c>
      <c r="J372" s="445"/>
      <c r="K372" s="445"/>
      <c r="L372" s="445">
        <f>SUM(L370:L371)</f>
        <v>6000</v>
      </c>
      <c r="M372" s="445"/>
      <c r="N372" s="441"/>
    </row>
    <row r="373" spans="1:16" s="1821" customFormat="1" ht="22.5" customHeight="1" x14ac:dyDescent="0.35">
      <c r="A373" s="590">
        <v>364</v>
      </c>
      <c r="B373" s="585"/>
      <c r="C373" s="162">
        <v>53</v>
      </c>
      <c r="D373" s="584" t="s">
        <v>309</v>
      </c>
      <c r="E373" s="164">
        <v>12000</v>
      </c>
      <c r="F373" s="164">
        <v>12000</v>
      </c>
      <c r="G373" s="1784">
        <v>12000</v>
      </c>
      <c r="H373" s="605" t="s">
        <v>23</v>
      </c>
      <c r="I373" s="573"/>
      <c r="J373" s="168"/>
      <c r="K373" s="168"/>
      <c r="L373" s="168"/>
      <c r="M373" s="168"/>
      <c r="N373" s="169"/>
      <c r="P373" s="1822"/>
    </row>
    <row r="374" spans="1:16" s="1213" customFormat="1" ht="18" customHeight="1" x14ac:dyDescent="0.3">
      <c r="A374" s="590">
        <v>365</v>
      </c>
      <c r="B374" s="1208"/>
      <c r="C374" s="1209"/>
      <c r="D374" s="1210" t="s">
        <v>311</v>
      </c>
      <c r="E374" s="1211"/>
      <c r="F374" s="1211"/>
      <c r="G374" s="1786"/>
      <c r="H374" s="1212"/>
      <c r="I374" s="1203">
        <f>SUM(J374:N374)</f>
        <v>10200</v>
      </c>
      <c r="J374" s="1204"/>
      <c r="K374" s="1204"/>
      <c r="L374" s="1204"/>
      <c r="M374" s="1204"/>
      <c r="N374" s="1205">
        <v>10200</v>
      </c>
    </row>
    <row r="375" spans="1:16" s="1213" customFormat="1" ht="18" customHeight="1" x14ac:dyDescent="0.3">
      <c r="A375" s="590">
        <v>366</v>
      </c>
      <c r="B375" s="1208"/>
      <c r="C375" s="1209"/>
      <c r="D375" s="583" t="s">
        <v>1072</v>
      </c>
      <c r="E375" s="1211"/>
      <c r="F375" s="1211"/>
      <c r="G375" s="1786"/>
      <c r="H375" s="1212"/>
      <c r="I375" s="573">
        <f t="shared" ref="I375:I377" si="98">SUM(J375:N375)</f>
        <v>10200</v>
      </c>
      <c r="J375" s="1204"/>
      <c r="K375" s="1204"/>
      <c r="L375" s="1204"/>
      <c r="M375" s="1204"/>
      <c r="N375" s="441">
        <v>10200</v>
      </c>
    </row>
    <row r="376" spans="1:16" s="1213" customFormat="1" ht="18" customHeight="1" x14ac:dyDescent="0.3">
      <c r="A376" s="590">
        <v>367</v>
      </c>
      <c r="B376" s="1208"/>
      <c r="C376" s="1209"/>
      <c r="D376" s="1338" t="s">
        <v>963</v>
      </c>
      <c r="E376" s="1211"/>
      <c r="F376" s="1211"/>
      <c r="G376" s="1786"/>
      <c r="H376" s="1212"/>
      <c r="I376" s="1341">
        <f t="shared" si="98"/>
        <v>0</v>
      </c>
      <c r="J376" s="185"/>
      <c r="K376" s="185"/>
      <c r="L376" s="185"/>
      <c r="M376" s="185"/>
      <c r="N376" s="186"/>
    </row>
    <row r="377" spans="1:16" s="1213" customFormat="1" ht="18" customHeight="1" x14ac:dyDescent="0.3">
      <c r="A377" s="590">
        <v>368</v>
      </c>
      <c r="B377" s="1208"/>
      <c r="C377" s="1209"/>
      <c r="D377" s="583" t="s">
        <v>1151</v>
      </c>
      <c r="E377" s="1211"/>
      <c r="F377" s="1211"/>
      <c r="G377" s="1786"/>
      <c r="H377" s="1212"/>
      <c r="I377" s="573">
        <f t="shared" si="98"/>
        <v>10200</v>
      </c>
      <c r="J377" s="445"/>
      <c r="K377" s="445"/>
      <c r="L377" s="445"/>
      <c r="M377" s="445"/>
      <c r="N377" s="441">
        <f>SUM(N375:N376)</f>
        <v>10200</v>
      </c>
    </row>
    <row r="378" spans="1:16" s="1821" customFormat="1" ht="22.5" customHeight="1" x14ac:dyDescent="0.35">
      <c r="A378" s="590">
        <v>369</v>
      </c>
      <c r="B378" s="585"/>
      <c r="C378" s="162">
        <v>54</v>
      </c>
      <c r="D378" s="584" t="s">
        <v>78</v>
      </c>
      <c r="E378" s="164">
        <v>60000</v>
      </c>
      <c r="F378" s="164">
        <v>60000</v>
      </c>
      <c r="G378" s="1784">
        <v>60000</v>
      </c>
      <c r="H378" s="605" t="s">
        <v>23</v>
      </c>
      <c r="I378" s="573"/>
      <c r="J378" s="168"/>
      <c r="K378" s="168"/>
      <c r="L378" s="168"/>
      <c r="M378" s="168"/>
      <c r="N378" s="169"/>
      <c r="P378" s="1822"/>
    </row>
    <row r="379" spans="1:16" s="1213" customFormat="1" ht="18" customHeight="1" x14ac:dyDescent="0.3">
      <c r="A379" s="590">
        <v>370</v>
      </c>
      <c r="B379" s="1208"/>
      <c r="C379" s="1209"/>
      <c r="D379" s="1210" t="s">
        <v>311</v>
      </c>
      <c r="E379" s="1211"/>
      <c r="F379" s="1211"/>
      <c r="G379" s="1786"/>
      <c r="H379" s="1212"/>
      <c r="I379" s="1203">
        <f>SUM(J379:N379)</f>
        <v>60000</v>
      </c>
      <c r="J379" s="1204"/>
      <c r="K379" s="1204"/>
      <c r="L379" s="1204"/>
      <c r="M379" s="1204"/>
      <c r="N379" s="1205">
        <v>60000</v>
      </c>
    </row>
    <row r="380" spans="1:16" s="1213" customFormat="1" ht="18" customHeight="1" x14ac:dyDescent="0.3">
      <c r="A380" s="590">
        <v>371</v>
      </c>
      <c r="B380" s="1208"/>
      <c r="C380" s="1209"/>
      <c r="D380" s="583" t="s">
        <v>1072</v>
      </c>
      <c r="E380" s="1211"/>
      <c r="F380" s="1211"/>
      <c r="G380" s="1786"/>
      <c r="H380" s="1212"/>
      <c r="I380" s="573">
        <f t="shared" ref="I380:I382" si="99">SUM(J380:N380)</f>
        <v>60000</v>
      </c>
      <c r="J380" s="1204"/>
      <c r="K380" s="1204"/>
      <c r="L380" s="1204"/>
      <c r="M380" s="1204"/>
      <c r="N380" s="441">
        <v>60000</v>
      </c>
    </row>
    <row r="381" spans="1:16" s="1213" customFormat="1" ht="18" customHeight="1" x14ac:dyDescent="0.3">
      <c r="A381" s="590">
        <v>372</v>
      </c>
      <c r="B381" s="1208"/>
      <c r="C381" s="1209"/>
      <c r="D381" s="1338" t="s">
        <v>963</v>
      </c>
      <c r="E381" s="1211"/>
      <c r="F381" s="1211"/>
      <c r="G381" s="1786"/>
      <c r="H381" s="1212"/>
      <c r="I381" s="1341">
        <f t="shared" si="99"/>
        <v>0</v>
      </c>
      <c r="J381" s="185"/>
      <c r="K381" s="185"/>
      <c r="L381" s="185"/>
      <c r="M381" s="185"/>
      <c r="N381" s="186"/>
    </row>
    <row r="382" spans="1:16" s="1213" customFormat="1" ht="18" customHeight="1" x14ac:dyDescent="0.3">
      <c r="A382" s="590">
        <v>373</v>
      </c>
      <c r="B382" s="1208"/>
      <c r="C382" s="1209"/>
      <c r="D382" s="583" t="s">
        <v>1151</v>
      </c>
      <c r="E382" s="1211"/>
      <c r="F382" s="1211"/>
      <c r="G382" s="1786"/>
      <c r="H382" s="1212"/>
      <c r="I382" s="573">
        <f t="shared" si="99"/>
        <v>60000</v>
      </c>
      <c r="J382" s="445"/>
      <c r="K382" s="445"/>
      <c r="L382" s="445"/>
      <c r="M382" s="445"/>
      <c r="N382" s="441">
        <f>SUM(N380:N381)</f>
        <v>60000</v>
      </c>
    </row>
    <row r="383" spans="1:16" s="1821" customFormat="1" ht="22.5" customHeight="1" x14ac:dyDescent="0.35">
      <c r="A383" s="590">
        <v>374</v>
      </c>
      <c r="B383" s="585"/>
      <c r="C383" s="162">
        <v>55</v>
      </c>
      <c r="D383" s="584" t="s">
        <v>524</v>
      </c>
      <c r="E383" s="164">
        <v>411191</v>
      </c>
      <c r="F383" s="164">
        <v>401644</v>
      </c>
      <c r="G383" s="1784">
        <v>458587</v>
      </c>
      <c r="H383" s="605" t="s">
        <v>23</v>
      </c>
      <c r="I383" s="573"/>
      <c r="J383" s="168"/>
      <c r="K383" s="168"/>
      <c r="L383" s="168"/>
      <c r="M383" s="168"/>
      <c r="N383" s="169"/>
      <c r="P383" s="1822"/>
    </row>
    <row r="384" spans="1:16" s="1213" customFormat="1" ht="18" customHeight="1" x14ac:dyDescent="0.3">
      <c r="A384" s="590">
        <v>375</v>
      </c>
      <c r="B384" s="1208"/>
      <c r="C384" s="1209"/>
      <c r="D384" s="1210" t="s">
        <v>311</v>
      </c>
      <c r="E384" s="1211"/>
      <c r="F384" s="1211"/>
      <c r="G384" s="1786"/>
      <c r="H384" s="1212"/>
      <c r="I384" s="1203">
        <f>SUM(J384:N384)</f>
        <v>454892</v>
      </c>
      <c r="J384" s="1204"/>
      <c r="K384" s="1204"/>
      <c r="L384" s="1204"/>
      <c r="M384" s="1204"/>
      <c r="N384" s="1205">
        <v>454892</v>
      </c>
    </row>
    <row r="385" spans="1:16" s="1213" customFormat="1" ht="18" customHeight="1" x14ac:dyDescent="0.3">
      <c r="A385" s="590">
        <v>376</v>
      </c>
      <c r="B385" s="1208"/>
      <c r="C385" s="1209"/>
      <c r="D385" s="583" t="s">
        <v>1072</v>
      </c>
      <c r="E385" s="1211"/>
      <c r="F385" s="1211"/>
      <c r="G385" s="1786"/>
      <c r="H385" s="1212"/>
      <c r="I385" s="573">
        <f t="shared" ref="I385:I388" si="100">SUM(J385:N385)</f>
        <v>541048</v>
      </c>
      <c r="J385" s="1204"/>
      <c r="K385" s="1204"/>
      <c r="L385" s="1204"/>
      <c r="M385" s="1204"/>
      <c r="N385" s="441">
        <v>541048</v>
      </c>
    </row>
    <row r="386" spans="1:16" s="1213" customFormat="1" ht="18" customHeight="1" x14ac:dyDescent="0.3">
      <c r="A386" s="590">
        <v>377</v>
      </c>
      <c r="B386" s="1208"/>
      <c r="C386" s="1209"/>
      <c r="D386" s="1375" t="s">
        <v>1267</v>
      </c>
      <c r="E386" s="1211"/>
      <c r="F386" s="1211"/>
      <c r="G386" s="1786"/>
      <c r="H386" s="1212"/>
      <c r="I386" s="1341">
        <f t="shared" si="100"/>
        <v>6602</v>
      </c>
      <c r="J386" s="185"/>
      <c r="K386" s="185"/>
      <c r="L386" s="185"/>
      <c r="M386" s="185"/>
      <c r="N386" s="186">
        <v>6602</v>
      </c>
    </row>
    <row r="387" spans="1:16" s="1213" customFormat="1" ht="18" customHeight="1" x14ac:dyDescent="0.3">
      <c r="A387" s="590">
        <v>378</v>
      </c>
      <c r="B387" s="1208"/>
      <c r="C387" s="1209"/>
      <c r="D387" s="1375" t="s">
        <v>1148</v>
      </c>
      <c r="E387" s="1211"/>
      <c r="F387" s="1211"/>
      <c r="G387" s="1786"/>
      <c r="H387" s="1212"/>
      <c r="I387" s="1341">
        <f t="shared" si="100"/>
        <v>317</v>
      </c>
      <c r="J387" s="185"/>
      <c r="K387" s="185"/>
      <c r="L387" s="185"/>
      <c r="M387" s="185"/>
      <c r="N387" s="186">
        <v>317</v>
      </c>
    </row>
    <row r="388" spans="1:16" s="1213" customFormat="1" ht="18" customHeight="1" x14ac:dyDescent="0.3">
      <c r="A388" s="590">
        <v>379</v>
      </c>
      <c r="B388" s="1208"/>
      <c r="C388" s="1209"/>
      <c r="D388" s="1375" t="s">
        <v>1147</v>
      </c>
      <c r="E388" s="1211"/>
      <c r="F388" s="1211"/>
      <c r="G388" s="1786"/>
      <c r="H388" s="1212"/>
      <c r="I388" s="1341">
        <f t="shared" si="100"/>
        <v>64</v>
      </c>
      <c r="J388" s="185"/>
      <c r="K388" s="185"/>
      <c r="L388" s="185"/>
      <c r="M388" s="185"/>
      <c r="N388" s="186">
        <v>64</v>
      </c>
    </row>
    <row r="389" spans="1:16" s="1213" customFormat="1" ht="18" customHeight="1" x14ac:dyDescent="0.3">
      <c r="A389" s="590">
        <v>380</v>
      </c>
      <c r="B389" s="1208"/>
      <c r="C389" s="1209"/>
      <c r="D389" s="583" t="s">
        <v>1151</v>
      </c>
      <c r="E389" s="1211"/>
      <c r="F389" s="1211"/>
      <c r="G389" s="1786"/>
      <c r="H389" s="1212"/>
      <c r="I389" s="573">
        <f>SUM(J389:N389)</f>
        <v>548031</v>
      </c>
      <c r="J389" s="445"/>
      <c r="K389" s="445"/>
      <c r="L389" s="445"/>
      <c r="M389" s="445"/>
      <c r="N389" s="441">
        <f>SUM(N385:N388)</f>
        <v>548031</v>
      </c>
    </row>
    <row r="390" spans="1:16" s="1821" customFormat="1" ht="22.5" customHeight="1" x14ac:dyDescent="0.35">
      <c r="A390" s="590">
        <v>381</v>
      </c>
      <c r="B390" s="585"/>
      <c r="C390" s="162">
        <v>56</v>
      </c>
      <c r="D390" s="584" t="s">
        <v>391</v>
      </c>
      <c r="E390" s="164">
        <v>47940</v>
      </c>
      <c r="F390" s="164">
        <v>68578</v>
      </c>
      <c r="G390" s="1784">
        <v>68585</v>
      </c>
      <c r="H390" s="605" t="s">
        <v>23</v>
      </c>
      <c r="I390" s="573"/>
      <c r="J390" s="168"/>
      <c r="K390" s="168"/>
      <c r="L390" s="168"/>
      <c r="M390" s="168"/>
      <c r="N390" s="169"/>
      <c r="P390" s="1822"/>
    </row>
    <row r="391" spans="1:16" s="1213" customFormat="1" ht="18" customHeight="1" x14ac:dyDescent="0.3">
      <c r="A391" s="590">
        <v>382</v>
      </c>
      <c r="B391" s="1208"/>
      <c r="C391" s="1209"/>
      <c r="D391" s="1210" t="s">
        <v>311</v>
      </c>
      <c r="E391" s="1211"/>
      <c r="F391" s="1211"/>
      <c r="G391" s="1786"/>
      <c r="H391" s="1212"/>
      <c r="I391" s="1203">
        <f>SUM(J391:N391)</f>
        <v>98406</v>
      </c>
      <c r="J391" s="1204"/>
      <c r="K391" s="1204"/>
      <c r="L391" s="1204">
        <f>80578+17828</f>
        <v>98406</v>
      </c>
      <c r="M391" s="1204"/>
      <c r="N391" s="1205"/>
    </row>
    <row r="392" spans="1:16" s="1213" customFormat="1" ht="18" customHeight="1" x14ac:dyDescent="0.3">
      <c r="A392" s="590">
        <v>383</v>
      </c>
      <c r="B392" s="1208"/>
      <c r="C392" s="1209"/>
      <c r="D392" s="583" t="s">
        <v>1072</v>
      </c>
      <c r="E392" s="1211"/>
      <c r="F392" s="1211"/>
      <c r="G392" s="1786"/>
      <c r="H392" s="1212"/>
      <c r="I392" s="573">
        <f t="shared" ref="I392:I394" si="101">SUM(J392:N392)</f>
        <v>98406</v>
      </c>
      <c r="J392" s="1204"/>
      <c r="K392" s="1204"/>
      <c r="L392" s="445">
        <v>98406</v>
      </c>
      <c r="M392" s="1204"/>
      <c r="N392" s="1205"/>
    </row>
    <row r="393" spans="1:16" s="1213" customFormat="1" ht="18" customHeight="1" x14ac:dyDescent="0.3">
      <c r="A393" s="590">
        <v>384</v>
      </c>
      <c r="B393" s="1208"/>
      <c r="C393" s="1209"/>
      <c r="D393" s="1338" t="s">
        <v>986</v>
      </c>
      <c r="E393" s="1211"/>
      <c r="F393" s="1211"/>
      <c r="G393" s="1786"/>
      <c r="H393" s="1212"/>
      <c r="I393" s="1341">
        <f t="shared" si="101"/>
        <v>0</v>
      </c>
      <c r="J393" s="185"/>
      <c r="K393" s="185"/>
      <c r="L393" s="185"/>
      <c r="M393" s="185"/>
      <c r="N393" s="186"/>
    </row>
    <row r="394" spans="1:16" s="1213" customFormat="1" ht="18" customHeight="1" x14ac:dyDescent="0.3">
      <c r="A394" s="590">
        <v>385</v>
      </c>
      <c r="B394" s="1208"/>
      <c r="C394" s="1209"/>
      <c r="D394" s="583" t="s">
        <v>1151</v>
      </c>
      <c r="E394" s="1211"/>
      <c r="F394" s="1211"/>
      <c r="G394" s="1786"/>
      <c r="H394" s="1212"/>
      <c r="I394" s="573">
        <f t="shared" si="101"/>
        <v>98406</v>
      </c>
      <c r="J394" s="445"/>
      <c r="K394" s="445"/>
      <c r="L394" s="445">
        <f>SUM(L392:L393)</f>
        <v>98406</v>
      </c>
      <c r="M394" s="445"/>
      <c r="N394" s="441"/>
    </row>
    <row r="395" spans="1:16" s="8" customFormat="1" ht="22.5" customHeight="1" x14ac:dyDescent="0.3">
      <c r="A395" s="590">
        <v>386</v>
      </c>
      <c r="B395" s="165"/>
      <c r="C395" s="162">
        <v>57</v>
      </c>
      <c r="D395" s="583" t="s">
        <v>479</v>
      </c>
      <c r="E395" s="164">
        <v>937</v>
      </c>
      <c r="F395" s="164">
        <v>3840</v>
      </c>
      <c r="G395" s="1784">
        <v>2180</v>
      </c>
      <c r="H395" s="605" t="s">
        <v>24</v>
      </c>
      <c r="I395" s="573"/>
      <c r="J395" s="168"/>
      <c r="K395" s="168"/>
      <c r="L395" s="168"/>
      <c r="M395" s="168"/>
      <c r="N395" s="169"/>
    </row>
    <row r="396" spans="1:16" s="1213" customFormat="1" ht="18" customHeight="1" x14ac:dyDescent="0.3">
      <c r="A396" s="590">
        <v>387</v>
      </c>
      <c r="B396" s="1208"/>
      <c r="C396" s="1209"/>
      <c r="D396" s="1210" t="s">
        <v>311</v>
      </c>
      <c r="E396" s="1211"/>
      <c r="F396" s="1211"/>
      <c r="G396" s="1786"/>
      <c r="H396" s="1212"/>
      <c r="I396" s="1203">
        <f>SUM(J396:N396)</f>
        <v>3264</v>
      </c>
      <c r="J396" s="1204"/>
      <c r="K396" s="1204"/>
      <c r="L396" s="1204"/>
      <c r="M396" s="1204"/>
      <c r="N396" s="1205">
        <v>3264</v>
      </c>
    </row>
    <row r="397" spans="1:16" s="1213" customFormat="1" ht="18" customHeight="1" x14ac:dyDescent="0.3">
      <c r="A397" s="590">
        <v>388</v>
      </c>
      <c r="B397" s="1208"/>
      <c r="C397" s="1209"/>
      <c r="D397" s="583" t="s">
        <v>1072</v>
      </c>
      <c r="E397" s="1211"/>
      <c r="F397" s="1211"/>
      <c r="G397" s="1786"/>
      <c r="H397" s="1212"/>
      <c r="I397" s="573">
        <f t="shared" ref="I397:I399" si="102">SUM(J397:N397)</f>
        <v>3264</v>
      </c>
      <c r="J397" s="1204"/>
      <c r="K397" s="1204"/>
      <c r="L397" s="445">
        <v>3264</v>
      </c>
      <c r="M397" s="445"/>
      <c r="N397" s="441">
        <v>0</v>
      </c>
    </row>
    <row r="398" spans="1:16" s="1213" customFormat="1" ht="18" customHeight="1" x14ac:dyDescent="0.3">
      <c r="A398" s="590">
        <v>389</v>
      </c>
      <c r="B398" s="1208"/>
      <c r="C398" s="1209"/>
      <c r="D398" s="1338" t="s">
        <v>986</v>
      </c>
      <c r="E398" s="1211"/>
      <c r="F398" s="1211"/>
      <c r="G398" s="1786"/>
      <c r="H398" s="1212"/>
      <c r="I398" s="1341">
        <f t="shared" si="102"/>
        <v>0</v>
      </c>
      <c r="J398" s="185"/>
      <c r="K398" s="185"/>
      <c r="L398" s="185"/>
      <c r="M398" s="185"/>
      <c r="N398" s="186"/>
    </row>
    <row r="399" spans="1:16" s="1213" customFormat="1" ht="18" customHeight="1" x14ac:dyDescent="0.3">
      <c r="A399" s="590">
        <v>390</v>
      </c>
      <c r="B399" s="1208"/>
      <c r="C399" s="1209"/>
      <c r="D399" s="583" t="s">
        <v>1151</v>
      </c>
      <c r="E399" s="1211"/>
      <c r="F399" s="1211"/>
      <c r="G399" s="1786"/>
      <c r="H399" s="1212"/>
      <c r="I399" s="573">
        <f t="shared" si="102"/>
        <v>3264</v>
      </c>
      <c r="J399" s="445"/>
      <c r="K399" s="445"/>
      <c r="L399" s="445">
        <f>SUM(L397:L398)</f>
        <v>3264</v>
      </c>
      <c r="M399" s="445"/>
      <c r="N399" s="441">
        <f>SUM(N397:N398)</f>
        <v>0</v>
      </c>
    </row>
    <row r="400" spans="1:16" s="8" customFormat="1" ht="22.5" customHeight="1" x14ac:dyDescent="0.3">
      <c r="A400" s="590">
        <v>391</v>
      </c>
      <c r="B400" s="165"/>
      <c r="C400" s="162">
        <v>58</v>
      </c>
      <c r="D400" s="583" t="s">
        <v>480</v>
      </c>
      <c r="E400" s="164">
        <v>2448</v>
      </c>
      <c r="F400" s="164">
        <v>4000</v>
      </c>
      <c r="G400" s="1784"/>
      <c r="H400" s="605" t="s">
        <v>24</v>
      </c>
      <c r="I400" s="573"/>
      <c r="J400" s="168"/>
      <c r="K400" s="168"/>
      <c r="L400" s="168"/>
      <c r="M400" s="168"/>
      <c r="N400" s="169"/>
    </row>
    <row r="401" spans="1:16" s="1213" customFormat="1" ht="18" customHeight="1" x14ac:dyDescent="0.3">
      <c r="A401" s="590">
        <v>392</v>
      </c>
      <c r="B401" s="1208"/>
      <c r="C401" s="1209"/>
      <c r="D401" s="1210" t="s">
        <v>311</v>
      </c>
      <c r="E401" s="1211"/>
      <c r="F401" s="1211"/>
      <c r="G401" s="1786"/>
      <c r="H401" s="1212"/>
      <c r="I401" s="1203">
        <f>SUM(J401:N401)</f>
        <v>3400</v>
      </c>
      <c r="J401" s="1204"/>
      <c r="K401" s="1204"/>
      <c r="L401" s="1204"/>
      <c r="M401" s="1204"/>
      <c r="N401" s="1205">
        <v>3400</v>
      </c>
    </row>
    <row r="402" spans="1:16" s="1213" customFormat="1" ht="18" customHeight="1" x14ac:dyDescent="0.3">
      <c r="A402" s="590">
        <v>393</v>
      </c>
      <c r="B402" s="1208"/>
      <c r="C402" s="1209"/>
      <c r="D402" s="583" t="s">
        <v>1072</v>
      </c>
      <c r="E402" s="1211"/>
      <c r="F402" s="1211"/>
      <c r="G402" s="1786"/>
      <c r="H402" s="1212"/>
      <c r="I402" s="573">
        <f t="shared" ref="I402:I404" si="103">SUM(J402:N402)</f>
        <v>0</v>
      </c>
      <c r="J402" s="1204"/>
      <c r="K402" s="1204"/>
      <c r="L402" s="1204"/>
      <c r="M402" s="1204"/>
      <c r="N402" s="441">
        <v>0</v>
      </c>
    </row>
    <row r="403" spans="1:16" s="1213" customFormat="1" ht="18" customHeight="1" x14ac:dyDescent="0.3">
      <c r="A403" s="590">
        <v>394</v>
      </c>
      <c r="B403" s="1208"/>
      <c r="C403" s="1209"/>
      <c r="D403" s="1338" t="s">
        <v>986</v>
      </c>
      <c r="E403" s="1211"/>
      <c r="F403" s="1211"/>
      <c r="G403" s="1786"/>
      <c r="H403" s="1212"/>
      <c r="I403" s="1341">
        <f t="shared" si="103"/>
        <v>0</v>
      </c>
      <c r="J403" s="185"/>
      <c r="K403" s="185"/>
      <c r="L403" s="185"/>
      <c r="M403" s="185"/>
      <c r="N403" s="186"/>
    </row>
    <row r="404" spans="1:16" s="1213" customFormat="1" ht="18" customHeight="1" x14ac:dyDescent="0.3">
      <c r="A404" s="590">
        <v>395</v>
      </c>
      <c r="B404" s="1208"/>
      <c r="C404" s="1209"/>
      <c r="D404" s="583" t="s">
        <v>1151</v>
      </c>
      <c r="E404" s="1211"/>
      <c r="F404" s="1211"/>
      <c r="G404" s="1786"/>
      <c r="H404" s="1212"/>
      <c r="I404" s="573">
        <f t="shared" si="103"/>
        <v>0</v>
      </c>
      <c r="J404" s="445"/>
      <c r="K404" s="445"/>
      <c r="L404" s="445"/>
      <c r="M404" s="445"/>
      <c r="N404" s="441">
        <f>SUM(N402:N403)</f>
        <v>0</v>
      </c>
    </row>
    <row r="405" spans="1:16" s="3" customFormat="1" ht="22.5" customHeight="1" x14ac:dyDescent="0.3">
      <c r="A405" s="590">
        <v>396</v>
      </c>
      <c r="B405" s="161"/>
      <c r="C405" s="162">
        <v>59</v>
      </c>
      <c r="D405" s="584" t="s">
        <v>80</v>
      </c>
      <c r="E405" s="164">
        <v>1700</v>
      </c>
      <c r="F405" s="164">
        <v>1700</v>
      </c>
      <c r="G405" s="1784">
        <v>1700</v>
      </c>
      <c r="H405" s="605" t="s">
        <v>24</v>
      </c>
      <c r="I405" s="573"/>
      <c r="J405" s="168"/>
      <c r="K405" s="168"/>
      <c r="L405" s="168"/>
      <c r="M405" s="168"/>
      <c r="N405" s="169"/>
      <c r="P405" s="8"/>
    </row>
    <row r="406" spans="1:16" s="1213" customFormat="1" ht="18" customHeight="1" x14ac:dyDescent="0.3">
      <c r="A406" s="590">
        <v>397</v>
      </c>
      <c r="B406" s="1208"/>
      <c r="C406" s="1209"/>
      <c r="D406" s="1210" t="s">
        <v>311</v>
      </c>
      <c r="E406" s="1211"/>
      <c r="F406" s="1211"/>
      <c r="G406" s="1786"/>
      <c r="H406" s="1212"/>
      <c r="I406" s="1203">
        <f>SUM(J406:N406)</f>
        <v>1445</v>
      </c>
      <c r="J406" s="1204"/>
      <c r="K406" s="1204"/>
      <c r="L406" s="1204">
        <v>1445</v>
      </c>
      <c r="M406" s="1204"/>
      <c r="N406" s="1205"/>
    </row>
    <row r="407" spans="1:16" s="1213" customFormat="1" ht="18" customHeight="1" x14ac:dyDescent="0.3">
      <c r="A407" s="590">
        <v>398</v>
      </c>
      <c r="B407" s="1208"/>
      <c r="C407" s="1209"/>
      <c r="D407" s="583" t="s">
        <v>1072</v>
      </c>
      <c r="E407" s="1211"/>
      <c r="F407" s="1211"/>
      <c r="G407" s="1786"/>
      <c r="H407" s="1212"/>
      <c r="I407" s="573">
        <f t="shared" ref="I407:I409" si="104">SUM(J407:N407)</f>
        <v>1445</v>
      </c>
      <c r="J407" s="1204"/>
      <c r="K407" s="1204"/>
      <c r="L407" s="445">
        <v>1445</v>
      </c>
      <c r="M407" s="1204"/>
      <c r="N407" s="1205"/>
    </row>
    <row r="408" spans="1:16" s="1213" customFormat="1" ht="18" customHeight="1" x14ac:dyDescent="0.3">
      <c r="A408" s="590">
        <v>399</v>
      </c>
      <c r="B408" s="1208"/>
      <c r="C408" s="1209"/>
      <c r="D408" s="1338" t="s">
        <v>963</v>
      </c>
      <c r="E408" s="1211"/>
      <c r="F408" s="1211"/>
      <c r="G408" s="1786"/>
      <c r="H408" s="1212"/>
      <c r="I408" s="1341">
        <f t="shared" si="104"/>
        <v>0</v>
      </c>
      <c r="J408" s="185"/>
      <c r="K408" s="185"/>
      <c r="L408" s="185"/>
      <c r="M408" s="185"/>
      <c r="N408" s="186"/>
    </row>
    <row r="409" spans="1:16" s="1213" customFormat="1" ht="18" customHeight="1" x14ac:dyDescent="0.3">
      <c r="A409" s="590">
        <v>400</v>
      </c>
      <c r="B409" s="1208"/>
      <c r="C409" s="1209"/>
      <c r="D409" s="583" t="s">
        <v>1151</v>
      </c>
      <c r="E409" s="1211"/>
      <c r="F409" s="1211"/>
      <c r="G409" s="1786"/>
      <c r="H409" s="1212"/>
      <c r="I409" s="573">
        <f t="shared" si="104"/>
        <v>1445</v>
      </c>
      <c r="J409" s="445"/>
      <c r="K409" s="445"/>
      <c r="L409" s="445">
        <f>SUM(L407:L408)</f>
        <v>1445</v>
      </c>
      <c r="M409" s="445"/>
      <c r="N409" s="441"/>
    </row>
    <row r="410" spans="1:16" s="3" customFormat="1" ht="22.5" customHeight="1" x14ac:dyDescent="0.3">
      <c r="A410" s="590">
        <v>401</v>
      </c>
      <c r="B410" s="161"/>
      <c r="C410" s="162">
        <v>60</v>
      </c>
      <c r="D410" s="584" t="s">
        <v>451</v>
      </c>
      <c r="E410" s="164"/>
      <c r="F410" s="164">
        <v>1000</v>
      </c>
      <c r="G410" s="1784"/>
      <c r="H410" s="605" t="s">
        <v>24</v>
      </c>
      <c r="I410" s="573"/>
      <c r="J410" s="168"/>
      <c r="K410" s="168"/>
      <c r="L410" s="168"/>
      <c r="M410" s="168"/>
      <c r="N410" s="169"/>
      <c r="P410" s="8"/>
    </row>
    <row r="411" spans="1:16" s="1213" customFormat="1" ht="18" customHeight="1" x14ac:dyDescent="0.3">
      <c r="A411" s="590">
        <v>402</v>
      </c>
      <c r="B411" s="1208"/>
      <c r="C411" s="1209"/>
      <c r="D411" s="1210" t="s">
        <v>311</v>
      </c>
      <c r="E411" s="1211"/>
      <c r="F411" s="1211"/>
      <c r="G411" s="1786"/>
      <c r="H411" s="1212"/>
      <c r="I411" s="1203">
        <f>SUM(J411:N411)</f>
        <v>850</v>
      </c>
      <c r="J411" s="1204"/>
      <c r="K411" s="1204"/>
      <c r="L411" s="1204">
        <v>850</v>
      </c>
      <c r="M411" s="1204"/>
      <c r="N411" s="1205"/>
    </row>
    <row r="412" spans="1:16" s="1213" customFormat="1" ht="18" customHeight="1" x14ac:dyDescent="0.3">
      <c r="A412" s="590">
        <v>403</v>
      </c>
      <c r="B412" s="1208"/>
      <c r="C412" s="1209"/>
      <c r="D412" s="583" t="s">
        <v>1072</v>
      </c>
      <c r="E412" s="1211"/>
      <c r="F412" s="1211"/>
      <c r="G412" s="1786"/>
      <c r="H412" s="1212"/>
      <c r="I412" s="573">
        <f t="shared" ref="I412:I414" si="105">SUM(J412:N412)</f>
        <v>0</v>
      </c>
      <c r="J412" s="1204"/>
      <c r="K412" s="1204"/>
      <c r="L412" s="445">
        <v>0</v>
      </c>
      <c r="M412" s="1204"/>
      <c r="N412" s="1205"/>
    </row>
    <row r="413" spans="1:16" s="1213" customFormat="1" ht="18" customHeight="1" x14ac:dyDescent="0.3">
      <c r="A413" s="590">
        <v>404</v>
      </c>
      <c r="B413" s="1208"/>
      <c r="C413" s="1209"/>
      <c r="D413" s="1338" t="s">
        <v>986</v>
      </c>
      <c r="E413" s="1211"/>
      <c r="F413" s="1211"/>
      <c r="G413" s="1786"/>
      <c r="H413" s="1212"/>
      <c r="I413" s="1341">
        <f t="shared" si="105"/>
        <v>0</v>
      </c>
      <c r="J413" s="185"/>
      <c r="K413" s="185"/>
      <c r="L413" s="185"/>
      <c r="M413" s="185"/>
      <c r="N413" s="186"/>
    </row>
    <row r="414" spans="1:16" s="1213" customFormat="1" ht="18" customHeight="1" x14ac:dyDescent="0.3">
      <c r="A414" s="590">
        <v>405</v>
      </c>
      <c r="B414" s="1208"/>
      <c r="C414" s="1209"/>
      <c r="D414" s="583" t="s">
        <v>1151</v>
      </c>
      <c r="E414" s="1211"/>
      <c r="F414" s="1211"/>
      <c r="G414" s="1786"/>
      <c r="H414" s="1212"/>
      <c r="I414" s="573">
        <f t="shared" si="105"/>
        <v>0</v>
      </c>
      <c r="J414" s="445"/>
      <c r="K414" s="445"/>
      <c r="L414" s="445">
        <f>SUM(L412:L413)</f>
        <v>0</v>
      </c>
      <c r="M414" s="445"/>
      <c r="N414" s="441"/>
    </row>
    <row r="415" spans="1:16" s="3" customFormat="1" ht="22.5" customHeight="1" x14ac:dyDescent="0.3">
      <c r="A415" s="590">
        <v>406</v>
      </c>
      <c r="B415" s="161"/>
      <c r="C415" s="162">
        <v>61</v>
      </c>
      <c r="D415" s="584" t="s">
        <v>81</v>
      </c>
      <c r="E415" s="164">
        <v>1000</v>
      </c>
      <c r="F415" s="164">
        <v>1000</v>
      </c>
      <c r="G415" s="1784">
        <v>1000</v>
      </c>
      <c r="H415" s="605" t="s">
        <v>24</v>
      </c>
      <c r="I415" s="573"/>
      <c r="J415" s="168"/>
      <c r="K415" s="168"/>
      <c r="L415" s="168"/>
      <c r="M415" s="168"/>
      <c r="N415" s="169"/>
      <c r="P415" s="8"/>
    </row>
    <row r="416" spans="1:16" s="1213" customFormat="1" ht="18" customHeight="1" x14ac:dyDescent="0.3">
      <c r="A416" s="590">
        <v>407</v>
      </c>
      <c r="B416" s="1208"/>
      <c r="C416" s="1209"/>
      <c r="D416" s="1210" t="s">
        <v>311</v>
      </c>
      <c r="E416" s="1211"/>
      <c r="F416" s="1211"/>
      <c r="G416" s="1786"/>
      <c r="H416" s="1212"/>
      <c r="I416" s="1203">
        <f>SUM(J416:N416)</f>
        <v>850</v>
      </c>
      <c r="J416" s="1204"/>
      <c r="K416" s="1204"/>
      <c r="L416" s="1204">
        <v>850</v>
      </c>
      <c r="M416" s="1204"/>
      <c r="N416" s="1205"/>
    </row>
    <row r="417" spans="1:16" s="1213" customFormat="1" ht="18" customHeight="1" x14ac:dyDescent="0.3">
      <c r="A417" s="590">
        <v>408</v>
      </c>
      <c r="B417" s="1208"/>
      <c r="C417" s="1209"/>
      <c r="D417" s="583" t="s">
        <v>1072</v>
      </c>
      <c r="E417" s="1211"/>
      <c r="F417" s="1211"/>
      <c r="G417" s="1786"/>
      <c r="H417" s="1212"/>
      <c r="I417" s="573">
        <f t="shared" ref="I417:I419" si="106">SUM(J417:N417)</f>
        <v>850</v>
      </c>
      <c r="J417" s="1204"/>
      <c r="K417" s="1204"/>
      <c r="L417" s="445">
        <v>850</v>
      </c>
      <c r="M417" s="1204"/>
      <c r="N417" s="1205"/>
    </row>
    <row r="418" spans="1:16" s="1213" customFormat="1" ht="18" customHeight="1" x14ac:dyDescent="0.3">
      <c r="A418" s="590">
        <v>409</v>
      </c>
      <c r="B418" s="1208"/>
      <c r="C418" s="1209"/>
      <c r="D418" s="1338" t="s">
        <v>963</v>
      </c>
      <c r="E418" s="1211"/>
      <c r="F418" s="1211"/>
      <c r="G418" s="1786"/>
      <c r="H418" s="1212"/>
      <c r="I418" s="1341">
        <f t="shared" si="106"/>
        <v>0</v>
      </c>
      <c r="J418" s="185"/>
      <c r="K418" s="185"/>
      <c r="L418" s="185"/>
      <c r="M418" s="185"/>
      <c r="N418" s="186"/>
    </row>
    <row r="419" spans="1:16" s="1213" customFormat="1" ht="18" customHeight="1" x14ac:dyDescent="0.3">
      <c r="A419" s="590">
        <v>410</v>
      </c>
      <c r="B419" s="1208"/>
      <c r="C419" s="1209"/>
      <c r="D419" s="583" t="s">
        <v>1151</v>
      </c>
      <c r="E419" s="1211"/>
      <c r="F419" s="1211"/>
      <c r="G419" s="1786"/>
      <c r="H419" s="1212"/>
      <c r="I419" s="573">
        <f t="shared" si="106"/>
        <v>850</v>
      </c>
      <c r="J419" s="445"/>
      <c r="K419" s="445"/>
      <c r="L419" s="445">
        <f>SUM(L417:L418)</f>
        <v>850</v>
      </c>
      <c r="M419" s="445"/>
      <c r="N419" s="441"/>
    </row>
    <row r="420" spans="1:16" s="8" customFormat="1" ht="22.5" customHeight="1" x14ac:dyDescent="0.3">
      <c r="A420" s="590">
        <v>411</v>
      </c>
      <c r="B420" s="165"/>
      <c r="C420" s="162">
        <v>62</v>
      </c>
      <c r="D420" s="584" t="s">
        <v>821</v>
      </c>
      <c r="E420" s="164"/>
      <c r="F420" s="164"/>
      <c r="G420" s="1784"/>
      <c r="H420" s="605" t="s">
        <v>24</v>
      </c>
      <c r="I420" s="573"/>
      <c r="J420" s="168"/>
      <c r="K420" s="168"/>
      <c r="L420" s="168"/>
      <c r="M420" s="168"/>
      <c r="N420" s="169"/>
    </row>
    <row r="421" spans="1:16" s="1213" customFormat="1" ht="18" customHeight="1" x14ac:dyDescent="0.3">
      <c r="A421" s="590">
        <v>412</v>
      </c>
      <c r="B421" s="1208"/>
      <c r="C421" s="1209"/>
      <c r="D421" s="1210" t="s">
        <v>311</v>
      </c>
      <c r="E421" s="1211"/>
      <c r="F421" s="1211"/>
      <c r="G421" s="1786"/>
      <c r="H421" s="1212"/>
      <c r="I421" s="1203">
        <f>SUM(J421:N421)</f>
        <v>1275</v>
      </c>
      <c r="J421" s="1204"/>
      <c r="K421" s="1204"/>
      <c r="L421" s="1204"/>
      <c r="M421" s="1204"/>
      <c r="N421" s="1205">
        <v>1275</v>
      </c>
    </row>
    <row r="422" spans="1:16" s="1213" customFormat="1" ht="18" customHeight="1" x14ac:dyDescent="0.3">
      <c r="A422" s="590">
        <v>413</v>
      </c>
      <c r="B422" s="1208"/>
      <c r="C422" s="1209"/>
      <c r="D422" s="583" t="s">
        <v>1072</v>
      </c>
      <c r="E422" s="1211"/>
      <c r="F422" s="1211"/>
      <c r="G422" s="1786"/>
      <c r="H422" s="1212"/>
      <c r="I422" s="573">
        <f t="shared" ref="I422:I424" si="107">SUM(J422:N422)</f>
        <v>1275</v>
      </c>
      <c r="J422" s="1204"/>
      <c r="K422" s="1204"/>
      <c r="L422" s="1204"/>
      <c r="M422" s="1204"/>
      <c r="N422" s="441">
        <v>1275</v>
      </c>
    </row>
    <row r="423" spans="1:16" s="1213" customFormat="1" ht="18" customHeight="1" x14ac:dyDescent="0.3">
      <c r="A423" s="590">
        <v>414</v>
      </c>
      <c r="B423" s="1208"/>
      <c r="C423" s="1209"/>
      <c r="D423" s="1338" t="s">
        <v>963</v>
      </c>
      <c r="E423" s="1211"/>
      <c r="F423" s="1211"/>
      <c r="G423" s="1786"/>
      <c r="H423" s="1212"/>
      <c r="I423" s="1341">
        <f t="shared" si="107"/>
        <v>0</v>
      </c>
      <c r="J423" s="185"/>
      <c r="K423" s="185"/>
      <c r="L423" s="185"/>
      <c r="M423" s="185"/>
      <c r="N423" s="186"/>
    </row>
    <row r="424" spans="1:16" s="1213" customFormat="1" ht="18" customHeight="1" x14ac:dyDescent="0.3">
      <c r="A424" s="590">
        <v>415</v>
      </c>
      <c r="B424" s="1208"/>
      <c r="C424" s="1209"/>
      <c r="D424" s="583" t="s">
        <v>1151</v>
      </c>
      <c r="E424" s="1211"/>
      <c r="F424" s="1211"/>
      <c r="G424" s="1786"/>
      <c r="H424" s="1212"/>
      <c r="I424" s="573">
        <f t="shared" si="107"/>
        <v>1275</v>
      </c>
      <c r="J424" s="445"/>
      <c r="K424" s="445"/>
      <c r="L424" s="445"/>
      <c r="M424" s="445"/>
      <c r="N424" s="441">
        <f>SUM(N422:N423)</f>
        <v>1275</v>
      </c>
    </row>
    <row r="425" spans="1:16" s="3" customFormat="1" ht="22.5" customHeight="1" x14ac:dyDescent="0.3">
      <c r="A425" s="590">
        <v>416</v>
      </c>
      <c r="B425" s="161"/>
      <c r="C425" s="162">
        <v>63</v>
      </c>
      <c r="D425" s="584" t="s">
        <v>82</v>
      </c>
      <c r="E425" s="164">
        <v>4958</v>
      </c>
      <c r="F425" s="164">
        <v>5500</v>
      </c>
      <c r="G425" s="1784">
        <v>5500</v>
      </c>
      <c r="H425" s="605" t="s">
        <v>23</v>
      </c>
      <c r="I425" s="573"/>
      <c r="J425" s="168"/>
      <c r="K425" s="168"/>
      <c r="L425" s="168"/>
      <c r="M425" s="168"/>
      <c r="N425" s="169"/>
      <c r="P425" s="8"/>
    </row>
    <row r="426" spans="1:16" s="1213" customFormat="1" ht="18" customHeight="1" x14ac:dyDescent="0.3">
      <c r="A426" s="590">
        <v>417</v>
      </c>
      <c r="B426" s="1208"/>
      <c r="C426" s="1209"/>
      <c r="D426" s="1210" t="s">
        <v>311</v>
      </c>
      <c r="E426" s="1211"/>
      <c r="F426" s="1211"/>
      <c r="G426" s="1786"/>
      <c r="H426" s="1212"/>
      <c r="I426" s="1203">
        <f>SUM(J426:N426)</f>
        <v>5500</v>
      </c>
      <c r="J426" s="1204"/>
      <c r="K426" s="1204"/>
      <c r="L426" s="1204">
        <v>5500</v>
      </c>
      <c r="M426" s="1204"/>
      <c r="N426" s="1205"/>
    </row>
    <row r="427" spans="1:16" s="1213" customFormat="1" ht="18" customHeight="1" x14ac:dyDescent="0.3">
      <c r="A427" s="590">
        <v>418</v>
      </c>
      <c r="B427" s="1208"/>
      <c r="C427" s="1209"/>
      <c r="D427" s="583" t="s">
        <v>1072</v>
      </c>
      <c r="E427" s="1211"/>
      <c r="F427" s="1211"/>
      <c r="G427" s="1786"/>
      <c r="H427" s="1212"/>
      <c r="I427" s="573">
        <f t="shared" ref="I427:I429" si="108">SUM(J427:N427)</f>
        <v>5500</v>
      </c>
      <c r="J427" s="1204"/>
      <c r="K427" s="1204"/>
      <c r="L427" s="445">
        <v>5500</v>
      </c>
      <c r="M427" s="1204"/>
      <c r="N427" s="1205"/>
    </row>
    <row r="428" spans="1:16" s="1213" customFormat="1" ht="18" customHeight="1" x14ac:dyDescent="0.3">
      <c r="A428" s="590">
        <v>419</v>
      </c>
      <c r="B428" s="1208"/>
      <c r="C428" s="1209"/>
      <c r="D428" s="1338" t="s">
        <v>963</v>
      </c>
      <c r="E428" s="1211"/>
      <c r="F428" s="1211"/>
      <c r="G428" s="1786"/>
      <c r="H428" s="1212"/>
      <c r="I428" s="1341">
        <f t="shared" si="108"/>
        <v>0</v>
      </c>
      <c r="J428" s="185"/>
      <c r="K428" s="185"/>
      <c r="L428" s="185"/>
      <c r="M428" s="185"/>
      <c r="N428" s="186"/>
    </row>
    <row r="429" spans="1:16" s="1213" customFormat="1" ht="18" customHeight="1" x14ac:dyDescent="0.3">
      <c r="A429" s="590">
        <v>420</v>
      </c>
      <c r="B429" s="1208"/>
      <c r="C429" s="1209"/>
      <c r="D429" s="583" t="s">
        <v>1151</v>
      </c>
      <c r="E429" s="1211"/>
      <c r="F429" s="1211"/>
      <c r="G429" s="1786"/>
      <c r="H429" s="1212"/>
      <c r="I429" s="573">
        <f t="shared" si="108"/>
        <v>5500</v>
      </c>
      <c r="J429" s="445"/>
      <c r="K429" s="445"/>
      <c r="L429" s="445">
        <f>SUM(L427:L428)</f>
        <v>5500</v>
      </c>
      <c r="M429" s="445"/>
      <c r="N429" s="441"/>
    </row>
    <row r="430" spans="1:16" s="3" customFormat="1" ht="22.5" customHeight="1" x14ac:dyDescent="0.3">
      <c r="A430" s="590">
        <v>421</v>
      </c>
      <c r="B430" s="161"/>
      <c r="C430" s="162">
        <v>64</v>
      </c>
      <c r="D430" s="584" t="s">
        <v>83</v>
      </c>
      <c r="E430" s="164">
        <v>4500</v>
      </c>
      <c r="F430" s="164">
        <v>4800</v>
      </c>
      <c r="G430" s="1784">
        <v>4800</v>
      </c>
      <c r="H430" s="605" t="s">
        <v>23</v>
      </c>
      <c r="I430" s="573"/>
      <c r="J430" s="168"/>
      <c r="K430" s="168"/>
      <c r="L430" s="168"/>
      <c r="M430" s="168"/>
      <c r="N430" s="169"/>
      <c r="P430" s="8"/>
    </row>
    <row r="431" spans="1:16" s="1213" customFormat="1" ht="18" customHeight="1" x14ac:dyDescent="0.3">
      <c r="A431" s="590">
        <v>422</v>
      </c>
      <c r="B431" s="1208"/>
      <c r="C431" s="1209"/>
      <c r="D431" s="1210" t="s">
        <v>311</v>
      </c>
      <c r="E431" s="1211"/>
      <c r="F431" s="1211"/>
      <c r="G431" s="1786"/>
      <c r="H431" s="1212"/>
      <c r="I431" s="1203">
        <f>SUM(J431:N431)</f>
        <v>5200</v>
      </c>
      <c r="J431" s="1204"/>
      <c r="K431" s="1204"/>
      <c r="L431" s="1204">
        <v>5200</v>
      </c>
      <c r="M431" s="1204"/>
      <c r="N431" s="1205"/>
    </row>
    <row r="432" spans="1:16" s="1213" customFormat="1" ht="18" customHeight="1" x14ac:dyDescent="0.3">
      <c r="A432" s="590">
        <v>423</v>
      </c>
      <c r="B432" s="1208"/>
      <c r="C432" s="1209"/>
      <c r="D432" s="583" t="s">
        <v>1072</v>
      </c>
      <c r="E432" s="1211"/>
      <c r="F432" s="1211"/>
      <c r="G432" s="1786"/>
      <c r="H432" s="1212"/>
      <c r="I432" s="573">
        <f t="shared" ref="I432:I434" si="109">SUM(J432:N432)</f>
        <v>5200</v>
      </c>
      <c r="J432" s="1204"/>
      <c r="K432" s="1204"/>
      <c r="L432" s="445">
        <v>5200</v>
      </c>
      <c r="M432" s="1204"/>
      <c r="N432" s="1205"/>
    </row>
    <row r="433" spans="1:16" s="1213" customFormat="1" ht="18" customHeight="1" x14ac:dyDescent="0.3">
      <c r="A433" s="590">
        <v>424</v>
      </c>
      <c r="B433" s="1208"/>
      <c r="C433" s="1209"/>
      <c r="D433" s="1338" t="s">
        <v>963</v>
      </c>
      <c r="E433" s="1211"/>
      <c r="F433" s="1211"/>
      <c r="G433" s="1786"/>
      <c r="H433" s="1212"/>
      <c r="I433" s="1341">
        <f t="shared" si="109"/>
        <v>0</v>
      </c>
      <c r="J433" s="185"/>
      <c r="K433" s="185"/>
      <c r="L433" s="185"/>
      <c r="M433" s="185"/>
      <c r="N433" s="186"/>
    </row>
    <row r="434" spans="1:16" s="1213" customFormat="1" ht="18" customHeight="1" x14ac:dyDescent="0.3">
      <c r="A434" s="590">
        <v>425</v>
      </c>
      <c r="B434" s="1208"/>
      <c r="C434" s="1209"/>
      <c r="D434" s="583" t="s">
        <v>1151</v>
      </c>
      <c r="E434" s="1211"/>
      <c r="F434" s="1211"/>
      <c r="G434" s="1786"/>
      <c r="H434" s="1212"/>
      <c r="I434" s="573">
        <f t="shared" si="109"/>
        <v>5200</v>
      </c>
      <c r="J434" s="445"/>
      <c r="K434" s="445"/>
      <c r="L434" s="445">
        <f>SUM(L432:L433)</f>
        <v>5200</v>
      </c>
      <c r="M434" s="445"/>
      <c r="N434" s="441"/>
    </row>
    <row r="435" spans="1:16" s="3" customFormat="1" ht="22.5" customHeight="1" x14ac:dyDescent="0.3">
      <c r="A435" s="590">
        <v>426</v>
      </c>
      <c r="B435" s="161"/>
      <c r="C435" s="162">
        <v>65</v>
      </c>
      <c r="D435" s="584" t="s">
        <v>84</v>
      </c>
      <c r="E435" s="164">
        <v>1391</v>
      </c>
      <c r="F435" s="164">
        <v>2845</v>
      </c>
      <c r="G435" s="1784">
        <v>1763</v>
      </c>
      <c r="H435" s="605" t="s">
        <v>24</v>
      </c>
      <c r="I435" s="573"/>
      <c r="J435" s="168"/>
      <c r="K435" s="168"/>
      <c r="L435" s="168"/>
      <c r="M435" s="168"/>
      <c r="N435" s="169"/>
      <c r="P435" s="8"/>
    </row>
    <row r="436" spans="1:16" s="1213" customFormat="1" ht="18" customHeight="1" x14ac:dyDescent="0.3">
      <c r="A436" s="590">
        <v>427</v>
      </c>
      <c r="B436" s="1208"/>
      <c r="C436" s="1209"/>
      <c r="D436" s="1210" t="s">
        <v>311</v>
      </c>
      <c r="E436" s="1211"/>
      <c r="F436" s="1211"/>
      <c r="G436" s="1786"/>
      <c r="H436" s="1212"/>
      <c r="I436" s="1203">
        <f>SUM(J436:N436)</f>
        <v>2418</v>
      </c>
      <c r="J436" s="1204"/>
      <c r="K436" s="1204"/>
      <c r="L436" s="1204">
        <v>2418</v>
      </c>
      <c r="M436" s="1204"/>
      <c r="N436" s="1205"/>
    </row>
    <row r="437" spans="1:16" s="1213" customFormat="1" ht="18" customHeight="1" x14ac:dyDescent="0.3">
      <c r="A437" s="590">
        <v>428</v>
      </c>
      <c r="B437" s="1208"/>
      <c r="C437" s="1209"/>
      <c r="D437" s="583" t="s">
        <v>1072</v>
      </c>
      <c r="E437" s="1211"/>
      <c r="F437" s="1211"/>
      <c r="G437" s="1786"/>
      <c r="H437" s="1212"/>
      <c r="I437" s="573">
        <f t="shared" ref="I437:I439" si="110">SUM(J437:N437)</f>
        <v>3418</v>
      </c>
      <c r="J437" s="1204"/>
      <c r="K437" s="1204"/>
      <c r="L437" s="445">
        <v>3418</v>
      </c>
      <c r="M437" s="1204"/>
      <c r="N437" s="1205"/>
    </row>
    <row r="438" spans="1:16" s="1213" customFormat="1" ht="18" customHeight="1" x14ac:dyDescent="0.3">
      <c r="A438" s="590">
        <v>429</v>
      </c>
      <c r="B438" s="1208"/>
      <c r="C438" s="1209"/>
      <c r="D438" s="1338" t="s">
        <v>986</v>
      </c>
      <c r="E438" s="1211"/>
      <c r="F438" s="1211"/>
      <c r="G438" s="1786"/>
      <c r="H438" s="1212"/>
      <c r="I438" s="1341">
        <f t="shared" si="110"/>
        <v>0</v>
      </c>
      <c r="J438" s="185"/>
      <c r="K438" s="185"/>
      <c r="L438" s="185"/>
      <c r="M438" s="185"/>
      <c r="N438" s="186"/>
    </row>
    <row r="439" spans="1:16" s="1213" customFormat="1" ht="18" customHeight="1" x14ac:dyDescent="0.3">
      <c r="A439" s="590">
        <v>430</v>
      </c>
      <c r="B439" s="1208"/>
      <c r="C439" s="1209"/>
      <c r="D439" s="583" t="s">
        <v>1151</v>
      </c>
      <c r="E439" s="1211"/>
      <c r="F439" s="1211"/>
      <c r="G439" s="1786"/>
      <c r="H439" s="1212"/>
      <c r="I439" s="573">
        <f t="shared" si="110"/>
        <v>3418</v>
      </c>
      <c r="J439" s="445"/>
      <c r="K439" s="445"/>
      <c r="L439" s="445">
        <f>SUM(L437:L438)</f>
        <v>3418</v>
      </c>
      <c r="M439" s="445"/>
      <c r="N439" s="441"/>
    </row>
    <row r="440" spans="1:16" s="3" customFormat="1" ht="22.5" customHeight="1" x14ac:dyDescent="0.3">
      <c r="A440" s="590">
        <v>431</v>
      </c>
      <c r="B440" s="161"/>
      <c r="C440" s="162">
        <v>66</v>
      </c>
      <c r="D440" s="584" t="s">
        <v>85</v>
      </c>
      <c r="E440" s="164">
        <v>189681</v>
      </c>
      <c r="F440" s="164">
        <v>218519</v>
      </c>
      <c r="G440" s="1784">
        <v>197049</v>
      </c>
      <c r="H440" s="605" t="s">
        <v>23</v>
      </c>
      <c r="I440" s="573"/>
      <c r="J440" s="168"/>
      <c r="K440" s="168"/>
      <c r="L440" s="168"/>
      <c r="M440" s="168"/>
      <c r="N440" s="169"/>
      <c r="P440" s="8"/>
    </row>
    <row r="441" spans="1:16" s="1213" customFormat="1" ht="18" customHeight="1" x14ac:dyDescent="0.3">
      <c r="A441" s="590">
        <v>432</v>
      </c>
      <c r="B441" s="1208"/>
      <c r="C441" s="1209"/>
      <c r="D441" s="1210" t="s">
        <v>311</v>
      </c>
      <c r="E441" s="1211"/>
      <c r="F441" s="1211"/>
      <c r="G441" s="1786"/>
      <c r="H441" s="1212"/>
      <c r="I441" s="1203">
        <f>SUM(J441:N441)</f>
        <v>255180</v>
      </c>
      <c r="J441" s="1204">
        <v>153862</v>
      </c>
      <c r="K441" s="1204">
        <v>26611</v>
      </c>
      <c r="L441" s="1204">
        <f>77707-3000</f>
        <v>74707</v>
      </c>
      <c r="M441" s="1204"/>
      <c r="N441" s="1205"/>
    </row>
    <row r="442" spans="1:16" s="1213" customFormat="1" ht="18" customHeight="1" x14ac:dyDescent="0.3">
      <c r="A442" s="590">
        <v>433</v>
      </c>
      <c r="B442" s="1208"/>
      <c r="C442" s="1209"/>
      <c r="D442" s="583" t="s">
        <v>1072</v>
      </c>
      <c r="E442" s="1211"/>
      <c r="F442" s="1211"/>
      <c r="G442" s="1786"/>
      <c r="H442" s="1212"/>
      <c r="I442" s="573">
        <f t="shared" ref="I442:I444" si="111">SUM(J442:N442)</f>
        <v>273424</v>
      </c>
      <c r="J442" s="445">
        <v>158536</v>
      </c>
      <c r="K442" s="445">
        <v>30817</v>
      </c>
      <c r="L442" s="445">
        <v>84071</v>
      </c>
      <c r="M442" s="1204"/>
      <c r="N442" s="1205"/>
    </row>
    <row r="443" spans="1:16" s="1213" customFormat="1" ht="18" customHeight="1" x14ac:dyDescent="0.3">
      <c r="A443" s="590">
        <v>434</v>
      </c>
      <c r="B443" s="1208"/>
      <c r="C443" s="1209"/>
      <c r="D443" s="1338" t="s">
        <v>986</v>
      </c>
      <c r="E443" s="1211"/>
      <c r="F443" s="1211"/>
      <c r="G443" s="1786"/>
      <c r="H443" s="1212"/>
      <c r="I443" s="1341">
        <f t="shared" si="111"/>
        <v>0</v>
      </c>
      <c r="J443" s="185"/>
      <c r="K443" s="185"/>
      <c r="L443" s="185"/>
      <c r="M443" s="185"/>
      <c r="N443" s="186"/>
    </row>
    <row r="444" spans="1:16" s="1213" customFormat="1" ht="18" customHeight="1" x14ac:dyDescent="0.3">
      <c r="A444" s="590">
        <v>435</v>
      </c>
      <c r="B444" s="1208"/>
      <c r="C444" s="1209"/>
      <c r="D444" s="583" t="s">
        <v>1151</v>
      </c>
      <c r="E444" s="1211"/>
      <c r="F444" s="1211"/>
      <c r="G444" s="1786"/>
      <c r="H444" s="1212"/>
      <c r="I444" s="573">
        <f t="shared" si="111"/>
        <v>273424</v>
      </c>
      <c r="J444" s="445">
        <f>SUM(J442:J443)</f>
        <v>158536</v>
      </c>
      <c r="K444" s="445">
        <f t="shared" ref="K444:L444" si="112">SUM(K442:K443)</f>
        <v>30817</v>
      </c>
      <c r="L444" s="445">
        <f t="shared" si="112"/>
        <v>84071</v>
      </c>
      <c r="M444" s="445"/>
      <c r="N444" s="441"/>
    </row>
    <row r="445" spans="1:16" s="8" customFormat="1" ht="22.5" customHeight="1" x14ac:dyDescent="0.3">
      <c r="A445" s="590">
        <v>436</v>
      </c>
      <c r="B445" s="165"/>
      <c r="C445" s="162">
        <v>67</v>
      </c>
      <c r="D445" s="583" t="s">
        <v>452</v>
      </c>
      <c r="E445" s="164">
        <v>180</v>
      </c>
      <c r="F445" s="164">
        <v>180</v>
      </c>
      <c r="G445" s="1784">
        <v>180</v>
      </c>
      <c r="H445" s="605" t="s">
        <v>23</v>
      </c>
      <c r="I445" s="573"/>
      <c r="J445" s="168"/>
      <c r="K445" s="168"/>
      <c r="L445" s="168"/>
      <c r="M445" s="168"/>
      <c r="N445" s="169"/>
    </row>
    <row r="446" spans="1:16" s="1213" customFormat="1" ht="18" customHeight="1" x14ac:dyDescent="0.3">
      <c r="A446" s="590">
        <v>437</v>
      </c>
      <c r="B446" s="1208"/>
      <c r="C446" s="1209"/>
      <c r="D446" s="1210" t="s">
        <v>311</v>
      </c>
      <c r="E446" s="1211"/>
      <c r="F446" s="1211"/>
      <c r="G446" s="1786"/>
      <c r="H446" s="1212"/>
      <c r="I446" s="1203">
        <f>SUM(J446:N446)</f>
        <v>180</v>
      </c>
      <c r="J446" s="1204"/>
      <c r="K446" s="1204"/>
      <c r="L446" s="1204">
        <v>180</v>
      </c>
      <c r="M446" s="1204"/>
      <c r="N446" s="1205"/>
    </row>
    <row r="447" spans="1:16" s="1213" customFormat="1" ht="18" customHeight="1" x14ac:dyDescent="0.3">
      <c r="A447" s="590">
        <v>438</v>
      </c>
      <c r="B447" s="1208"/>
      <c r="C447" s="1209"/>
      <c r="D447" s="583" t="s">
        <v>1072</v>
      </c>
      <c r="E447" s="1211"/>
      <c r="F447" s="1211"/>
      <c r="G447" s="1786"/>
      <c r="H447" s="1212"/>
      <c r="I447" s="573">
        <f t="shared" ref="I447:I449" si="113">SUM(J447:N447)</f>
        <v>180</v>
      </c>
      <c r="J447" s="1204"/>
      <c r="K447" s="1204"/>
      <c r="L447" s="445">
        <v>180</v>
      </c>
      <c r="M447" s="1204"/>
      <c r="N447" s="1205"/>
    </row>
    <row r="448" spans="1:16" s="1213" customFormat="1" ht="18" customHeight="1" x14ac:dyDescent="0.3">
      <c r="A448" s="590">
        <v>439</v>
      </c>
      <c r="B448" s="1208"/>
      <c r="C448" s="1209"/>
      <c r="D448" s="1338" t="s">
        <v>963</v>
      </c>
      <c r="E448" s="1211"/>
      <c r="F448" s="1211"/>
      <c r="G448" s="1786"/>
      <c r="H448" s="1212"/>
      <c r="I448" s="1341">
        <f t="shared" si="113"/>
        <v>0</v>
      </c>
      <c r="J448" s="185"/>
      <c r="K448" s="185"/>
      <c r="L448" s="185"/>
      <c r="M448" s="185"/>
      <c r="N448" s="186"/>
    </row>
    <row r="449" spans="1:16" s="1213" customFormat="1" ht="18" customHeight="1" x14ac:dyDescent="0.3">
      <c r="A449" s="590">
        <v>440</v>
      </c>
      <c r="B449" s="1208"/>
      <c r="C449" s="1209"/>
      <c r="D449" s="583" t="s">
        <v>1151</v>
      </c>
      <c r="E449" s="1211"/>
      <c r="F449" s="1211"/>
      <c r="G449" s="1786"/>
      <c r="H449" s="1212"/>
      <c r="I449" s="573">
        <f t="shared" si="113"/>
        <v>180</v>
      </c>
      <c r="J449" s="445"/>
      <c r="K449" s="445"/>
      <c r="L449" s="445">
        <f>SUM(L447:L448)</f>
        <v>180</v>
      </c>
      <c r="M449" s="445"/>
      <c r="N449" s="441"/>
    </row>
    <row r="450" spans="1:16" s="3" customFormat="1" ht="22.5" customHeight="1" x14ac:dyDescent="0.3">
      <c r="A450" s="590">
        <v>441</v>
      </c>
      <c r="B450" s="161"/>
      <c r="C450" s="162">
        <v>68</v>
      </c>
      <c r="D450" s="584" t="s">
        <v>86</v>
      </c>
      <c r="E450" s="164">
        <v>7276</v>
      </c>
      <c r="F450" s="164">
        <v>25000</v>
      </c>
      <c r="G450" s="1784">
        <v>14161</v>
      </c>
      <c r="H450" s="605" t="s">
        <v>23</v>
      </c>
      <c r="I450" s="573"/>
      <c r="J450" s="168"/>
      <c r="K450" s="168"/>
      <c r="L450" s="168"/>
      <c r="M450" s="168"/>
      <c r="N450" s="169"/>
      <c r="P450" s="8"/>
    </row>
    <row r="451" spans="1:16" s="1213" customFormat="1" ht="18" customHeight="1" x14ac:dyDescent="0.3">
      <c r="A451" s="590">
        <v>442</v>
      </c>
      <c r="B451" s="1230"/>
      <c r="C451" s="1209"/>
      <c r="D451" s="1210" t="s">
        <v>311</v>
      </c>
      <c r="E451" s="1215"/>
      <c r="F451" s="1215"/>
      <c r="G451" s="1789"/>
      <c r="H451" s="1216"/>
      <c r="I451" s="1203">
        <f>SUM(J451:N451)</f>
        <v>54536</v>
      </c>
      <c r="J451" s="1217"/>
      <c r="K451" s="1217"/>
      <c r="L451" s="1217"/>
      <c r="M451" s="1217"/>
      <c r="N451" s="1218">
        <f>54541-5</f>
        <v>54536</v>
      </c>
    </row>
    <row r="452" spans="1:16" s="1213" customFormat="1" ht="18" customHeight="1" x14ac:dyDescent="0.3">
      <c r="A452" s="590">
        <v>443</v>
      </c>
      <c r="B452" s="1230"/>
      <c r="C452" s="1209"/>
      <c r="D452" s="583" t="s">
        <v>1072</v>
      </c>
      <c r="E452" s="1215"/>
      <c r="F452" s="1215"/>
      <c r="G452" s="1789"/>
      <c r="H452" s="1216"/>
      <c r="I452" s="573">
        <f>SUM(J452:N452)</f>
        <v>190941</v>
      </c>
      <c r="J452" s="1217"/>
      <c r="K452" s="1217"/>
      <c r="L452" s="1339">
        <v>2293</v>
      </c>
      <c r="M452" s="1217"/>
      <c r="N452" s="1340">
        <v>188648</v>
      </c>
    </row>
    <row r="453" spans="1:16" s="1213" customFormat="1" ht="18" customHeight="1" x14ac:dyDescent="0.3">
      <c r="A453" s="590">
        <v>444</v>
      </c>
      <c r="B453" s="1230"/>
      <c r="C453" s="1209"/>
      <c r="D453" s="1338" t="s">
        <v>987</v>
      </c>
      <c r="E453" s="1215"/>
      <c r="F453" s="1215"/>
      <c r="G453" s="1789"/>
      <c r="H453" s="1216"/>
      <c r="I453" s="1341">
        <f t="shared" ref="I453" si="114">SUM(J453:N453)</f>
        <v>155930</v>
      </c>
      <c r="J453" s="628"/>
      <c r="K453" s="628"/>
      <c r="L453" s="628"/>
      <c r="M453" s="628"/>
      <c r="N453" s="629">
        <v>155930</v>
      </c>
    </row>
    <row r="454" spans="1:16" s="1213" customFormat="1" ht="18" customHeight="1" x14ac:dyDescent="0.3">
      <c r="A454" s="590">
        <v>445</v>
      </c>
      <c r="B454" s="1230"/>
      <c r="C454" s="1209"/>
      <c r="D454" s="583" t="s">
        <v>1151</v>
      </c>
      <c r="E454" s="1215"/>
      <c r="F454" s="1215"/>
      <c r="G454" s="1789"/>
      <c r="H454" s="1216"/>
      <c r="I454" s="573">
        <f>SUM(J454:N454)</f>
        <v>346871</v>
      </c>
      <c r="J454" s="1339"/>
      <c r="K454" s="1339"/>
      <c r="L454" s="1339">
        <f>SUM(L452:L453)</f>
        <v>2293</v>
      </c>
      <c r="M454" s="1339"/>
      <c r="N454" s="1340">
        <f>SUM(N452:N453)</f>
        <v>344578</v>
      </c>
    </row>
    <row r="455" spans="1:16" s="3" customFormat="1" ht="22.5" customHeight="1" x14ac:dyDescent="0.3">
      <c r="A455" s="590">
        <v>446</v>
      </c>
      <c r="B455" s="161"/>
      <c r="C455" s="162">
        <v>69</v>
      </c>
      <c r="D455" s="584" t="s">
        <v>87</v>
      </c>
      <c r="E455" s="164">
        <v>121137</v>
      </c>
      <c r="F455" s="164">
        <v>136877</v>
      </c>
      <c r="G455" s="1784">
        <v>164182</v>
      </c>
      <c r="H455" s="605" t="s">
        <v>23</v>
      </c>
      <c r="I455" s="573"/>
      <c r="J455" s="168"/>
      <c r="K455" s="168"/>
      <c r="L455" s="168"/>
      <c r="M455" s="168"/>
      <c r="N455" s="169"/>
      <c r="P455" s="8"/>
    </row>
    <row r="456" spans="1:16" s="1213" customFormat="1" ht="18" customHeight="1" x14ac:dyDescent="0.3">
      <c r="A456" s="590">
        <v>447</v>
      </c>
      <c r="B456" s="1208"/>
      <c r="C456" s="1209"/>
      <c r="D456" s="1210" t="s">
        <v>311</v>
      </c>
      <c r="E456" s="1211"/>
      <c r="F456" s="1211"/>
      <c r="G456" s="1786"/>
      <c r="H456" s="1212"/>
      <c r="I456" s="1203">
        <f>SUM(J456:N456)</f>
        <v>158489</v>
      </c>
      <c r="J456" s="1204"/>
      <c r="K456" s="1204"/>
      <c r="L456" s="1204">
        <v>158489</v>
      </c>
      <c r="M456" s="1204"/>
      <c r="N456" s="1205"/>
    </row>
    <row r="457" spans="1:16" s="1213" customFormat="1" ht="18" customHeight="1" x14ac:dyDescent="0.3">
      <c r="A457" s="590">
        <v>448</v>
      </c>
      <c r="B457" s="1208"/>
      <c r="C457" s="1209"/>
      <c r="D457" s="583" t="s">
        <v>1072</v>
      </c>
      <c r="E457" s="1211"/>
      <c r="F457" s="1211"/>
      <c r="G457" s="1786"/>
      <c r="H457" s="1212"/>
      <c r="I457" s="573">
        <f t="shared" ref="I457:I459" si="115">SUM(J457:N457)</f>
        <v>139930</v>
      </c>
      <c r="J457" s="1204"/>
      <c r="K457" s="1204"/>
      <c r="L457" s="445">
        <v>139930</v>
      </c>
      <c r="M457" s="1204"/>
      <c r="N457" s="1205"/>
    </row>
    <row r="458" spans="1:16" s="1213" customFormat="1" ht="18" customHeight="1" x14ac:dyDescent="0.3">
      <c r="A458" s="590">
        <v>449</v>
      </c>
      <c r="B458" s="1208"/>
      <c r="C458" s="1209"/>
      <c r="D458" s="1338" t="s">
        <v>986</v>
      </c>
      <c r="E458" s="1211"/>
      <c r="F458" s="1211"/>
      <c r="G458" s="1786"/>
      <c r="H458" s="1212"/>
      <c r="I458" s="1341">
        <f t="shared" si="115"/>
        <v>0</v>
      </c>
      <c r="J458" s="185"/>
      <c r="K458" s="185"/>
      <c r="L458" s="185"/>
      <c r="M458" s="185"/>
      <c r="N458" s="186"/>
    </row>
    <row r="459" spans="1:16" s="1213" customFormat="1" ht="18" customHeight="1" x14ac:dyDescent="0.3">
      <c r="A459" s="590">
        <v>450</v>
      </c>
      <c r="B459" s="1208"/>
      <c r="C459" s="1209"/>
      <c r="D459" s="583" t="s">
        <v>1151</v>
      </c>
      <c r="E459" s="1211"/>
      <c r="F459" s="1211"/>
      <c r="G459" s="1786"/>
      <c r="H459" s="1212"/>
      <c r="I459" s="573">
        <f t="shared" si="115"/>
        <v>139930</v>
      </c>
      <c r="J459" s="445"/>
      <c r="K459" s="445"/>
      <c r="L459" s="445">
        <f>SUM(L457:L458)</f>
        <v>139930</v>
      </c>
      <c r="M459" s="445"/>
      <c r="N459" s="441"/>
    </row>
    <row r="460" spans="1:16" s="3" customFormat="1" ht="22.5" customHeight="1" x14ac:dyDescent="0.3">
      <c r="A460" s="590">
        <v>451</v>
      </c>
      <c r="B460" s="161"/>
      <c r="C460" s="162">
        <v>70</v>
      </c>
      <c r="D460" s="584" t="s">
        <v>88</v>
      </c>
      <c r="E460" s="164">
        <v>15166</v>
      </c>
      <c r="F460" s="164">
        <v>16687</v>
      </c>
      <c r="G460" s="1784">
        <v>13955</v>
      </c>
      <c r="H460" s="605" t="s">
        <v>24</v>
      </c>
      <c r="I460" s="573"/>
      <c r="J460" s="168"/>
      <c r="K460" s="168"/>
      <c r="L460" s="168"/>
      <c r="M460" s="168"/>
      <c r="N460" s="169"/>
      <c r="P460" s="8"/>
    </row>
    <row r="461" spans="1:16" s="1213" customFormat="1" ht="18" customHeight="1" x14ac:dyDescent="0.3">
      <c r="A461" s="590">
        <v>452</v>
      </c>
      <c r="B461" s="1208"/>
      <c r="C461" s="1209"/>
      <c r="D461" s="1210" t="s">
        <v>311</v>
      </c>
      <c r="E461" s="1211"/>
      <c r="F461" s="1211"/>
      <c r="G461" s="1786"/>
      <c r="H461" s="1212"/>
      <c r="I461" s="1203">
        <f>SUM(J461:N461)</f>
        <v>40583</v>
      </c>
      <c r="J461" s="1204"/>
      <c r="K461" s="1204"/>
      <c r="L461" s="1204">
        <v>40583</v>
      </c>
      <c r="M461" s="1204"/>
      <c r="N461" s="1205"/>
    </row>
    <row r="462" spans="1:16" s="1213" customFormat="1" ht="18" customHeight="1" x14ac:dyDescent="0.3">
      <c r="A462" s="590">
        <v>453</v>
      </c>
      <c r="B462" s="1208"/>
      <c r="C462" s="1209"/>
      <c r="D462" s="583" t="s">
        <v>1072</v>
      </c>
      <c r="E462" s="1211"/>
      <c r="F462" s="1211"/>
      <c r="G462" s="1786"/>
      <c r="H462" s="1212"/>
      <c r="I462" s="573">
        <f t="shared" ref="I462:I464" si="116">SUM(J462:N462)</f>
        <v>40583</v>
      </c>
      <c r="J462" s="1204"/>
      <c r="K462" s="1204"/>
      <c r="L462" s="445">
        <v>40583</v>
      </c>
      <c r="M462" s="1204"/>
      <c r="N462" s="1205"/>
    </row>
    <row r="463" spans="1:16" s="1213" customFormat="1" ht="18" customHeight="1" x14ac:dyDescent="0.3">
      <c r="A463" s="590">
        <v>454</v>
      </c>
      <c r="B463" s="1208"/>
      <c r="C463" s="1209"/>
      <c r="D463" s="1338" t="s">
        <v>963</v>
      </c>
      <c r="E463" s="1211"/>
      <c r="F463" s="1211"/>
      <c r="G463" s="1786"/>
      <c r="H463" s="1212"/>
      <c r="I463" s="1341">
        <f t="shared" si="116"/>
        <v>0</v>
      </c>
      <c r="J463" s="185"/>
      <c r="K463" s="185"/>
      <c r="L463" s="185"/>
      <c r="M463" s="185"/>
      <c r="N463" s="186"/>
    </row>
    <row r="464" spans="1:16" s="1213" customFormat="1" ht="18" customHeight="1" x14ac:dyDescent="0.3">
      <c r="A464" s="590">
        <v>455</v>
      </c>
      <c r="B464" s="1208"/>
      <c r="C464" s="1209"/>
      <c r="D464" s="583" t="s">
        <v>1151</v>
      </c>
      <c r="E464" s="1211"/>
      <c r="F464" s="1211"/>
      <c r="G464" s="1786"/>
      <c r="H464" s="1212"/>
      <c r="I464" s="573">
        <f t="shared" si="116"/>
        <v>40583</v>
      </c>
      <c r="J464" s="445"/>
      <c r="K464" s="445"/>
      <c r="L464" s="445">
        <f>SUM(L462:L463)</f>
        <v>40583</v>
      </c>
      <c r="M464" s="445"/>
      <c r="N464" s="441"/>
    </row>
    <row r="465" spans="1:16" s="8" customFormat="1" ht="22.5" customHeight="1" x14ac:dyDescent="0.3">
      <c r="A465" s="590">
        <v>456</v>
      </c>
      <c r="B465" s="165"/>
      <c r="C465" s="162">
        <v>71</v>
      </c>
      <c r="D465" s="583" t="s">
        <v>453</v>
      </c>
      <c r="E465" s="164">
        <v>244205</v>
      </c>
      <c r="F465" s="164">
        <v>306766</v>
      </c>
      <c r="G465" s="1784">
        <v>306766</v>
      </c>
      <c r="H465" s="605" t="s">
        <v>23</v>
      </c>
      <c r="I465" s="573"/>
      <c r="J465" s="168"/>
      <c r="K465" s="168"/>
      <c r="L465" s="168"/>
      <c r="M465" s="168"/>
      <c r="N465" s="169"/>
    </row>
    <row r="466" spans="1:16" s="1213" customFormat="1" ht="18" customHeight="1" x14ac:dyDescent="0.3">
      <c r="A466" s="590">
        <v>457</v>
      </c>
      <c r="B466" s="1208"/>
      <c r="C466" s="1209"/>
      <c r="D466" s="1210" t="s">
        <v>311</v>
      </c>
      <c r="E466" s="1211"/>
      <c r="F466" s="1211"/>
      <c r="G466" s="1786"/>
      <c r="H466" s="1212"/>
      <c r="I466" s="1203">
        <f>SUM(J466:N466)</f>
        <v>394879</v>
      </c>
      <c r="J466" s="1204"/>
      <c r="K466" s="1204"/>
      <c r="L466" s="1204"/>
      <c r="M466" s="1204"/>
      <c r="N466" s="1205">
        <v>394879</v>
      </c>
    </row>
    <row r="467" spans="1:16" s="1213" customFormat="1" ht="18" customHeight="1" x14ac:dyDescent="0.3">
      <c r="A467" s="590">
        <v>458</v>
      </c>
      <c r="B467" s="1208"/>
      <c r="C467" s="1209"/>
      <c r="D467" s="583" t="s">
        <v>1072</v>
      </c>
      <c r="E467" s="1211"/>
      <c r="F467" s="1211"/>
      <c r="G467" s="1786"/>
      <c r="H467" s="1212"/>
      <c r="I467" s="573">
        <f t="shared" ref="I467:I469" si="117">SUM(J467:N467)</f>
        <v>301689</v>
      </c>
      <c r="J467" s="1204"/>
      <c r="K467" s="1204"/>
      <c r="L467" s="1204"/>
      <c r="M467" s="1204"/>
      <c r="N467" s="441">
        <v>301689</v>
      </c>
    </row>
    <row r="468" spans="1:16" s="1213" customFormat="1" ht="18" customHeight="1" x14ac:dyDescent="0.3">
      <c r="A468" s="590">
        <v>459</v>
      </c>
      <c r="B468" s="1208"/>
      <c r="C468" s="1209"/>
      <c r="D468" s="1338" t="s">
        <v>986</v>
      </c>
      <c r="E468" s="1211"/>
      <c r="F468" s="1211"/>
      <c r="G468" s="1786"/>
      <c r="H468" s="1212"/>
      <c r="I468" s="1341">
        <f t="shared" si="117"/>
        <v>0</v>
      </c>
      <c r="J468" s="185"/>
      <c r="K468" s="185"/>
      <c r="L468" s="185"/>
      <c r="M468" s="185"/>
      <c r="N468" s="186"/>
    </row>
    <row r="469" spans="1:16" s="1213" customFormat="1" ht="18" customHeight="1" x14ac:dyDescent="0.3">
      <c r="A469" s="590">
        <v>460</v>
      </c>
      <c r="B469" s="1208"/>
      <c r="C469" s="1209"/>
      <c r="D469" s="583" t="s">
        <v>1151</v>
      </c>
      <c r="E469" s="1211"/>
      <c r="F469" s="1211"/>
      <c r="G469" s="1786"/>
      <c r="H469" s="1212"/>
      <c r="I469" s="573">
        <f t="shared" si="117"/>
        <v>301689</v>
      </c>
      <c r="J469" s="445"/>
      <c r="K469" s="445"/>
      <c r="L469" s="445"/>
      <c r="M469" s="445"/>
      <c r="N469" s="441">
        <f>SUM(N467:N468)</f>
        <v>301689</v>
      </c>
    </row>
    <row r="470" spans="1:16" s="3" customFormat="1" ht="22.5" customHeight="1" x14ac:dyDescent="0.3">
      <c r="A470" s="590">
        <v>461</v>
      </c>
      <c r="B470" s="161"/>
      <c r="C470" s="162">
        <v>72</v>
      </c>
      <c r="D470" s="584" t="s">
        <v>90</v>
      </c>
      <c r="E470" s="164">
        <v>5300</v>
      </c>
      <c r="F470" s="164">
        <v>15000</v>
      </c>
      <c r="G470" s="1784">
        <v>15000</v>
      </c>
      <c r="H470" s="605" t="s">
        <v>24</v>
      </c>
      <c r="I470" s="573"/>
      <c r="J470" s="168"/>
      <c r="K470" s="168"/>
      <c r="L470" s="168"/>
      <c r="M470" s="168"/>
      <c r="N470" s="169"/>
      <c r="P470" s="8"/>
    </row>
    <row r="471" spans="1:16" s="1213" customFormat="1" ht="18" customHeight="1" x14ac:dyDescent="0.3">
      <c r="A471" s="590">
        <v>462</v>
      </c>
      <c r="B471" s="1208"/>
      <c r="C471" s="1209"/>
      <c r="D471" s="1210" t="s">
        <v>311</v>
      </c>
      <c r="E471" s="1211"/>
      <c r="F471" s="1211"/>
      <c r="G471" s="1786"/>
      <c r="H471" s="1212"/>
      <c r="I471" s="1203">
        <f>SUM(J471:N471)</f>
        <v>12750</v>
      </c>
      <c r="J471" s="1204"/>
      <c r="K471" s="1204"/>
      <c r="L471" s="1204"/>
      <c r="M471" s="1204"/>
      <c r="N471" s="1205">
        <v>12750</v>
      </c>
    </row>
    <row r="472" spans="1:16" s="1213" customFormat="1" ht="18" customHeight="1" x14ac:dyDescent="0.3">
      <c r="A472" s="590">
        <v>463</v>
      </c>
      <c r="B472" s="1208"/>
      <c r="C472" s="1209"/>
      <c r="D472" s="583" t="s">
        <v>1072</v>
      </c>
      <c r="E472" s="1211"/>
      <c r="F472" s="1211"/>
      <c r="G472" s="1786"/>
      <c r="H472" s="1212"/>
      <c r="I472" s="573">
        <f t="shared" ref="I472:I474" si="118">SUM(J472:N472)</f>
        <v>12750</v>
      </c>
      <c r="J472" s="1204"/>
      <c r="K472" s="1204"/>
      <c r="L472" s="1204"/>
      <c r="M472" s="1204"/>
      <c r="N472" s="441">
        <v>12750</v>
      </c>
    </row>
    <row r="473" spans="1:16" s="1213" customFormat="1" ht="18" customHeight="1" x14ac:dyDescent="0.3">
      <c r="A473" s="590">
        <v>464</v>
      </c>
      <c r="B473" s="1208"/>
      <c r="C473" s="1209"/>
      <c r="D473" s="1338" t="s">
        <v>963</v>
      </c>
      <c r="E473" s="1211"/>
      <c r="F473" s="1211"/>
      <c r="G473" s="1786"/>
      <c r="H473" s="1212"/>
      <c r="I473" s="1341">
        <f t="shared" si="118"/>
        <v>0</v>
      </c>
      <c r="J473" s="445"/>
      <c r="K473" s="445"/>
      <c r="L473" s="445"/>
      <c r="M473" s="445"/>
      <c r="N473" s="441"/>
    </row>
    <row r="474" spans="1:16" s="1213" customFormat="1" ht="18" customHeight="1" x14ac:dyDescent="0.3">
      <c r="A474" s="590">
        <v>465</v>
      </c>
      <c r="B474" s="1208"/>
      <c r="C474" s="1209"/>
      <c r="D474" s="583" t="s">
        <v>1151</v>
      </c>
      <c r="E474" s="1211"/>
      <c r="F474" s="1211"/>
      <c r="G474" s="1786"/>
      <c r="H474" s="1212"/>
      <c r="I474" s="573">
        <f t="shared" si="118"/>
        <v>12750</v>
      </c>
      <c r="J474" s="445"/>
      <c r="K474" s="445"/>
      <c r="L474" s="445"/>
      <c r="M474" s="445"/>
      <c r="N474" s="441">
        <f>SUM(N472:N473)</f>
        <v>12750</v>
      </c>
    </row>
    <row r="475" spans="1:16" s="3" customFormat="1" ht="22.5" customHeight="1" x14ac:dyDescent="0.35">
      <c r="A475" s="590">
        <v>466</v>
      </c>
      <c r="B475" s="161"/>
      <c r="C475" s="162">
        <v>73</v>
      </c>
      <c r="D475" s="587" t="s">
        <v>454</v>
      </c>
      <c r="E475" s="164">
        <v>305180</v>
      </c>
      <c r="F475" s="164">
        <v>160000</v>
      </c>
      <c r="G475" s="1784">
        <v>135683</v>
      </c>
      <c r="H475" s="605" t="s">
        <v>23</v>
      </c>
      <c r="I475" s="573"/>
      <c r="J475" s="168"/>
      <c r="K475" s="168"/>
      <c r="L475" s="168"/>
      <c r="M475" s="168"/>
      <c r="N475" s="169"/>
      <c r="P475" s="8"/>
    </row>
    <row r="476" spans="1:16" s="1213" customFormat="1" ht="18" customHeight="1" x14ac:dyDescent="0.3">
      <c r="A476" s="590">
        <v>467</v>
      </c>
      <c r="B476" s="1208"/>
      <c r="C476" s="1209"/>
      <c r="D476" s="1210" t="s">
        <v>311</v>
      </c>
      <c r="E476" s="1211"/>
      <c r="F476" s="1211"/>
      <c r="G476" s="1786"/>
      <c r="H476" s="1212"/>
      <c r="I476" s="1203">
        <f>SUM(J476:N476)</f>
        <v>70760</v>
      </c>
      <c r="J476" s="1204"/>
      <c r="K476" s="1204"/>
      <c r="L476" s="1204"/>
      <c r="M476" s="1204"/>
      <c r="N476" s="1205">
        <v>70760</v>
      </c>
    </row>
    <row r="477" spans="1:16" s="1213" customFormat="1" ht="18" customHeight="1" x14ac:dyDescent="0.3">
      <c r="A477" s="590">
        <v>468</v>
      </c>
      <c r="B477" s="1208"/>
      <c r="C477" s="1209"/>
      <c r="D477" s="583" t="s">
        <v>1072</v>
      </c>
      <c r="E477" s="1211"/>
      <c r="F477" s="1211"/>
      <c r="G477" s="1786"/>
      <c r="H477" s="1212"/>
      <c r="I477" s="573">
        <f t="shared" ref="I477:I479" si="119">SUM(J477:N477)</f>
        <v>70760</v>
      </c>
      <c r="J477" s="1204"/>
      <c r="K477" s="1204"/>
      <c r="L477" s="1204"/>
      <c r="M477" s="1204"/>
      <c r="N477" s="441">
        <v>70760</v>
      </c>
    </row>
    <row r="478" spans="1:16" s="1213" customFormat="1" ht="18" customHeight="1" x14ac:dyDescent="0.3">
      <c r="A478" s="590">
        <v>469</v>
      </c>
      <c r="B478" s="1208"/>
      <c r="C478" s="1209"/>
      <c r="D478" s="1338" t="s">
        <v>963</v>
      </c>
      <c r="E478" s="1211"/>
      <c r="F478" s="1211"/>
      <c r="G478" s="1786"/>
      <c r="H478" s="1212"/>
      <c r="I478" s="1341">
        <f>SUM(J478:N478)</f>
        <v>0</v>
      </c>
      <c r="J478" s="445"/>
      <c r="K478" s="445"/>
      <c r="L478" s="445"/>
      <c r="M478" s="445"/>
      <c r="N478" s="441"/>
    </row>
    <row r="479" spans="1:16" s="1213" customFormat="1" ht="18" customHeight="1" x14ac:dyDescent="0.3">
      <c r="A479" s="590">
        <v>470</v>
      </c>
      <c r="B479" s="1208"/>
      <c r="C479" s="1209"/>
      <c r="D479" s="583" t="s">
        <v>1151</v>
      </c>
      <c r="E479" s="1211"/>
      <c r="F479" s="1211"/>
      <c r="G479" s="1786"/>
      <c r="H479" s="1212"/>
      <c r="I479" s="573">
        <f t="shared" si="119"/>
        <v>70760</v>
      </c>
      <c r="J479" s="445"/>
      <c r="K479" s="445"/>
      <c r="L479" s="445"/>
      <c r="M479" s="445"/>
      <c r="N479" s="441">
        <f>SUM(N477:N478)</f>
        <v>70760</v>
      </c>
    </row>
    <row r="480" spans="1:16" s="3" customFormat="1" ht="22.5" customHeight="1" x14ac:dyDescent="0.3">
      <c r="A480" s="590">
        <v>471</v>
      </c>
      <c r="B480" s="161"/>
      <c r="C480" s="162">
        <v>74</v>
      </c>
      <c r="D480" s="584" t="s">
        <v>93</v>
      </c>
      <c r="E480" s="164">
        <v>74000</v>
      </c>
      <c r="F480" s="164">
        <v>70000</v>
      </c>
      <c r="G480" s="1784">
        <v>70468</v>
      </c>
      <c r="H480" s="605" t="s">
        <v>24</v>
      </c>
      <c r="I480" s="573"/>
      <c r="J480" s="168"/>
      <c r="K480" s="168"/>
      <c r="L480" s="168"/>
      <c r="M480" s="168"/>
      <c r="N480" s="169"/>
      <c r="P480" s="8"/>
    </row>
    <row r="481" spans="1:16" s="1213" customFormat="1" ht="18" customHeight="1" x14ac:dyDescent="0.3">
      <c r="A481" s="590">
        <v>472</v>
      </c>
      <c r="B481" s="1208"/>
      <c r="C481" s="1209"/>
      <c r="D481" s="1210" t="s">
        <v>311</v>
      </c>
      <c r="E481" s="1211"/>
      <c r="F481" s="1211"/>
      <c r="G481" s="1786"/>
      <c r="H481" s="1212"/>
      <c r="I481" s="1203">
        <f>SUM(J481:N481)</f>
        <v>29500</v>
      </c>
      <c r="J481" s="1204"/>
      <c r="K481" s="1204"/>
      <c r="L481" s="1204"/>
      <c r="M481" s="1204"/>
      <c r="N481" s="1205">
        <v>29500</v>
      </c>
    </row>
    <row r="482" spans="1:16" s="1213" customFormat="1" ht="18" customHeight="1" x14ac:dyDescent="0.3">
      <c r="A482" s="590">
        <v>473</v>
      </c>
      <c r="B482" s="1208"/>
      <c r="C482" s="1209"/>
      <c r="D482" s="583" t="s">
        <v>1072</v>
      </c>
      <c r="E482" s="1211"/>
      <c r="F482" s="1211"/>
      <c r="G482" s="1786"/>
      <c r="H482" s="1212"/>
      <c r="I482" s="573">
        <f t="shared" ref="I482:I484" si="120">SUM(J482:N482)</f>
        <v>29500</v>
      </c>
      <c r="J482" s="1204"/>
      <c r="K482" s="1204"/>
      <c r="L482" s="1204"/>
      <c r="M482" s="1204"/>
      <c r="N482" s="441">
        <v>29500</v>
      </c>
    </row>
    <row r="483" spans="1:16" s="1213" customFormat="1" ht="18" customHeight="1" x14ac:dyDescent="0.3">
      <c r="A483" s="590">
        <v>474</v>
      </c>
      <c r="B483" s="1208"/>
      <c r="C483" s="1209"/>
      <c r="D483" s="1338" t="s">
        <v>987</v>
      </c>
      <c r="E483" s="1211"/>
      <c r="F483" s="1211"/>
      <c r="G483" s="1786"/>
      <c r="H483" s="1212"/>
      <c r="I483" s="1341">
        <f t="shared" si="120"/>
        <v>28650</v>
      </c>
      <c r="J483" s="445"/>
      <c r="K483" s="445"/>
      <c r="L483" s="445"/>
      <c r="M483" s="445"/>
      <c r="N483" s="1343">
        <v>28650</v>
      </c>
    </row>
    <row r="484" spans="1:16" s="1213" customFormat="1" ht="18" customHeight="1" x14ac:dyDescent="0.3">
      <c r="A484" s="590">
        <v>475</v>
      </c>
      <c r="B484" s="1208"/>
      <c r="C484" s="1209"/>
      <c r="D484" s="583" t="s">
        <v>1151</v>
      </c>
      <c r="E484" s="1211"/>
      <c r="F484" s="1211"/>
      <c r="G484" s="1786"/>
      <c r="H484" s="1212"/>
      <c r="I484" s="573">
        <f t="shared" si="120"/>
        <v>58150</v>
      </c>
      <c r="J484" s="445"/>
      <c r="K484" s="445"/>
      <c r="L484" s="445"/>
      <c r="M484" s="445"/>
      <c r="N484" s="441">
        <f>SUM(N482:N483)</f>
        <v>58150</v>
      </c>
    </row>
    <row r="485" spans="1:16" s="3" customFormat="1" ht="22.5" customHeight="1" x14ac:dyDescent="0.3">
      <c r="A485" s="590">
        <v>476</v>
      </c>
      <c r="B485" s="161"/>
      <c r="C485" s="162">
        <v>75</v>
      </c>
      <c r="D485" s="584" t="s">
        <v>94</v>
      </c>
      <c r="E485" s="164">
        <v>100000</v>
      </c>
      <c r="F485" s="164">
        <v>128000</v>
      </c>
      <c r="G485" s="1784">
        <v>128000</v>
      </c>
      <c r="H485" s="605" t="s">
        <v>24</v>
      </c>
      <c r="I485" s="573"/>
      <c r="J485" s="168"/>
      <c r="K485" s="168"/>
      <c r="L485" s="168"/>
      <c r="M485" s="168"/>
      <c r="N485" s="169"/>
      <c r="P485" s="8"/>
    </row>
    <row r="486" spans="1:16" s="1213" customFormat="1" ht="18" customHeight="1" x14ac:dyDescent="0.3">
      <c r="A486" s="590">
        <v>477</v>
      </c>
      <c r="B486" s="1208"/>
      <c r="C486" s="1209"/>
      <c r="D486" s="1210" t="s">
        <v>311</v>
      </c>
      <c r="E486" s="1211"/>
      <c r="F486" s="1211"/>
      <c r="G486" s="1786"/>
      <c r="H486" s="1212"/>
      <c r="I486" s="1203">
        <f>SUM(J486:N486)</f>
        <v>103000</v>
      </c>
      <c r="J486" s="1204"/>
      <c r="K486" s="1204"/>
      <c r="L486" s="1204"/>
      <c r="M486" s="1204"/>
      <c r="N486" s="1205">
        <v>103000</v>
      </c>
    </row>
    <row r="487" spans="1:16" s="1213" customFormat="1" ht="18" customHeight="1" x14ac:dyDescent="0.3">
      <c r="A487" s="590">
        <v>478</v>
      </c>
      <c r="B487" s="1208"/>
      <c r="C487" s="1209"/>
      <c r="D487" s="583" t="s">
        <v>1072</v>
      </c>
      <c r="E487" s="1211"/>
      <c r="F487" s="1211"/>
      <c r="G487" s="1786"/>
      <c r="H487" s="1212"/>
      <c r="I487" s="573">
        <f t="shared" ref="I487:I489" si="121">SUM(J487:N487)</f>
        <v>103000</v>
      </c>
      <c r="J487" s="1204"/>
      <c r="K487" s="1204"/>
      <c r="L487" s="1204"/>
      <c r="M487" s="1204"/>
      <c r="N487" s="441">
        <v>103000</v>
      </c>
    </row>
    <row r="488" spans="1:16" s="1213" customFormat="1" ht="18" customHeight="1" x14ac:dyDescent="0.3">
      <c r="A488" s="590">
        <v>479</v>
      </c>
      <c r="B488" s="1208"/>
      <c r="C488" s="1209"/>
      <c r="D488" s="1338" t="s">
        <v>963</v>
      </c>
      <c r="E488" s="1211"/>
      <c r="F488" s="1211"/>
      <c r="G488" s="1786"/>
      <c r="H488" s="1212"/>
      <c r="I488" s="1341">
        <f t="shared" si="121"/>
        <v>0</v>
      </c>
      <c r="J488" s="445"/>
      <c r="K488" s="445"/>
      <c r="L488" s="445"/>
      <c r="M488" s="445"/>
      <c r="N488" s="441"/>
    </row>
    <row r="489" spans="1:16" s="1213" customFormat="1" ht="18" customHeight="1" x14ac:dyDescent="0.3">
      <c r="A489" s="590">
        <v>480</v>
      </c>
      <c r="B489" s="1208"/>
      <c r="C489" s="1209"/>
      <c r="D489" s="583" t="s">
        <v>1151</v>
      </c>
      <c r="E489" s="1211"/>
      <c r="F489" s="1211"/>
      <c r="G489" s="1786"/>
      <c r="H489" s="1212"/>
      <c r="I489" s="573">
        <f t="shared" si="121"/>
        <v>103000</v>
      </c>
      <c r="J489" s="445"/>
      <c r="K489" s="445"/>
      <c r="L489" s="445"/>
      <c r="M489" s="445"/>
      <c r="N489" s="441">
        <f>SUM(N487:N488)</f>
        <v>103000</v>
      </c>
    </row>
    <row r="490" spans="1:16" s="3" customFormat="1" ht="22.5" customHeight="1" x14ac:dyDescent="0.3">
      <c r="A490" s="590">
        <v>481</v>
      </c>
      <c r="B490" s="161"/>
      <c r="C490" s="162">
        <v>76</v>
      </c>
      <c r="D490" s="584" t="s">
        <v>95</v>
      </c>
      <c r="E490" s="164"/>
      <c r="F490" s="164"/>
      <c r="G490" s="1784"/>
      <c r="H490" s="605" t="s">
        <v>24</v>
      </c>
      <c r="I490" s="573"/>
      <c r="J490" s="168"/>
      <c r="K490" s="168"/>
      <c r="L490" s="168"/>
      <c r="M490" s="168"/>
      <c r="N490" s="169"/>
      <c r="P490" s="8"/>
    </row>
    <row r="491" spans="1:16" s="1213" customFormat="1" ht="18" customHeight="1" x14ac:dyDescent="0.3">
      <c r="A491" s="590">
        <v>482</v>
      </c>
      <c r="B491" s="1208"/>
      <c r="C491" s="1209"/>
      <c r="D491" s="1210" t="s">
        <v>311</v>
      </c>
      <c r="E491" s="1211"/>
      <c r="F491" s="1211"/>
      <c r="G491" s="1786"/>
      <c r="H491" s="1212"/>
      <c r="I491" s="1203">
        <f>SUM(J491:N491)</f>
        <v>174944</v>
      </c>
      <c r="J491" s="1204"/>
      <c r="K491" s="1204"/>
      <c r="L491" s="1204">
        <f>224944-32172-17828</f>
        <v>174944</v>
      </c>
      <c r="M491" s="1204"/>
      <c r="N491" s="1205"/>
    </row>
    <row r="492" spans="1:16" s="1213" customFormat="1" ht="18" customHeight="1" x14ac:dyDescent="0.3">
      <c r="A492" s="590">
        <v>483</v>
      </c>
      <c r="B492" s="1208"/>
      <c r="C492" s="1209"/>
      <c r="D492" s="583" t="s">
        <v>1072</v>
      </c>
      <c r="E492" s="1211"/>
      <c r="F492" s="1211"/>
      <c r="G492" s="1786"/>
      <c r="H492" s="1212"/>
      <c r="I492" s="573">
        <f t="shared" ref="I492:I494" si="122">SUM(J492:N492)</f>
        <v>0</v>
      </c>
      <c r="J492" s="1204"/>
      <c r="K492" s="1204"/>
      <c r="L492" s="1204">
        <v>0</v>
      </c>
      <c r="M492" s="1204"/>
      <c r="N492" s="1205"/>
    </row>
    <row r="493" spans="1:16" s="1213" customFormat="1" ht="18" customHeight="1" x14ac:dyDescent="0.3">
      <c r="A493" s="590">
        <v>484</v>
      </c>
      <c r="B493" s="1208"/>
      <c r="C493" s="1209"/>
      <c r="D493" s="1338" t="s">
        <v>963</v>
      </c>
      <c r="E493" s="1211"/>
      <c r="F493" s="1211"/>
      <c r="G493" s="1786"/>
      <c r="H493" s="1212"/>
      <c r="I493" s="1341">
        <f t="shared" si="122"/>
        <v>0</v>
      </c>
      <c r="J493" s="445"/>
      <c r="K493" s="445"/>
      <c r="L493" s="185"/>
      <c r="M493" s="445"/>
      <c r="N493" s="441"/>
    </row>
    <row r="494" spans="1:16" s="1213" customFormat="1" ht="18" customHeight="1" x14ac:dyDescent="0.3">
      <c r="A494" s="590">
        <v>485</v>
      </c>
      <c r="B494" s="1208"/>
      <c r="C494" s="1209"/>
      <c r="D494" s="583" t="s">
        <v>1151</v>
      </c>
      <c r="E494" s="1211"/>
      <c r="F494" s="1211"/>
      <c r="G494" s="1786"/>
      <c r="H494" s="1212"/>
      <c r="I494" s="573">
        <f t="shared" si="122"/>
        <v>0</v>
      </c>
      <c r="J494" s="445"/>
      <c r="K494" s="445"/>
      <c r="L494" s="445">
        <f>SUM(L492:L493)</f>
        <v>0</v>
      </c>
      <c r="M494" s="445"/>
      <c r="N494" s="441"/>
    </row>
    <row r="495" spans="1:16" s="3" customFormat="1" ht="22.5" customHeight="1" x14ac:dyDescent="0.3">
      <c r="A495" s="590">
        <v>486</v>
      </c>
      <c r="B495" s="161"/>
      <c r="C495" s="162">
        <v>77</v>
      </c>
      <c r="D495" s="584" t="s">
        <v>96</v>
      </c>
      <c r="E495" s="164">
        <v>22339</v>
      </c>
      <c r="F495" s="164">
        <v>22000</v>
      </c>
      <c r="G495" s="1784">
        <v>22000</v>
      </c>
      <c r="H495" s="605" t="s">
        <v>24</v>
      </c>
      <c r="I495" s="573"/>
      <c r="J495" s="168"/>
      <c r="K495" s="168"/>
      <c r="L495" s="168"/>
      <c r="M495" s="168"/>
      <c r="N495" s="169"/>
      <c r="P495" s="8"/>
    </row>
    <row r="496" spans="1:16" s="1213" customFormat="1" ht="18" customHeight="1" x14ac:dyDescent="0.3">
      <c r="A496" s="590">
        <v>487</v>
      </c>
      <c r="B496" s="1208"/>
      <c r="C496" s="1209"/>
      <c r="D496" s="1210" t="s">
        <v>311</v>
      </c>
      <c r="E496" s="1211"/>
      <c r="F496" s="1211"/>
      <c r="G496" s="1786"/>
      <c r="H496" s="1212"/>
      <c r="I496" s="1203">
        <f>SUM(J496:N496)</f>
        <v>22000</v>
      </c>
      <c r="J496" s="1204"/>
      <c r="K496" s="1204"/>
      <c r="L496" s="1204">
        <v>22000</v>
      </c>
      <c r="M496" s="1204"/>
      <c r="N496" s="1205"/>
    </row>
    <row r="497" spans="1:16" s="1213" customFormat="1" ht="18" customHeight="1" x14ac:dyDescent="0.3">
      <c r="A497" s="590">
        <v>488</v>
      </c>
      <c r="B497" s="1208"/>
      <c r="C497" s="1209"/>
      <c r="D497" s="583" t="s">
        <v>1072</v>
      </c>
      <c r="E497" s="1211"/>
      <c r="F497" s="1211"/>
      <c r="G497" s="1786"/>
      <c r="H497" s="1212"/>
      <c r="I497" s="573">
        <f t="shared" ref="I497:I499" si="123">SUM(J497:N497)</f>
        <v>22000</v>
      </c>
      <c r="J497" s="1204"/>
      <c r="K497" s="1204"/>
      <c r="L497" s="445">
        <v>22000</v>
      </c>
      <c r="M497" s="1204"/>
      <c r="N497" s="1205"/>
    </row>
    <row r="498" spans="1:16" s="1213" customFormat="1" ht="18" customHeight="1" x14ac:dyDescent="0.3">
      <c r="A498" s="590">
        <v>489</v>
      </c>
      <c r="B498" s="1208"/>
      <c r="C498" s="1209"/>
      <c r="D498" s="1338" t="s">
        <v>963</v>
      </c>
      <c r="E498" s="1211"/>
      <c r="F498" s="1211"/>
      <c r="G498" s="1786"/>
      <c r="H498" s="1212"/>
      <c r="I498" s="1341">
        <f t="shared" si="123"/>
        <v>0</v>
      </c>
      <c r="J498" s="445"/>
      <c r="K498" s="445"/>
      <c r="L498" s="445"/>
      <c r="M498" s="1204"/>
      <c r="N498" s="1205"/>
    </row>
    <row r="499" spans="1:16" s="1213" customFormat="1" ht="18" customHeight="1" x14ac:dyDescent="0.3">
      <c r="A499" s="590">
        <v>490</v>
      </c>
      <c r="B499" s="1208"/>
      <c r="C499" s="1209"/>
      <c r="D499" s="583" t="s">
        <v>1151</v>
      </c>
      <c r="E499" s="1211"/>
      <c r="F499" s="1211"/>
      <c r="G499" s="1786"/>
      <c r="H499" s="1212"/>
      <c r="I499" s="573">
        <f t="shared" si="123"/>
        <v>22000</v>
      </c>
      <c r="J499" s="445"/>
      <c r="K499" s="445"/>
      <c r="L499" s="445">
        <f>SUM(L497:L498)</f>
        <v>22000</v>
      </c>
      <c r="M499" s="1204"/>
      <c r="N499" s="1205"/>
    </row>
    <row r="500" spans="1:16" s="3" customFormat="1" ht="22.5" customHeight="1" x14ac:dyDescent="0.3">
      <c r="A500" s="590">
        <v>491</v>
      </c>
      <c r="B500" s="161"/>
      <c r="C500" s="162">
        <v>78</v>
      </c>
      <c r="D500" s="584" t="s">
        <v>97</v>
      </c>
      <c r="E500" s="164">
        <v>38110</v>
      </c>
      <c r="F500" s="164">
        <v>19000</v>
      </c>
      <c r="G500" s="1784">
        <v>21950</v>
      </c>
      <c r="H500" s="605" t="s">
        <v>24</v>
      </c>
      <c r="I500" s="573"/>
      <c r="J500" s="168"/>
      <c r="K500" s="168"/>
      <c r="L500" s="168"/>
      <c r="M500" s="168"/>
      <c r="N500" s="169"/>
      <c r="P500" s="8"/>
    </row>
    <row r="501" spans="1:16" s="8" customFormat="1" ht="22.5" customHeight="1" x14ac:dyDescent="0.3">
      <c r="A501" s="590">
        <v>492</v>
      </c>
      <c r="B501" s="165"/>
      <c r="C501" s="162">
        <v>79</v>
      </c>
      <c r="D501" s="583" t="s">
        <v>481</v>
      </c>
      <c r="E501" s="164"/>
      <c r="F501" s="164"/>
      <c r="G501" s="1784"/>
      <c r="H501" s="605" t="s">
        <v>24</v>
      </c>
      <c r="I501" s="573"/>
      <c r="J501" s="168"/>
      <c r="K501" s="168"/>
      <c r="L501" s="168"/>
      <c r="M501" s="168"/>
      <c r="N501" s="169"/>
    </row>
    <row r="502" spans="1:16" s="3" customFormat="1" ht="22.5" customHeight="1" x14ac:dyDescent="0.3">
      <c r="A502" s="590">
        <v>493</v>
      </c>
      <c r="B502" s="161"/>
      <c r="C502" s="162">
        <v>80</v>
      </c>
      <c r="D502" s="584" t="s">
        <v>258</v>
      </c>
      <c r="E502" s="164">
        <v>38100</v>
      </c>
      <c r="F502" s="164">
        <v>38100</v>
      </c>
      <c r="G502" s="1784">
        <v>38100</v>
      </c>
      <c r="H502" s="605" t="s">
        <v>24</v>
      </c>
      <c r="I502" s="573"/>
      <c r="J502" s="168"/>
      <c r="K502" s="168"/>
      <c r="L502" s="168"/>
      <c r="M502" s="168"/>
      <c r="N502" s="169"/>
      <c r="P502" s="8"/>
    </row>
    <row r="503" spans="1:16" s="1213" customFormat="1" ht="18" customHeight="1" x14ac:dyDescent="0.3">
      <c r="A503" s="590">
        <v>494</v>
      </c>
      <c r="B503" s="1208"/>
      <c r="C503" s="1209"/>
      <c r="D503" s="1210" t="s">
        <v>311</v>
      </c>
      <c r="E503" s="1211"/>
      <c r="F503" s="1211"/>
      <c r="G503" s="1786"/>
      <c r="H503" s="1212"/>
      <c r="I503" s="1203">
        <f>SUM(J503:N503)</f>
        <v>38100</v>
      </c>
      <c r="J503" s="1204"/>
      <c r="K503" s="1204"/>
      <c r="L503" s="1204">
        <v>38100</v>
      </c>
      <c r="M503" s="1204"/>
      <c r="N503" s="1205"/>
    </row>
    <row r="504" spans="1:16" s="1213" customFormat="1" ht="18" customHeight="1" x14ac:dyDescent="0.3">
      <c r="A504" s="590">
        <v>495</v>
      </c>
      <c r="B504" s="1208"/>
      <c r="C504" s="1209"/>
      <c r="D504" s="583" t="s">
        <v>1072</v>
      </c>
      <c r="E504" s="1211"/>
      <c r="F504" s="1211"/>
      <c r="G504" s="1786"/>
      <c r="H504" s="1212"/>
      <c r="I504" s="573">
        <f t="shared" ref="I504:I506" si="124">SUM(J504:N504)</f>
        <v>38100</v>
      </c>
      <c r="J504" s="1204"/>
      <c r="K504" s="1204"/>
      <c r="L504" s="445">
        <v>38100</v>
      </c>
      <c r="M504" s="1204"/>
      <c r="N504" s="1205"/>
    </row>
    <row r="505" spans="1:16" s="1213" customFormat="1" ht="18" customHeight="1" x14ac:dyDescent="0.3">
      <c r="A505" s="590">
        <v>496</v>
      </c>
      <c r="B505" s="1208"/>
      <c r="C505" s="1209"/>
      <c r="D505" s="1338" t="s">
        <v>963</v>
      </c>
      <c r="E505" s="1211"/>
      <c r="F505" s="1211"/>
      <c r="G505" s="1786"/>
      <c r="H505" s="1212"/>
      <c r="I505" s="1341">
        <f t="shared" si="124"/>
        <v>0</v>
      </c>
      <c r="J505" s="445"/>
      <c r="K505" s="445"/>
      <c r="L505" s="445"/>
      <c r="M505" s="1204"/>
      <c r="N505" s="1205"/>
    </row>
    <row r="506" spans="1:16" s="1213" customFormat="1" ht="18" customHeight="1" x14ac:dyDescent="0.3">
      <c r="A506" s="590">
        <v>497</v>
      </c>
      <c r="B506" s="1208"/>
      <c r="C506" s="1209"/>
      <c r="D506" s="583" t="s">
        <v>1151</v>
      </c>
      <c r="E506" s="1211"/>
      <c r="F506" s="1211"/>
      <c r="G506" s="1786"/>
      <c r="H506" s="1212"/>
      <c r="I506" s="573">
        <f t="shared" si="124"/>
        <v>38100</v>
      </c>
      <c r="J506" s="445"/>
      <c r="K506" s="445"/>
      <c r="L506" s="445">
        <f>SUM(L504:L505)</f>
        <v>38100</v>
      </c>
      <c r="M506" s="1204"/>
      <c r="N506" s="1205"/>
    </row>
    <row r="507" spans="1:16" s="3" customFormat="1" ht="22.5" customHeight="1" x14ac:dyDescent="0.3">
      <c r="A507" s="590">
        <v>498</v>
      </c>
      <c r="B507" s="161"/>
      <c r="C507" s="162">
        <v>81</v>
      </c>
      <c r="D507" s="584" t="s">
        <v>98</v>
      </c>
      <c r="E507" s="164">
        <v>61200</v>
      </c>
      <c r="F507" s="164">
        <v>78055</v>
      </c>
      <c r="G507" s="1784">
        <v>38000</v>
      </c>
      <c r="H507" s="605" t="s">
        <v>24</v>
      </c>
      <c r="I507" s="573"/>
      <c r="J507" s="168"/>
      <c r="K507" s="168"/>
      <c r="L507" s="168"/>
      <c r="M507" s="168"/>
      <c r="N507" s="169"/>
      <c r="P507" s="8"/>
    </row>
    <row r="508" spans="1:16" s="3" customFormat="1" ht="22.5" customHeight="1" x14ac:dyDescent="0.3">
      <c r="A508" s="590">
        <v>499</v>
      </c>
      <c r="B508" s="161"/>
      <c r="C508" s="162"/>
      <c r="D508" s="583" t="s">
        <v>1072</v>
      </c>
      <c r="E508" s="164"/>
      <c r="F508" s="164"/>
      <c r="G508" s="1784"/>
      <c r="H508" s="605"/>
      <c r="I508" s="573">
        <f t="shared" ref="I508:I510" si="125">SUM(J508:N508)</f>
        <v>20155</v>
      </c>
      <c r="J508" s="168"/>
      <c r="K508" s="168"/>
      <c r="L508" s="445">
        <v>20155</v>
      </c>
      <c r="M508" s="168"/>
      <c r="N508" s="169"/>
      <c r="P508" s="8"/>
    </row>
    <row r="509" spans="1:16" s="8" customFormat="1" ht="18" customHeight="1" x14ac:dyDescent="0.3">
      <c r="A509" s="590">
        <v>500</v>
      </c>
      <c r="B509" s="165"/>
      <c r="C509" s="166"/>
      <c r="D509" s="1338" t="s">
        <v>987</v>
      </c>
      <c r="E509" s="164"/>
      <c r="F509" s="164"/>
      <c r="G509" s="1784"/>
      <c r="H509" s="605"/>
      <c r="I509" s="1341">
        <f t="shared" si="125"/>
        <v>6280</v>
      </c>
      <c r="J509" s="168"/>
      <c r="K509" s="168"/>
      <c r="L509" s="185">
        <f>-4010+9300+990</f>
        <v>6280</v>
      </c>
      <c r="M509" s="168"/>
      <c r="N509" s="169"/>
    </row>
    <row r="510" spans="1:16" s="8" customFormat="1" ht="18" customHeight="1" x14ac:dyDescent="0.3">
      <c r="A510" s="590">
        <v>501</v>
      </c>
      <c r="B510" s="165"/>
      <c r="C510" s="166"/>
      <c r="D510" s="583" t="s">
        <v>1151</v>
      </c>
      <c r="E510" s="164"/>
      <c r="F510" s="164"/>
      <c r="G510" s="1784"/>
      <c r="H510" s="605"/>
      <c r="I510" s="573">
        <f t="shared" si="125"/>
        <v>26435</v>
      </c>
      <c r="J510" s="168"/>
      <c r="K510" s="168"/>
      <c r="L510" s="445">
        <f>SUM(L508:L509)</f>
        <v>26435</v>
      </c>
      <c r="M510" s="168"/>
      <c r="N510" s="169"/>
    </row>
    <row r="511" spans="1:16" s="3" customFormat="1" ht="22.5" customHeight="1" x14ac:dyDescent="0.3">
      <c r="A511" s="590">
        <v>502</v>
      </c>
      <c r="B511" s="161"/>
      <c r="C511" s="162">
        <v>82</v>
      </c>
      <c r="D511" s="584" t="s">
        <v>99</v>
      </c>
      <c r="E511" s="164">
        <v>34150</v>
      </c>
      <c r="F511" s="164">
        <v>38847</v>
      </c>
      <c r="G511" s="1784">
        <v>45874</v>
      </c>
      <c r="H511" s="605" t="s">
        <v>24</v>
      </c>
      <c r="I511" s="573"/>
      <c r="J511" s="168"/>
      <c r="K511" s="168"/>
      <c r="L511" s="168"/>
      <c r="M511" s="168"/>
      <c r="N511" s="169"/>
      <c r="P511" s="8"/>
    </row>
    <row r="512" spans="1:16" s="1213" customFormat="1" ht="18" customHeight="1" x14ac:dyDescent="0.3">
      <c r="A512" s="590">
        <v>503</v>
      </c>
      <c r="B512" s="1208"/>
      <c r="C512" s="1209"/>
      <c r="D512" s="1210" t="s">
        <v>311</v>
      </c>
      <c r="E512" s="1211"/>
      <c r="F512" s="1211"/>
      <c r="G512" s="1786"/>
      <c r="H512" s="1212"/>
      <c r="I512" s="1203">
        <f>SUM(J512:N512)</f>
        <v>34150</v>
      </c>
      <c r="J512" s="1204"/>
      <c r="K512" s="1204"/>
      <c r="L512" s="1204">
        <v>34150</v>
      </c>
      <c r="M512" s="1204"/>
      <c r="N512" s="1205"/>
    </row>
    <row r="513" spans="1:16" s="1213" customFormat="1" ht="18" customHeight="1" x14ac:dyDescent="0.3">
      <c r="A513" s="590">
        <v>504</v>
      </c>
      <c r="B513" s="1208"/>
      <c r="C513" s="1209"/>
      <c r="D513" s="583" t="s">
        <v>1072</v>
      </c>
      <c r="E513" s="1211"/>
      <c r="F513" s="1211"/>
      <c r="G513" s="1786"/>
      <c r="H513" s="1212"/>
      <c r="I513" s="573">
        <f t="shared" ref="I513:I515" si="126">SUM(J513:N513)</f>
        <v>29882</v>
      </c>
      <c r="J513" s="1204"/>
      <c r="K513" s="1204"/>
      <c r="L513" s="445">
        <v>29882</v>
      </c>
      <c r="M513" s="1204"/>
      <c r="N513" s="1205"/>
    </row>
    <row r="514" spans="1:16" s="1213" customFormat="1" ht="18" customHeight="1" x14ac:dyDescent="0.3">
      <c r="A514" s="590">
        <v>505</v>
      </c>
      <c r="B514" s="1208"/>
      <c r="C514" s="1209"/>
      <c r="D514" s="1338" t="s">
        <v>986</v>
      </c>
      <c r="E514" s="1211"/>
      <c r="F514" s="1211"/>
      <c r="G514" s="1786"/>
      <c r="H514" s="1212"/>
      <c r="I514" s="1341">
        <f t="shared" si="126"/>
        <v>0</v>
      </c>
      <c r="J514" s="1204"/>
      <c r="K514" s="1204"/>
      <c r="L514" s="185"/>
      <c r="M514" s="1204"/>
      <c r="N514" s="1205"/>
    </row>
    <row r="515" spans="1:16" s="1213" customFormat="1" ht="18" customHeight="1" x14ac:dyDescent="0.3">
      <c r="A515" s="590">
        <v>506</v>
      </c>
      <c r="B515" s="1208"/>
      <c r="C515" s="1209"/>
      <c r="D515" s="583" t="s">
        <v>1151</v>
      </c>
      <c r="E515" s="1211"/>
      <c r="F515" s="1211"/>
      <c r="G515" s="1786"/>
      <c r="H515" s="1212"/>
      <c r="I515" s="573">
        <f t="shared" si="126"/>
        <v>29882</v>
      </c>
      <c r="J515" s="1204"/>
      <c r="K515" s="1204"/>
      <c r="L515" s="445">
        <f>SUM(L513:L514)</f>
        <v>29882</v>
      </c>
      <c r="M515" s="1204"/>
      <c r="N515" s="1205"/>
    </row>
    <row r="516" spans="1:16" s="3" customFormat="1" ht="22.5" customHeight="1" x14ac:dyDescent="0.3">
      <c r="A516" s="590">
        <v>507</v>
      </c>
      <c r="B516" s="161"/>
      <c r="C516" s="162">
        <v>83</v>
      </c>
      <c r="D516" s="1823" t="s">
        <v>323</v>
      </c>
      <c r="E516" s="164">
        <v>2139</v>
      </c>
      <c r="F516" s="164">
        <v>7500</v>
      </c>
      <c r="G516" s="1784">
        <v>3738</v>
      </c>
      <c r="H516" s="605" t="s">
        <v>24</v>
      </c>
      <c r="I516" s="573"/>
      <c r="J516" s="168"/>
      <c r="K516" s="168"/>
      <c r="L516" s="168"/>
      <c r="M516" s="168"/>
      <c r="N516" s="169"/>
      <c r="P516" s="8"/>
    </row>
    <row r="517" spans="1:16" s="1213" customFormat="1" ht="18" customHeight="1" x14ac:dyDescent="0.3">
      <c r="A517" s="590">
        <v>508</v>
      </c>
      <c r="B517" s="1208"/>
      <c r="C517" s="1209"/>
      <c r="D517" s="1210" t="s">
        <v>311</v>
      </c>
      <c r="E517" s="1211"/>
      <c r="F517" s="1211"/>
      <c r="G517" s="1786"/>
      <c r="H517" s="1212"/>
      <c r="I517" s="1203">
        <f>SUM(J517:N517)</f>
        <v>5100</v>
      </c>
      <c r="J517" s="1204"/>
      <c r="K517" s="1204"/>
      <c r="L517" s="1204">
        <v>5100</v>
      </c>
      <c r="M517" s="1204"/>
      <c r="N517" s="1205"/>
    </row>
    <row r="518" spans="1:16" s="1213" customFormat="1" ht="18" customHeight="1" x14ac:dyDescent="0.3">
      <c r="A518" s="590">
        <v>509</v>
      </c>
      <c r="B518" s="1208"/>
      <c r="C518" s="1209"/>
      <c r="D518" s="583" t="s">
        <v>1072</v>
      </c>
      <c r="E518" s="1211"/>
      <c r="F518" s="1211"/>
      <c r="G518" s="1786"/>
      <c r="H518" s="1212"/>
      <c r="I518" s="573">
        <f t="shared" ref="I518:I520" si="127">SUM(J518:N518)</f>
        <v>7100</v>
      </c>
      <c r="J518" s="1204"/>
      <c r="K518" s="1204"/>
      <c r="L518" s="445">
        <v>7100</v>
      </c>
      <c r="M518" s="1204"/>
      <c r="N518" s="1205"/>
    </row>
    <row r="519" spans="1:16" s="1213" customFormat="1" ht="18" customHeight="1" x14ac:dyDescent="0.3">
      <c r="A519" s="590">
        <v>510</v>
      </c>
      <c r="B519" s="1208"/>
      <c r="C519" s="1209"/>
      <c r="D519" s="1338" t="s">
        <v>986</v>
      </c>
      <c r="E519" s="1211"/>
      <c r="F519" s="1211"/>
      <c r="G519" s="1786"/>
      <c r="H519" s="1212"/>
      <c r="I519" s="1341">
        <f t="shared" si="127"/>
        <v>0</v>
      </c>
      <c r="J519" s="445"/>
      <c r="K519" s="445"/>
      <c r="L519" s="185"/>
      <c r="M519" s="445"/>
      <c r="N519" s="441"/>
    </row>
    <row r="520" spans="1:16" s="1213" customFormat="1" ht="18" customHeight="1" x14ac:dyDescent="0.3">
      <c r="A520" s="590">
        <v>511</v>
      </c>
      <c r="B520" s="1208"/>
      <c r="C520" s="1209"/>
      <c r="D520" s="583" t="s">
        <v>1151</v>
      </c>
      <c r="E520" s="1211"/>
      <c r="F520" s="1211"/>
      <c r="G520" s="1786"/>
      <c r="H520" s="1212"/>
      <c r="I520" s="573">
        <f t="shared" si="127"/>
        <v>7100</v>
      </c>
      <c r="J520" s="445"/>
      <c r="K520" s="445"/>
      <c r="L520" s="445">
        <f>SUM(L518:L519)</f>
        <v>7100</v>
      </c>
      <c r="M520" s="445"/>
      <c r="N520" s="441"/>
    </row>
    <row r="521" spans="1:16" s="8" customFormat="1" ht="22.5" customHeight="1" x14ac:dyDescent="0.3">
      <c r="A521" s="590">
        <v>512</v>
      </c>
      <c r="B521" s="165"/>
      <c r="C521" s="162">
        <v>84</v>
      </c>
      <c r="D521" s="583" t="s">
        <v>484</v>
      </c>
      <c r="E521" s="164">
        <v>2555</v>
      </c>
      <c r="F521" s="164"/>
      <c r="G521" s="1784"/>
      <c r="H521" s="605" t="s">
        <v>24</v>
      </c>
      <c r="I521" s="573"/>
      <c r="J521" s="168"/>
      <c r="K521" s="168"/>
      <c r="L521" s="168"/>
      <c r="M521" s="168"/>
      <c r="N521" s="169"/>
    </row>
    <row r="522" spans="1:16" s="1213" customFormat="1" ht="18" customHeight="1" x14ac:dyDescent="0.3">
      <c r="A522" s="590">
        <v>513</v>
      </c>
      <c r="B522" s="1208"/>
      <c r="C522" s="1209"/>
      <c r="D522" s="1210" t="s">
        <v>311</v>
      </c>
      <c r="E522" s="1211"/>
      <c r="F522" s="1211"/>
      <c r="G522" s="1786"/>
      <c r="H522" s="1212"/>
      <c r="I522" s="1203">
        <f>SUM(J522:N522)</f>
        <v>3000</v>
      </c>
      <c r="J522" s="1204"/>
      <c r="K522" s="1204"/>
      <c r="L522" s="1204"/>
      <c r="M522" s="1204"/>
      <c r="N522" s="1205">
        <v>3000</v>
      </c>
    </row>
    <row r="523" spans="1:16" s="1213" customFormat="1" ht="18" customHeight="1" x14ac:dyDescent="0.3">
      <c r="A523" s="590">
        <v>514</v>
      </c>
      <c r="B523" s="1208"/>
      <c r="C523" s="1209"/>
      <c r="D523" s="583" t="s">
        <v>1072</v>
      </c>
      <c r="E523" s="1211"/>
      <c r="F523" s="1211"/>
      <c r="G523" s="1786"/>
      <c r="H523" s="1216"/>
      <c r="I523" s="1203">
        <v>0</v>
      </c>
      <c r="J523" s="1204"/>
      <c r="K523" s="1204"/>
      <c r="L523" s="1204"/>
      <c r="M523" s="1204"/>
      <c r="N523" s="1205">
        <v>0</v>
      </c>
    </row>
    <row r="524" spans="1:16" s="1213" customFormat="1" ht="18" customHeight="1" x14ac:dyDescent="0.3">
      <c r="A524" s="590">
        <v>515</v>
      </c>
      <c r="B524" s="1208"/>
      <c r="C524" s="1209"/>
      <c r="D524" s="1338" t="s">
        <v>986</v>
      </c>
      <c r="E524" s="1211"/>
      <c r="F524" s="1211"/>
      <c r="G524" s="1786"/>
      <c r="H524" s="1216"/>
      <c r="I524" s="1341">
        <f t="shared" ref="I524:I525" si="128">SUM(J524:N524)</f>
        <v>0</v>
      </c>
      <c r="J524" s="445"/>
      <c r="K524" s="445"/>
      <c r="L524" s="445"/>
      <c r="M524" s="445"/>
      <c r="N524" s="186"/>
    </row>
    <row r="525" spans="1:16" s="1213" customFormat="1" ht="18" customHeight="1" x14ac:dyDescent="0.3">
      <c r="A525" s="590">
        <v>516</v>
      </c>
      <c r="B525" s="1208"/>
      <c r="C525" s="1209"/>
      <c r="D525" s="583" t="s">
        <v>1151</v>
      </c>
      <c r="E525" s="1211"/>
      <c r="F525" s="1211"/>
      <c r="G525" s="1786"/>
      <c r="H525" s="1216"/>
      <c r="I525" s="573">
        <f t="shared" si="128"/>
        <v>0</v>
      </c>
      <c r="J525" s="445"/>
      <c r="K525" s="445"/>
      <c r="L525" s="445"/>
      <c r="M525" s="445"/>
      <c r="N525" s="441">
        <f>SUM(N523:N524)</f>
        <v>0</v>
      </c>
    </row>
    <row r="526" spans="1:16" s="8" customFormat="1" ht="22.5" customHeight="1" x14ac:dyDescent="0.3">
      <c r="A526" s="590">
        <v>517</v>
      </c>
      <c r="B526" s="165"/>
      <c r="C526" s="162">
        <v>85</v>
      </c>
      <c r="D526" s="584" t="s">
        <v>65</v>
      </c>
      <c r="E526" s="164">
        <v>1785</v>
      </c>
      <c r="F526" s="164">
        <v>4000</v>
      </c>
      <c r="G526" s="1784">
        <v>4249</v>
      </c>
      <c r="H526" s="607" t="s">
        <v>24</v>
      </c>
      <c r="I526" s="574"/>
      <c r="J526" s="171"/>
      <c r="K526" s="171"/>
      <c r="L526" s="171"/>
      <c r="M526" s="171"/>
      <c r="N526" s="172"/>
    </row>
    <row r="527" spans="1:16" s="1213" customFormat="1" ht="18" customHeight="1" x14ac:dyDescent="0.3">
      <c r="A527" s="590">
        <v>518</v>
      </c>
      <c r="B527" s="1208"/>
      <c r="C527" s="1209"/>
      <c r="D527" s="1210" t="s">
        <v>311</v>
      </c>
      <c r="E527" s="1211"/>
      <c r="F527" s="1211"/>
      <c r="G527" s="1786"/>
      <c r="H527" s="1212"/>
      <c r="I527" s="1203">
        <f>SUM(J527:N527)</f>
        <v>4000</v>
      </c>
      <c r="J527" s="1204"/>
      <c r="K527" s="1204"/>
      <c r="L527" s="1204"/>
      <c r="M527" s="1204"/>
      <c r="N527" s="1205">
        <v>4000</v>
      </c>
    </row>
    <row r="528" spans="1:16" s="1213" customFormat="1" ht="18" customHeight="1" x14ac:dyDescent="0.3">
      <c r="A528" s="590">
        <v>519</v>
      </c>
      <c r="B528" s="1208"/>
      <c r="C528" s="1209"/>
      <c r="D528" s="583" t="s">
        <v>1072</v>
      </c>
      <c r="E528" s="1211"/>
      <c r="F528" s="1211"/>
      <c r="G528" s="1786"/>
      <c r="H528" s="1212"/>
      <c r="I528" s="573">
        <f t="shared" ref="I528:I530" si="129">SUM(J528:N528)</f>
        <v>0</v>
      </c>
      <c r="J528" s="1204"/>
      <c r="K528" s="1204"/>
      <c r="L528" s="1204"/>
      <c r="M528" s="1204"/>
      <c r="N528" s="441">
        <v>0</v>
      </c>
    </row>
    <row r="529" spans="1:16" s="1213" customFormat="1" ht="18" customHeight="1" x14ac:dyDescent="0.3">
      <c r="A529" s="590">
        <v>520</v>
      </c>
      <c r="B529" s="1208"/>
      <c r="C529" s="1209"/>
      <c r="D529" s="1338" t="s">
        <v>986</v>
      </c>
      <c r="E529" s="1211"/>
      <c r="F529" s="1211"/>
      <c r="G529" s="1786"/>
      <c r="H529" s="1212"/>
      <c r="I529" s="1341">
        <f t="shared" si="129"/>
        <v>0</v>
      </c>
      <c r="J529" s="445"/>
      <c r="K529" s="445"/>
      <c r="L529" s="445"/>
      <c r="M529" s="445"/>
      <c r="N529" s="186"/>
    </row>
    <row r="530" spans="1:16" s="1213" customFormat="1" ht="18" customHeight="1" x14ac:dyDescent="0.3">
      <c r="A530" s="590">
        <v>521</v>
      </c>
      <c r="B530" s="1208"/>
      <c r="C530" s="1209"/>
      <c r="D530" s="583" t="s">
        <v>1151</v>
      </c>
      <c r="E530" s="1211"/>
      <c r="F530" s="1211"/>
      <c r="G530" s="1786"/>
      <c r="H530" s="1212"/>
      <c r="I530" s="573">
        <f t="shared" si="129"/>
        <v>0</v>
      </c>
      <c r="J530" s="445"/>
      <c r="K530" s="445"/>
      <c r="L530" s="445"/>
      <c r="M530" s="445"/>
      <c r="N530" s="441">
        <f>SUM(N528:N529)</f>
        <v>0</v>
      </c>
    </row>
    <row r="531" spans="1:16" s="3" customFormat="1" ht="22.5" customHeight="1" x14ac:dyDescent="0.3">
      <c r="A531" s="590">
        <v>522</v>
      </c>
      <c r="B531" s="161"/>
      <c r="C531" s="162">
        <v>86</v>
      </c>
      <c r="D531" s="584" t="s">
        <v>101</v>
      </c>
      <c r="E531" s="164"/>
      <c r="F531" s="164">
        <v>500</v>
      </c>
      <c r="G531" s="1784"/>
      <c r="H531" s="605" t="s">
        <v>23</v>
      </c>
      <c r="I531" s="573"/>
      <c r="J531" s="168"/>
      <c r="K531" s="168"/>
      <c r="L531" s="168"/>
      <c r="M531" s="168"/>
      <c r="N531" s="169"/>
      <c r="P531" s="8"/>
    </row>
    <row r="532" spans="1:16" s="3" customFormat="1" ht="22.5" customHeight="1" x14ac:dyDescent="0.3">
      <c r="A532" s="590">
        <v>523</v>
      </c>
      <c r="B532" s="161"/>
      <c r="C532" s="162">
        <v>87</v>
      </c>
      <c r="D532" s="584" t="s">
        <v>102</v>
      </c>
      <c r="E532" s="164">
        <v>1461</v>
      </c>
      <c r="F532" s="164">
        <v>2100</v>
      </c>
      <c r="G532" s="1784">
        <v>989</v>
      </c>
      <c r="H532" s="605" t="s">
        <v>23</v>
      </c>
      <c r="I532" s="573"/>
      <c r="J532" s="168"/>
      <c r="K532" s="168"/>
      <c r="L532" s="168"/>
      <c r="M532" s="168"/>
      <c r="N532" s="169"/>
      <c r="P532" s="8"/>
    </row>
    <row r="533" spans="1:16" s="1213" customFormat="1" ht="18" customHeight="1" x14ac:dyDescent="0.3">
      <c r="A533" s="590">
        <v>524</v>
      </c>
      <c r="B533" s="1208"/>
      <c r="C533" s="1209"/>
      <c r="D533" s="1210" t="s">
        <v>311</v>
      </c>
      <c r="E533" s="1211"/>
      <c r="F533" s="1211"/>
      <c r="G533" s="1786"/>
      <c r="H533" s="1212"/>
      <c r="I533" s="1203">
        <f>SUM(J533:N533)</f>
        <v>1785</v>
      </c>
      <c r="J533" s="1204"/>
      <c r="K533" s="1204"/>
      <c r="L533" s="1204">
        <v>1785</v>
      </c>
      <c r="M533" s="1204"/>
      <c r="N533" s="1205"/>
    </row>
    <row r="534" spans="1:16" s="1213" customFormat="1" ht="18" customHeight="1" x14ac:dyDescent="0.3">
      <c r="A534" s="590">
        <v>525</v>
      </c>
      <c r="B534" s="1208"/>
      <c r="C534" s="1209"/>
      <c r="D534" s="583" t="s">
        <v>1072</v>
      </c>
      <c r="E534" s="1211"/>
      <c r="F534" s="1211"/>
      <c r="G534" s="1786"/>
      <c r="H534" s="1212"/>
      <c r="I534" s="573">
        <f t="shared" ref="I534:I536" si="130">SUM(J534:N534)</f>
        <v>1520</v>
      </c>
      <c r="J534" s="445">
        <v>20</v>
      </c>
      <c r="K534" s="445">
        <v>120</v>
      </c>
      <c r="L534" s="445">
        <v>1380</v>
      </c>
      <c r="M534" s="1204"/>
      <c r="N534" s="1205"/>
    </row>
    <row r="535" spans="1:16" s="1213" customFormat="1" ht="18" customHeight="1" x14ac:dyDescent="0.3">
      <c r="A535" s="590">
        <v>526</v>
      </c>
      <c r="B535" s="1208"/>
      <c r="C535" s="1209"/>
      <c r="D535" s="1338" t="s">
        <v>986</v>
      </c>
      <c r="E535" s="1211"/>
      <c r="F535" s="1211"/>
      <c r="G535" s="1786"/>
      <c r="H535" s="1212"/>
      <c r="I535" s="1341">
        <f t="shared" si="130"/>
        <v>0</v>
      </c>
      <c r="J535" s="445"/>
      <c r="K535" s="185"/>
      <c r="L535" s="185"/>
      <c r="M535" s="445"/>
      <c r="N535" s="441"/>
    </row>
    <row r="536" spans="1:16" s="1213" customFormat="1" ht="18" customHeight="1" x14ac:dyDescent="0.3">
      <c r="A536" s="590">
        <v>527</v>
      </c>
      <c r="B536" s="1208"/>
      <c r="C536" s="1209"/>
      <c r="D536" s="583" t="s">
        <v>1151</v>
      </c>
      <c r="E536" s="1211"/>
      <c r="F536" s="1211"/>
      <c r="G536" s="1786"/>
      <c r="H536" s="1212"/>
      <c r="I536" s="573">
        <f t="shared" si="130"/>
        <v>1520</v>
      </c>
      <c r="J536" s="445">
        <f>SUM(J534:J535)</f>
        <v>20</v>
      </c>
      <c r="K536" s="445">
        <f>SUM(K534:K535)</f>
        <v>120</v>
      </c>
      <c r="L536" s="445">
        <f>SUM(L534:L535)</f>
        <v>1380</v>
      </c>
      <c r="M536" s="445"/>
      <c r="N536" s="441"/>
    </row>
    <row r="537" spans="1:16" s="8" customFormat="1" ht="22.5" customHeight="1" x14ac:dyDescent="0.3">
      <c r="A537" s="590">
        <v>528</v>
      </c>
      <c r="B537" s="165"/>
      <c r="C537" s="162">
        <v>88</v>
      </c>
      <c r="D537" s="583" t="s">
        <v>485</v>
      </c>
      <c r="E537" s="164">
        <v>54</v>
      </c>
      <c r="F537" s="164"/>
      <c r="G537" s="1784">
        <v>156</v>
      </c>
      <c r="H537" s="605" t="s">
        <v>24</v>
      </c>
      <c r="I537" s="573"/>
      <c r="J537" s="168"/>
      <c r="K537" s="168"/>
      <c r="L537" s="168"/>
      <c r="M537" s="168"/>
      <c r="N537" s="169"/>
    </row>
    <row r="538" spans="1:16" s="1213" customFormat="1" ht="18" customHeight="1" x14ac:dyDescent="0.3">
      <c r="A538" s="590">
        <v>529</v>
      </c>
      <c r="B538" s="1208"/>
      <c r="C538" s="1209"/>
      <c r="D538" s="1210" t="s">
        <v>311</v>
      </c>
      <c r="E538" s="1211"/>
      <c r="F538" s="1211"/>
      <c r="G538" s="1786"/>
      <c r="H538" s="1212"/>
      <c r="I538" s="1203">
        <f>SUM(J538:N538)</f>
        <v>840</v>
      </c>
      <c r="J538" s="1204"/>
      <c r="K538" s="1204"/>
      <c r="L538" s="1204">
        <v>840</v>
      </c>
      <c r="M538" s="1204"/>
      <c r="N538" s="1205"/>
    </row>
    <row r="539" spans="1:16" s="1213" customFormat="1" ht="18" customHeight="1" x14ac:dyDescent="0.3">
      <c r="A539" s="590">
        <v>530</v>
      </c>
      <c r="B539" s="1208"/>
      <c r="C539" s="1209"/>
      <c r="D539" s="583" t="s">
        <v>1072</v>
      </c>
      <c r="E539" s="1211"/>
      <c r="F539" s="1211"/>
      <c r="G539" s="1786"/>
      <c r="H539" s="1212"/>
      <c r="I539" s="573">
        <f t="shared" ref="I539:I541" si="131">SUM(J539:N539)</f>
        <v>840</v>
      </c>
      <c r="J539" s="1204"/>
      <c r="K539" s="1204"/>
      <c r="L539" s="445">
        <v>840</v>
      </c>
      <c r="M539" s="1204"/>
      <c r="N539" s="1205"/>
    </row>
    <row r="540" spans="1:16" s="1213" customFormat="1" ht="18" customHeight="1" x14ac:dyDescent="0.3">
      <c r="A540" s="590">
        <v>531</v>
      </c>
      <c r="B540" s="1208"/>
      <c r="C540" s="1209"/>
      <c r="D540" s="1338" t="s">
        <v>963</v>
      </c>
      <c r="E540" s="1211"/>
      <c r="F540" s="1211"/>
      <c r="G540" s="1786"/>
      <c r="H540" s="1212"/>
      <c r="I540" s="1341">
        <f t="shared" si="131"/>
        <v>0</v>
      </c>
      <c r="J540" s="445"/>
      <c r="K540" s="445"/>
      <c r="L540" s="445"/>
      <c r="M540" s="445"/>
      <c r="N540" s="441"/>
    </row>
    <row r="541" spans="1:16" s="1213" customFormat="1" ht="18" customHeight="1" x14ac:dyDescent="0.3">
      <c r="A541" s="590">
        <v>532</v>
      </c>
      <c r="B541" s="1208"/>
      <c r="C541" s="1209"/>
      <c r="D541" s="583" t="s">
        <v>1151</v>
      </c>
      <c r="E541" s="1211"/>
      <c r="F541" s="1211"/>
      <c r="G541" s="1786"/>
      <c r="H541" s="1212"/>
      <c r="I541" s="573">
        <f t="shared" si="131"/>
        <v>840</v>
      </c>
      <c r="J541" s="445"/>
      <c r="K541" s="445"/>
      <c r="L541" s="445">
        <f>SUM(L539:L540)</f>
        <v>840</v>
      </c>
      <c r="M541" s="445"/>
      <c r="N541" s="441"/>
    </row>
    <row r="542" spans="1:16" s="3" customFormat="1" ht="22.5" customHeight="1" x14ac:dyDescent="0.3">
      <c r="A542" s="590">
        <v>533</v>
      </c>
      <c r="B542" s="161"/>
      <c r="C542" s="162">
        <v>89</v>
      </c>
      <c r="D542" s="584" t="s">
        <v>525</v>
      </c>
      <c r="E542" s="164">
        <v>140310</v>
      </c>
      <c r="F542" s="164">
        <v>160000</v>
      </c>
      <c r="G542" s="1784">
        <v>146828</v>
      </c>
      <c r="H542" s="605" t="s">
        <v>23</v>
      </c>
      <c r="I542" s="573"/>
      <c r="J542" s="168"/>
      <c r="K542" s="168"/>
      <c r="L542" s="168"/>
      <c r="M542" s="168"/>
      <c r="N542" s="169"/>
      <c r="P542" s="8"/>
    </row>
    <row r="543" spans="1:16" s="1213" customFormat="1" ht="18" customHeight="1" x14ac:dyDescent="0.3">
      <c r="A543" s="590">
        <v>534</v>
      </c>
      <c r="B543" s="1208"/>
      <c r="C543" s="1209"/>
      <c r="D543" s="1210" t="s">
        <v>311</v>
      </c>
      <c r="E543" s="1211"/>
      <c r="F543" s="1211"/>
      <c r="G543" s="1786"/>
      <c r="H543" s="1212"/>
      <c r="I543" s="1203">
        <f>SUM(J543:N543)</f>
        <v>136000</v>
      </c>
      <c r="J543" s="1204"/>
      <c r="K543" s="1204"/>
      <c r="L543" s="1204">
        <v>136000</v>
      </c>
      <c r="M543" s="1204"/>
      <c r="N543" s="1205"/>
    </row>
    <row r="544" spans="1:16" s="1213" customFormat="1" ht="18" customHeight="1" x14ac:dyDescent="0.3">
      <c r="A544" s="590">
        <v>535</v>
      </c>
      <c r="B544" s="1208"/>
      <c r="C544" s="1209"/>
      <c r="D544" s="583" t="s">
        <v>1072</v>
      </c>
      <c r="E544" s="1211"/>
      <c r="F544" s="1211"/>
      <c r="G544" s="1786"/>
      <c r="H544" s="1212"/>
      <c r="I544" s="573">
        <f t="shared" ref="I544:I546" si="132">SUM(J544:N544)</f>
        <v>181910</v>
      </c>
      <c r="J544" s="1204"/>
      <c r="K544" s="1204"/>
      <c r="L544" s="445">
        <v>181910</v>
      </c>
      <c r="M544" s="1204"/>
      <c r="N544" s="1205"/>
    </row>
    <row r="545" spans="1:16" s="1213" customFormat="1" ht="18" customHeight="1" x14ac:dyDescent="0.3">
      <c r="A545" s="590">
        <v>536</v>
      </c>
      <c r="B545" s="1208"/>
      <c r="C545" s="1209"/>
      <c r="D545" s="1338" t="s">
        <v>986</v>
      </c>
      <c r="E545" s="1211"/>
      <c r="F545" s="1211"/>
      <c r="G545" s="1786"/>
      <c r="H545" s="1212"/>
      <c r="I545" s="1341">
        <f t="shared" si="132"/>
        <v>0</v>
      </c>
      <c r="J545" s="445"/>
      <c r="K545" s="445"/>
      <c r="L545" s="185"/>
      <c r="M545" s="445"/>
      <c r="N545" s="441"/>
    </row>
    <row r="546" spans="1:16" s="1213" customFormat="1" ht="18" customHeight="1" x14ac:dyDescent="0.3">
      <c r="A546" s="590">
        <v>537</v>
      </c>
      <c r="B546" s="1208"/>
      <c r="C546" s="1209"/>
      <c r="D546" s="583" t="s">
        <v>1151</v>
      </c>
      <c r="E546" s="1211"/>
      <c r="F546" s="1211"/>
      <c r="G546" s="1786"/>
      <c r="H546" s="1212"/>
      <c r="I546" s="573">
        <f t="shared" si="132"/>
        <v>181910</v>
      </c>
      <c r="J546" s="445"/>
      <c r="K546" s="445"/>
      <c r="L546" s="445">
        <f>SUM(L544:L545)</f>
        <v>181910</v>
      </c>
      <c r="M546" s="445"/>
      <c r="N546" s="441"/>
    </row>
    <row r="547" spans="1:16" s="3" customFormat="1" ht="22.5" customHeight="1" x14ac:dyDescent="0.3">
      <c r="A547" s="590">
        <v>538</v>
      </c>
      <c r="B547" s="161"/>
      <c r="C547" s="162">
        <v>90</v>
      </c>
      <c r="D547" s="584" t="s">
        <v>91</v>
      </c>
      <c r="E547" s="178">
        <v>53306</v>
      </c>
      <c r="F547" s="178">
        <v>49000</v>
      </c>
      <c r="G547" s="1792">
        <v>41642</v>
      </c>
      <c r="H547" s="605" t="s">
        <v>23</v>
      </c>
      <c r="I547" s="573"/>
      <c r="J547" s="168"/>
      <c r="K547" s="168"/>
      <c r="L547" s="168"/>
      <c r="M547" s="168"/>
      <c r="N547" s="169"/>
      <c r="P547" s="8"/>
    </row>
    <row r="548" spans="1:16" s="1213" customFormat="1" ht="18" customHeight="1" x14ac:dyDescent="0.3">
      <c r="A548" s="590">
        <v>539</v>
      </c>
      <c r="B548" s="1208"/>
      <c r="C548" s="1209"/>
      <c r="D548" s="1210" t="s">
        <v>311</v>
      </c>
      <c r="E548" s="1211"/>
      <c r="F548" s="1211"/>
      <c r="G548" s="1786"/>
      <c r="H548" s="1212"/>
      <c r="I548" s="1203">
        <f>SUM(J548:N548)</f>
        <v>54230</v>
      </c>
      <c r="J548" s="1204"/>
      <c r="K548" s="1204"/>
      <c r="L548" s="1204">
        <v>54230</v>
      </c>
      <c r="M548" s="1204"/>
      <c r="N548" s="1205"/>
    </row>
    <row r="549" spans="1:16" s="1213" customFormat="1" ht="18" customHeight="1" x14ac:dyDescent="0.3">
      <c r="A549" s="590">
        <v>540</v>
      </c>
      <c r="B549" s="1208"/>
      <c r="C549" s="1209"/>
      <c r="D549" s="583" t="s">
        <v>1072</v>
      </c>
      <c r="E549" s="1211"/>
      <c r="F549" s="1211"/>
      <c r="G549" s="1786"/>
      <c r="H549" s="1212"/>
      <c r="I549" s="573">
        <f t="shared" ref="I549:I551" si="133">SUM(J549:N549)</f>
        <v>64649</v>
      </c>
      <c r="J549" s="1204"/>
      <c r="K549" s="1204"/>
      <c r="L549" s="445">
        <v>64649</v>
      </c>
      <c r="M549" s="1204"/>
      <c r="N549" s="1205"/>
    </row>
    <row r="550" spans="1:16" s="1213" customFormat="1" ht="18" customHeight="1" x14ac:dyDescent="0.3">
      <c r="A550" s="590">
        <v>541</v>
      </c>
      <c r="B550" s="1208"/>
      <c r="C550" s="1209"/>
      <c r="D550" s="1338" t="s">
        <v>986</v>
      </c>
      <c r="E550" s="1211"/>
      <c r="F550" s="1211"/>
      <c r="G550" s="1786"/>
      <c r="H550" s="1212"/>
      <c r="I550" s="1341">
        <f t="shared" si="133"/>
        <v>0</v>
      </c>
      <c r="J550" s="445"/>
      <c r="K550" s="445"/>
      <c r="L550" s="185"/>
      <c r="M550" s="445"/>
      <c r="N550" s="441"/>
    </row>
    <row r="551" spans="1:16" s="1213" customFormat="1" ht="18" customHeight="1" x14ac:dyDescent="0.3">
      <c r="A551" s="590">
        <v>542</v>
      </c>
      <c r="B551" s="1208"/>
      <c r="C551" s="1209"/>
      <c r="D551" s="583" t="s">
        <v>1151</v>
      </c>
      <c r="E551" s="1211"/>
      <c r="F551" s="1211"/>
      <c r="G551" s="1786"/>
      <c r="H551" s="1212"/>
      <c r="I551" s="573">
        <f t="shared" si="133"/>
        <v>64649</v>
      </c>
      <c r="J551" s="445"/>
      <c r="K551" s="445"/>
      <c r="L551" s="445">
        <f>SUM(L549:L550)</f>
        <v>64649</v>
      </c>
      <c r="M551" s="445"/>
      <c r="N551" s="441"/>
    </row>
    <row r="552" spans="1:16" s="3" customFormat="1" ht="22.5" customHeight="1" x14ac:dyDescent="0.3">
      <c r="A552" s="590">
        <v>543</v>
      </c>
      <c r="B552" s="161"/>
      <c r="C552" s="162">
        <v>91</v>
      </c>
      <c r="D552" s="584" t="s">
        <v>92</v>
      </c>
      <c r="E552" s="164">
        <v>3851</v>
      </c>
      <c r="F552" s="164">
        <v>2000</v>
      </c>
      <c r="G552" s="1784">
        <v>13153</v>
      </c>
      <c r="H552" s="605" t="s">
        <v>23</v>
      </c>
      <c r="I552" s="573"/>
      <c r="J552" s="168"/>
      <c r="K552" s="168"/>
      <c r="L552" s="168"/>
      <c r="M552" s="168"/>
      <c r="N552" s="169"/>
      <c r="P552" s="8"/>
    </row>
    <row r="553" spans="1:16" s="1213" customFormat="1" ht="18" customHeight="1" x14ac:dyDescent="0.3">
      <c r="A553" s="590">
        <v>544</v>
      </c>
      <c r="B553" s="1208"/>
      <c r="C553" s="1209"/>
      <c r="D553" s="1210" t="s">
        <v>311</v>
      </c>
      <c r="E553" s="1211"/>
      <c r="F553" s="1211"/>
      <c r="G553" s="1786"/>
      <c r="H553" s="1212"/>
      <c r="I553" s="1203">
        <f>SUM(J553:N553)</f>
        <v>1700</v>
      </c>
      <c r="J553" s="1204"/>
      <c r="K553" s="1204"/>
      <c r="L553" s="1204">
        <v>1700</v>
      </c>
      <c r="M553" s="1204"/>
      <c r="N553" s="1205"/>
    </row>
    <row r="554" spans="1:16" s="1213" customFormat="1" ht="18" customHeight="1" x14ac:dyDescent="0.3">
      <c r="A554" s="590">
        <v>545</v>
      </c>
      <c r="B554" s="1208"/>
      <c r="C554" s="1209"/>
      <c r="D554" s="583" t="s">
        <v>1072</v>
      </c>
      <c r="E554" s="1211"/>
      <c r="F554" s="1211"/>
      <c r="G554" s="1786"/>
      <c r="H554" s="1212"/>
      <c r="I554" s="573">
        <f t="shared" ref="I554:I556" si="134">SUM(J554:N554)</f>
        <v>5477</v>
      </c>
      <c r="J554" s="1204"/>
      <c r="K554" s="1204"/>
      <c r="L554" s="445">
        <f>7977-2500</f>
        <v>5477</v>
      </c>
      <c r="M554" s="1204"/>
      <c r="N554" s="1205"/>
    </row>
    <row r="555" spans="1:16" s="1213" customFormat="1" ht="18" customHeight="1" x14ac:dyDescent="0.3">
      <c r="A555" s="590">
        <v>546</v>
      </c>
      <c r="B555" s="1208"/>
      <c r="C555" s="1209"/>
      <c r="D555" s="1338" t="s">
        <v>986</v>
      </c>
      <c r="E555" s="1211"/>
      <c r="F555" s="1211"/>
      <c r="G555" s="1786"/>
      <c r="H555" s="1212"/>
      <c r="I555" s="1341">
        <f t="shared" si="134"/>
        <v>0</v>
      </c>
      <c r="J555" s="445"/>
      <c r="K555" s="445"/>
      <c r="L555" s="185"/>
      <c r="M555" s="445"/>
      <c r="N555" s="441"/>
    </row>
    <row r="556" spans="1:16" s="1213" customFormat="1" ht="18" customHeight="1" x14ac:dyDescent="0.3">
      <c r="A556" s="590">
        <v>547</v>
      </c>
      <c r="B556" s="1208"/>
      <c r="C556" s="1209"/>
      <c r="D556" s="583" t="s">
        <v>1151</v>
      </c>
      <c r="E556" s="1211"/>
      <c r="F556" s="1211"/>
      <c r="G556" s="1786"/>
      <c r="H556" s="1212"/>
      <c r="I556" s="573">
        <f t="shared" si="134"/>
        <v>5477</v>
      </c>
      <c r="J556" s="445"/>
      <c r="K556" s="445"/>
      <c r="L556" s="445">
        <f>SUM(L554:L555)</f>
        <v>5477</v>
      </c>
      <c r="M556" s="445"/>
      <c r="N556" s="441"/>
    </row>
    <row r="557" spans="1:16" s="3" customFormat="1" ht="22.5" customHeight="1" x14ac:dyDescent="0.3">
      <c r="A557" s="590">
        <v>548</v>
      </c>
      <c r="B557" s="161"/>
      <c r="C557" s="162">
        <v>92</v>
      </c>
      <c r="D557" s="584" t="s">
        <v>958</v>
      </c>
      <c r="E557" s="164"/>
      <c r="F557" s="164">
        <v>835195</v>
      </c>
      <c r="G557" s="1784">
        <v>1443096</v>
      </c>
      <c r="H557" s="605" t="s">
        <v>23</v>
      </c>
      <c r="I557" s="573"/>
      <c r="J557" s="168"/>
      <c r="K557" s="168"/>
      <c r="L557" s="168"/>
      <c r="M557" s="168"/>
      <c r="N557" s="169"/>
    </row>
    <row r="558" spans="1:16" s="1213" customFormat="1" ht="18" customHeight="1" x14ac:dyDescent="0.3">
      <c r="A558" s="590">
        <v>549</v>
      </c>
      <c r="B558" s="1208"/>
      <c r="C558" s="1209"/>
      <c r="D558" s="1210" t="s">
        <v>311</v>
      </c>
      <c r="E558" s="1211"/>
      <c r="F558" s="1211"/>
      <c r="G558" s="1786"/>
      <c r="H558" s="1212"/>
      <c r="I558" s="1203">
        <f>SUM(J558:N558)</f>
        <v>881516</v>
      </c>
      <c r="J558" s="1204"/>
      <c r="K558" s="1204"/>
      <c r="L558" s="1204"/>
      <c r="M558" s="1204"/>
      <c r="N558" s="1205">
        <v>881516</v>
      </c>
    </row>
    <row r="559" spans="1:16" s="1213" customFormat="1" ht="18" customHeight="1" x14ac:dyDescent="0.3">
      <c r="A559" s="590">
        <v>550</v>
      </c>
      <c r="B559" s="1208"/>
      <c r="C559" s="1209"/>
      <c r="D559" s="583" t="s">
        <v>1072</v>
      </c>
      <c r="E559" s="1211"/>
      <c r="F559" s="1211"/>
      <c r="G559" s="1786"/>
      <c r="H559" s="1212"/>
      <c r="I559" s="573">
        <f t="shared" ref="I559:I561" si="135">SUM(J559:N559)</f>
        <v>881516</v>
      </c>
      <c r="J559" s="1204"/>
      <c r="K559" s="1204"/>
      <c r="L559" s="1204"/>
      <c r="M559" s="1204"/>
      <c r="N559" s="441">
        <v>881516</v>
      </c>
    </row>
    <row r="560" spans="1:16" s="1213" customFormat="1" ht="18" customHeight="1" x14ac:dyDescent="0.3">
      <c r="A560" s="590">
        <v>551</v>
      </c>
      <c r="B560" s="1208"/>
      <c r="C560" s="1209"/>
      <c r="D560" s="1338" t="s">
        <v>963</v>
      </c>
      <c r="E560" s="1211"/>
      <c r="F560" s="1211"/>
      <c r="G560" s="1786"/>
      <c r="H560" s="1212"/>
      <c r="I560" s="1341">
        <f t="shared" si="135"/>
        <v>0</v>
      </c>
      <c r="J560" s="445"/>
      <c r="K560" s="445"/>
      <c r="L560" s="445"/>
      <c r="M560" s="445"/>
      <c r="N560" s="441"/>
    </row>
    <row r="561" spans="1:16" s="1213" customFormat="1" ht="18" customHeight="1" x14ac:dyDescent="0.3">
      <c r="A561" s="590">
        <v>552</v>
      </c>
      <c r="B561" s="1208"/>
      <c r="C561" s="1209"/>
      <c r="D561" s="583" t="s">
        <v>1151</v>
      </c>
      <c r="E561" s="1211"/>
      <c r="F561" s="1211"/>
      <c r="G561" s="1786"/>
      <c r="H561" s="1212"/>
      <c r="I561" s="573">
        <f t="shared" si="135"/>
        <v>881516</v>
      </c>
      <c r="J561" s="445"/>
      <c r="K561" s="445"/>
      <c r="L561" s="445"/>
      <c r="M561" s="445"/>
      <c r="N561" s="441">
        <f>SUM(N559:N560)</f>
        <v>881516</v>
      </c>
    </row>
    <row r="562" spans="1:16" s="8" customFormat="1" ht="22.5" customHeight="1" x14ac:dyDescent="0.3">
      <c r="A562" s="590">
        <v>553</v>
      </c>
      <c r="B562" s="165"/>
      <c r="C562" s="166">
        <v>93</v>
      </c>
      <c r="D562" s="584" t="s">
        <v>822</v>
      </c>
      <c r="E562" s="164"/>
      <c r="F562" s="164"/>
      <c r="G562" s="1784"/>
      <c r="H562" s="605" t="s">
        <v>23</v>
      </c>
      <c r="I562" s="573"/>
      <c r="J562" s="168"/>
      <c r="K562" s="168"/>
      <c r="L562" s="168"/>
      <c r="M562" s="168"/>
      <c r="N562" s="169"/>
    </row>
    <row r="563" spans="1:16" s="1213" customFormat="1" ht="18" customHeight="1" x14ac:dyDescent="0.3">
      <c r="A563" s="590">
        <v>554</v>
      </c>
      <c r="B563" s="1208"/>
      <c r="C563" s="1209"/>
      <c r="D563" s="1210" t="s">
        <v>311</v>
      </c>
      <c r="E563" s="1211"/>
      <c r="F563" s="1211"/>
      <c r="G563" s="1786"/>
      <c r="H563" s="1212"/>
      <c r="I563" s="1203">
        <f>SUM(J563:N563)</f>
        <v>153947</v>
      </c>
      <c r="J563" s="1204"/>
      <c r="K563" s="1204"/>
      <c r="L563" s="1204"/>
      <c r="M563" s="1204"/>
      <c r="N563" s="1205">
        <v>153947</v>
      </c>
    </row>
    <row r="564" spans="1:16" s="1213" customFormat="1" ht="18" customHeight="1" x14ac:dyDescent="0.3">
      <c r="A564" s="590">
        <v>555</v>
      </c>
      <c r="B564" s="1208"/>
      <c r="C564" s="1209"/>
      <c r="D564" s="583" t="s">
        <v>1072</v>
      </c>
      <c r="E564" s="1211"/>
      <c r="F564" s="1211"/>
      <c r="G564" s="1786"/>
      <c r="H564" s="1212"/>
      <c r="I564" s="573">
        <f t="shared" ref="I564:I566" si="136">SUM(J564:N564)</f>
        <v>153947</v>
      </c>
      <c r="J564" s="1204"/>
      <c r="K564" s="1204"/>
      <c r="L564" s="1204"/>
      <c r="M564" s="1204"/>
      <c r="N564" s="441">
        <v>153947</v>
      </c>
    </row>
    <row r="565" spans="1:16" s="1213" customFormat="1" ht="18" customHeight="1" x14ac:dyDescent="0.3">
      <c r="A565" s="590">
        <v>556</v>
      </c>
      <c r="B565" s="1208"/>
      <c r="C565" s="1209"/>
      <c r="D565" s="1338" t="s">
        <v>963</v>
      </c>
      <c r="E565" s="1211"/>
      <c r="F565" s="1211"/>
      <c r="G565" s="1786"/>
      <c r="H565" s="1212"/>
      <c r="I565" s="1341">
        <f t="shared" si="136"/>
        <v>0</v>
      </c>
      <c r="J565" s="445"/>
      <c r="K565" s="445"/>
      <c r="L565" s="445"/>
      <c r="M565" s="445"/>
      <c r="N565" s="441"/>
    </row>
    <row r="566" spans="1:16" s="1213" customFormat="1" ht="18" customHeight="1" x14ac:dyDescent="0.3">
      <c r="A566" s="590">
        <v>557</v>
      </c>
      <c r="B566" s="1208"/>
      <c r="C566" s="1209"/>
      <c r="D566" s="583" t="s">
        <v>1151</v>
      </c>
      <c r="E566" s="1211"/>
      <c r="F566" s="1211"/>
      <c r="G566" s="1786"/>
      <c r="H566" s="1212"/>
      <c r="I566" s="573">
        <f t="shared" si="136"/>
        <v>153947</v>
      </c>
      <c r="J566" s="445"/>
      <c r="K566" s="445"/>
      <c r="L566" s="445"/>
      <c r="M566" s="445"/>
      <c r="N566" s="441">
        <f>SUM(N564:N565)</f>
        <v>153947</v>
      </c>
    </row>
    <row r="567" spans="1:16" s="3" customFormat="1" ht="22.5" customHeight="1" x14ac:dyDescent="0.3">
      <c r="A567" s="590">
        <v>558</v>
      </c>
      <c r="B567" s="161"/>
      <c r="C567" s="162">
        <v>94</v>
      </c>
      <c r="D567" s="584" t="s">
        <v>559</v>
      </c>
      <c r="E567" s="164"/>
      <c r="F567" s="164">
        <v>56013</v>
      </c>
      <c r="G567" s="1784">
        <v>24770</v>
      </c>
      <c r="H567" s="605" t="s">
        <v>24</v>
      </c>
      <c r="I567" s="573"/>
      <c r="J567" s="168"/>
      <c r="K567" s="168"/>
      <c r="L567" s="168"/>
      <c r="M567" s="168"/>
      <c r="N567" s="169"/>
    </row>
    <row r="568" spans="1:16" s="1213" customFormat="1" ht="18" customHeight="1" x14ac:dyDescent="0.3">
      <c r="A568" s="590">
        <v>559</v>
      </c>
      <c r="B568" s="1208"/>
      <c r="C568" s="1209"/>
      <c r="D568" s="1210" t="s">
        <v>311</v>
      </c>
      <c r="E568" s="1211"/>
      <c r="F568" s="1211"/>
      <c r="G568" s="1786"/>
      <c r="H568" s="1212"/>
      <c r="I568" s="1203">
        <f>SUM(J568:N568)</f>
        <v>56914</v>
      </c>
      <c r="J568" s="1204"/>
      <c r="K568" s="1204"/>
      <c r="L568" s="1204">
        <v>56914</v>
      </c>
      <c r="M568" s="1204"/>
      <c r="N568" s="1205"/>
    </row>
    <row r="569" spans="1:16" s="1213" customFormat="1" ht="18" customHeight="1" x14ac:dyDescent="0.3">
      <c r="A569" s="590">
        <v>560</v>
      </c>
      <c r="B569" s="1208"/>
      <c r="C569" s="1209"/>
      <c r="D569" s="583" t="s">
        <v>1072</v>
      </c>
      <c r="E569" s="1211"/>
      <c r="F569" s="1211"/>
      <c r="G569" s="1786"/>
      <c r="H569" s="1212"/>
      <c r="I569" s="573">
        <f t="shared" ref="I569:I571" si="137">SUM(J569:N569)</f>
        <v>56814</v>
      </c>
      <c r="J569" s="1204"/>
      <c r="K569" s="1204"/>
      <c r="L569" s="445">
        <v>56814</v>
      </c>
      <c r="M569" s="1204"/>
      <c r="N569" s="1205"/>
    </row>
    <row r="570" spans="1:16" s="1213" customFormat="1" ht="18" customHeight="1" x14ac:dyDescent="0.3">
      <c r="A570" s="590">
        <v>561</v>
      </c>
      <c r="B570" s="1208"/>
      <c r="C570" s="1209"/>
      <c r="D570" s="1338" t="s">
        <v>986</v>
      </c>
      <c r="E570" s="1211"/>
      <c r="F570" s="1211"/>
      <c r="G570" s="1786"/>
      <c r="H570" s="1212"/>
      <c r="I570" s="1341">
        <f t="shared" si="137"/>
        <v>0</v>
      </c>
      <c r="J570" s="445"/>
      <c r="K570" s="445"/>
      <c r="L570" s="185"/>
      <c r="M570" s="445"/>
      <c r="N570" s="441"/>
    </row>
    <row r="571" spans="1:16" s="1213" customFormat="1" ht="18" customHeight="1" x14ac:dyDescent="0.3">
      <c r="A571" s="590">
        <v>562</v>
      </c>
      <c r="B571" s="1208"/>
      <c r="C571" s="1209"/>
      <c r="D571" s="583" t="s">
        <v>1151</v>
      </c>
      <c r="E571" s="1211"/>
      <c r="F571" s="1211"/>
      <c r="G571" s="1786"/>
      <c r="H571" s="1212"/>
      <c r="I571" s="573">
        <f t="shared" si="137"/>
        <v>56814</v>
      </c>
      <c r="J571" s="445"/>
      <c r="K571" s="445"/>
      <c r="L571" s="445">
        <f>SUM(L569:L570)</f>
        <v>56814</v>
      </c>
      <c r="M571" s="445"/>
      <c r="N571" s="441"/>
    </row>
    <row r="572" spans="1:16" s="3" customFormat="1" ht="22.5" customHeight="1" x14ac:dyDescent="0.3">
      <c r="A572" s="590">
        <v>563</v>
      </c>
      <c r="B572" s="161"/>
      <c r="C572" s="162"/>
      <c r="D572" s="377" t="s">
        <v>306</v>
      </c>
      <c r="E572" s="164"/>
      <c r="F572" s="164"/>
      <c r="G572" s="1784"/>
      <c r="H572" s="605"/>
      <c r="I572" s="574"/>
      <c r="J572" s="171"/>
      <c r="K572" s="171"/>
      <c r="L572" s="171"/>
      <c r="M572" s="171"/>
      <c r="N572" s="172"/>
      <c r="O572" s="8"/>
      <c r="P572" s="8"/>
    </row>
    <row r="573" spans="1:16" s="3" customFormat="1" ht="22.5" customHeight="1" x14ac:dyDescent="0.3">
      <c r="A573" s="590">
        <v>564</v>
      </c>
      <c r="B573" s="161"/>
      <c r="C573" s="162">
        <v>95</v>
      </c>
      <c r="D573" s="187" t="s">
        <v>8</v>
      </c>
      <c r="E573" s="164">
        <v>277661</v>
      </c>
      <c r="F573" s="164">
        <v>280000</v>
      </c>
      <c r="G573" s="1784">
        <v>285738</v>
      </c>
      <c r="H573" s="605" t="s">
        <v>23</v>
      </c>
      <c r="I573" s="573"/>
      <c r="J573" s="168"/>
      <c r="K573" s="168"/>
      <c r="L573" s="168"/>
      <c r="M573" s="168"/>
      <c r="N573" s="169"/>
      <c r="P573" s="8"/>
    </row>
    <row r="574" spans="1:16" s="1213" customFormat="1" ht="18" customHeight="1" x14ac:dyDescent="0.3">
      <c r="A574" s="590">
        <v>565</v>
      </c>
      <c r="B574" s="1208"/>
      <c r="C574" s="1209"/>
      <c r="D574" s="1233" t="s">
        <v>311</v>
      </c>
      <c r="E574" s="1211"/>
      <c r="F574" s="1211"/>
      <c r="G574" s="1786"/>
      <c r="H574" s="1212"/>
      <c r="I574" s="1203">
        <f>SUM(J574:N574)</f>
        <v>277100</v>
      </c>
      <c r="J574" s="1204"/>
      <c r="K574" s="1204"/>
      <c r="L574" s="1204">
        <v>5000</v>
      </c>
      <c r="M574" s="1204"/>
      <c r="N574" s="1205">
        <f>277100-5000</f>
        <v>272100</v>
      </c>
    </row>
    <row r="575" spans="1:16" s="1213" customFormat="1" ht="18" customHeight="1" x14ac:dyDescent="0.3">
      <c r="A575" s="590">
        <v>566</v>
      </c>
      <c r="B575" s="1208"/>
      <c r="C575" s="1209"/>
      <c r="D575" s="1349" t="s">
        <v>1072</v>
      </c>
      <c r="E575" s="1211"/>
      <c r="F575" s="1211"/>
      <c r="G575" s="1786"/>
      <c r="H575" s="1212"/>
      <c r="I575" s="573">
        <f t="shared" ref="I575:I577" si="138">SUM(J575:N575)</f>
        <v>278548</v>
      </c>
      <c r="J575" s="1204"/>
      <c r="K575" s="1204"/>
      <c r="L575" s="445">
        <v>6448</v>
      </c>
      <c r="M575" s="445"/>
      <c r="N575" s="441">
        <v>272100</v>
      </c>
    </row>
    <row r="576" spans="1:16" s="1213" customFormat="1" ht="18" customHeight="1" x14ac:dyDescent="0.3">
      <c r="A576" s="590">
        <v>567</v>
      </c>
      <c r="B576" s="1208"/>
      <c r="C576" s="1209"/>
      <c r="D576" s="1348" t="s">
        <v>1272</v>
      </c>
      <c r="E576" s="1211"/>
      <c r="F576" s="1211"/>
      <c r="G576" s="1786"/>
      <c r="H576" s="1212"/>
      <c r="I576" s="1341">
        <f t="shared" si="138"/>
        <v>2000</v>
      </c>
      <c r="J576" s="445"/>
      <c r="K576" s="445"/>
      <c r="L576" s="185">
        <v>2000</v>
      </c>
      <c r="M576" s="445"/>
      <c r="N576" s="441"/>
    </row>
    <row r="577" spans="1:16" s="1213" customFormat="1" ht="18" customHeight="1" x14ac:dyDescent="0.3">
      <c r="A577" s="590">
        <v>568</v>
      </c>
      <c r="B577" s="1208"/>
      <c r="C577" s="1209"/>
      <c r="D577" s="1349" t="s">
        <v>1151</v>
      </c>
      <c r="E577" s="1211"/>
      <c r="F577" s="1211"/>
      <c r="G577" s="1786"/>
      <c r="H577" s="1212"/>
      <c r="I577" s="573">
        <f t="shared" si="138"/>
        <v>280548</v>
      </c>
      <c r="J577" s="445"/>
      <c r="K577" s="445"/>
      <c r="L577" s="445">
        <f>SUM(L575:L576)</f>
        <v>8448</v>
      </c>
      <c r="M577" s="445"/>
      <c r="N577" s="441">
        <f>SUM(N575:N576)</f>
        <v>272100</v>
      </c>
    </row>
    <row r="578" spans="1:16" s="3" customFormat="1" ht="22.5" customHeight="1" x14ac:dyDescent="0.3">
      <c r="A578" s="590">
        <v>569</v>
      </c>
      <c r="B578" s="161"/>
      <c r="C578" s="162">
        <v>96</v>
      </c>
      <c r="D578" s="187" t="s">
        <v>305</v>
      </c>
      <c r="E578" s="164">
        <v>50000</v>
      </c>
      <c r="F578" s="164">
        <v>54053</v>
      </c>
      <c r="G578" s="1784">
        <v>54053</v>
      </c>
      <c r="H578" s="605" t="s">
        <v>23</v>
      </c>
      <c r="I578" s="573"/>
      <c r="J578" s="168"/>
      <c r="K578" s="168"/>
      <c r="L578" s="168"/>
      <c r="M578" s="168"/>
      <c r="N578" s="169"/>
      <c r="P578" s="8"/>
    </row>
    <row r="579" spans="1:16" s="1213" customFormat="1" ht="18" customHeight="1" x14ac:dyDescent="0.3">
      <c r="A579" s="590">
        <v>570</v>
      </c>
      <c r="B579" s="1208"/>
      <c r="C579" s="1209"/>
      <c r="D579" s="1233" t="s">
        <v>311</v>
      </c>
      <c r="E579" s="1211"/>
      <c r="F579" s="1211"/>
      <c r="G579" s="1786"/>
      <c r="H579" s="1212"/>
      <c r="I579" s="1203">
        <f>SUM(J579:N579)</f>
        <v>45900</v>
      </c>
      <c r="J579" s="1204"/>
      <c r="K579" s="1204"/>
      <c r="L579" s="1204"/>
      <c r="M579" s="1204"/>
      <c r="N579" s="1205">
        <v>45900</v>
      </c>
    </row>
    <row r="580" spans="1:16" s="1213" customFormat="1" ht="18" customHeight="1" x14ac:dyDescent="0.3">
      <c r="A580" s="590">
        <v>571</v>
      </c>
      <c r="B580" s="1208"/>
      <c r="C580" s="1209"/>
      <c r="D580" s="1349" t="s">
        <v>1072</v>
      </c>
      <c r="E580" s="1211"/>
      <c r="F580" s="1211"/>
      <c r="G580" s="1786"/>
      <c r="H580" s="1212"/>
      <c r="I580" s="573">
        <f t="shared" ref="I580:I582" si="139">SUM(J580:N580)</f>
        <v>45900</v>
      </c>
      <c r="J580" s="1204"/>
      <c r="K580" s="1204"/>
      <c r="L580" s="1204"/>
      <c r="M580" s="1204"/>
      <c r="N580" s="441">
        <v>45900</v>
      </c>
    </row>
    <row r="581" spans="1:16" s="1213" customFormat="1" ht="18" customHeight="1" x14ac:dyDescent="0.3">
      <c r="A581" s="590">
        <v>572</v>
      </c>
      <c r="B581" s="1208"/>
      <c r="C581" s="1209"/>
      <c r="D581" s="1348" t="s">
        <v>963</v>
      </c>
      <c r="E581" s="1211"/>
      <c r="F581" s="1211"/>
      <c r="G581" s="1786"/>
      <c r="H581" s="1212"/>
      <c r="I581" s="1341">
        <f t="shared" si="139"/>
        <v>0</v>
      </c>
      <c r="J581" s="445"/>
      <c r="K581" s="445"/>
      <c r="L581" s="445"/>
      <c r="M581" s="445"/>
      <c r="N581" s="441"/>
    </row>
    <row r="582" spans="1:16" s="1213" customFormat="1" ht="18" customHeight="1" x14ac:dyDescent="0.3">
      <c r="A582" s="590">
        <v>573</v>
      </c>
      <c r="B582" s="1208"/>
      <c r="C582" s="1209"/>
      <c r="D582" s="1349" t="s">
        <v>1151</v>
      </c>
      <c r="E582" s="1211"/>
      <c r="F582" s="1211"/>
      <c r="G582" s="1786"/>
      <c r="H582" s="1212"/>
      <c r="I582" s="573">
        <f t="shared" si="139"/>
        <v>45900</v>
      </c>
      <c r="J582" s="445"/>
      <c r="K582" s="445"/>
      <c r="L582" s="445"/>
      <c r="M582" s="445"/>
      <c r="N582" s="441">
        <f>SUM(N580:N581)</f>
        <v>45900</v>
      </c>
    </row>
    <row r="583" spans="1:16" s="3" customFormat="1" ht="22.5" customHeight="1" x14ac:dyDescent="0.3">
      <c r="A583" s="590">
        <v>574</v>
      </c>
      <c r="B583" s="161"/>
      <c r="C583" s="162">
        <v>97</v>
      </c>
      <c r="D583" s="187" t="s">
        <v>9</v>
      </c>
      <c r="E583" s="164">
        <v>289144</v>
      </c>
      <c r="F583" s="164">
        <v>298908</v>
      </c>
      <c r="G583" s="1784">
        <v>298908</v>
      </c>
      <c r="H583" s="605" t="s">
        <v>23</v>
      </c>
      <c r="I583" s="573"/>
      <c r="J583" s="168"/>
      <c r="K583" s="168"/>
      <c r="L583" s="168"/>
      <c r="M583" s="168"/>
      <c r="N583" s="169"/>
      <c r="P583" s="8"/>
    </row>
    <row r="584" spans="1:16" s="1213" customFormat="1" ht="18" customHeight="1" x14ac:dyDescent="0.3">
      <c r="A584" s="590">
        <v>575</v>
      </c>
      <c r="B584" s="1208"/>
      <c r="C584" s="1209"/>
      <c r="D584" s="1233" t="s">
        <v>311</v>
      </c>
      <c r="E584" s="1211"/>
      <c r="F584" s="1211"/>
      <c r="G584" s="1786"/>
      <c r="H584" s="1212"/>
      <c r="I584" s="1203">
        <f>SUM(J584:N584)</f>
        <v>259250</v>
      </c>
      <c r="J584" s="1204"/>
      <c r="K584" s="1204"/>
      <c r="L584" s="1204"/>
      <c r="M584" s="1204"/>
      <c r="N584" s="1205">
        <v>259250</v>
      </c>
    </row>
    <row r="585" spans="1:16" s="1213" customFormat="1" ht="18" customHeight="1" x14ac:dyDescent="0.3">
      <c r="A585" s="590">
        <v>576</v>
      </c>
      <c r="B585" s="1208"/>
      <c r="C585" s="1209"/>
      <c r="D585" s="1349" t="s">
        <v>1072</v>
      </c>
      <c r="E585" s="1211"/>
      <c r="F585" s="1211"/>
      <c r="G585" s="1786"/>
      <c r="H585" s="1212"/>
      <c r="I585" s="573">
        <f t="shared" ref="I585" si="140">SUM(J585:N585)</f>
        <v>259250</v>
      </c>
      <c r="J585" s="1204"/>
      <c r="K585" s="1204"/>
      <c r="L585" s="1204"/>
      <c r="M585" s="1204"/>
      <c r="N585" s="441">
        <v>259250</v>
      </c>
    </row>
    <row r="586" spans="1:16" s="1213" customFormat="1" ht="18" customHeight="1" x14ac:dyDescent="0.3">
      <c r="A586" s="590">
        <v>577</v>
      </c>
      <c r="B586" s="1208"/>
      <c r="C586" s="1209"/>
      <c r="D586" s="1348" t="s">
        <v>963</v>
      </c>
      <c r="E586" s="1211"/>
      <c r="F586" s="1211"/>
      <c r="G586" s="1786"/>
      <c r="H586" s="1212"/>
      <c r="I586" s="1341">
        <f t="shared" ref="I586:I587" si="141">SUM(J586:N586)</f>
        <v>0</v>
      </c>
      <c r="J586" s="445"/>
      <c r="K586" s="445"/>
      <c r="L586" s="445"/>
      <c r="M586" s="445"/>
      <c r="N586" s="441"/>
    </row>
    <row r="587" spans="1:16" s="1213" customFormat="1" ht="18" customHeight="1" x14ac:dyDescent="0.3">
      <c r="A587" s="590">
        <v>578</v>
      </c>
      <c r="B587" s="1208"/>
      <c r="C587" s="1209"/>
      <c r="D587" s="1349" t="s">
        <v>1151</v>
      </c>
      <c r="E587" s="1211"/>
      <c r="F587" s="1211"/>
      <c r="G587" s="1786"/>
      <c r="H587" s="1212"/>
      <c r="I587" s="573">
        <f t="shared" si="141"/>
        <v>259250</v>
      </c>
      <c r="J587" s="445"/>
      <c r="K587" s="445"/>
      <c r="L587" s="445"/>
      <c r="M587" s="445"/>
      <c r="N587" s="441">
        <f>SUM(N585:N586)</f>
        <v>259250</v>
      </c>
    </row>
    <row r="588" spans="1:16" s="3" customFormat="1" ht="22.5" customHeight="1" x14ac:dyDescent="0.3">
      <c r="A588" s="590">
        <v>579</v>
      </c>
      <c r="B588" s="161"/>
      <c r="C588" s="162">
        <v>98</v>
      </c>
      <c r="D588" s="187" t="s">
        <v>7</v>
      </c>
      <c r="E588" s="164">
        <v>21700</v>
      </c>
      <c r="F588" s="164">
        <v>43000</v>
      </c>
      <c r="G588" s="1784">
        <v>43000</v>
      </c>
      <c r="H588" s="605" t="s">
        <v>23</v>
      </c>
      <c r="I588" s="573"/>
      <c r="J588" s="168"/>
      <c r="K588" s="168"/>
      <c r="L588" s="168"/>
      <c r="M588" s="168"/>
      <c r="N588" s="169"/>
      <c r="P588" s="8"/>
    </row>
    <row r="589" spans="1:16" s="1213" customFormat="1" ht="18" customHeight="1" x14ac:dyDescent="0.3">
      <c r="A589" s="590">
        <v>580</v>
      </c>
      <c r="B589" s="1208"/>
      <c r="C589" s="1209"/>
      <c r="D589" s="1233" t="s">
        <v>311</v>
      </c>
      <c r="E589" s="1211"/>
      <c r="F589" s="1211"/>
      <c r="G589" s="1786"/>
      <c r="H589" s="1212"/>
      <c r="I589" s="1203">
        <f>SUM(J589:N589)</f>
        <v>36550</v>
      </c>
      <c r="J589" s="1204"/>
      <c r="K589" s="1204"/>
      <c r="L589" s="1204"/>
      <c r="M589" s="1204"/>
      <c r="N589" s="1205">
        <v>36550</v>
      </c>
    </row>
    <row r="590" spans="1:16" s="1213" customFormat="1" ht="18" customHeight="1" x14ac:dyDescent="0.3">
      <c r="A590" s="590">
        <v>581</v>
      </c>
      <c r="B590" s="1208"/>
      <c r="C590" s="1209"/>
      <c r="D590" s="1349" t="s">
        <v>1072</v>
      </c>
      <c r="E590" s="1211"/>
      <c r="F590" s="1211"/>
      <c r="G590" s="1786"/>
      <c r="H590" s="1212"/>
      <c r="I590" s="573">
        <f t="shared" ref="I590" si="142">SUM(J590:N590)</f>
        <v>36550</v>
      </c>
      <c r="J590" s="1204"/>
      <c r="K590" s="1204"/>
      <c r="L590" s="1204"/>
      <c r="M590" s="1204"/>
      <c r="N590" s="441">
        <v>36550</v>
      </c>
    </row>
    <row r="591" spans="1:16" s="1213" customFormat="1" ht="18" customHeight="1" x14ac:dyDescent="0.3">
      <c r="A591" s="590">
        <v>582</v>
      </c>
      <c r="B591" s="1208"/>
      <c r="C591" s="1209"/>
      <c r="D591" s="1348" t="s">
        <v>963</v>
      </c>
      <c r="E591" s="1211"/>
      <c r="F591" s="1211"/>
      <c r="G591" s="1786"/>
      <c r="H591" s="1212"/>
      <c r="I591" s="1341">
        <f t="shared" ref="I591:I592" si="143">SUM(J591:N591)</f>
        <v>0</v>
      </c>
      <c r="J591" s="445"/>
      <c r="K591" s="445"/>
      <c r="L591" s="445"/>
      <c r="M591" s="445"/>
      <c r="N591" s="441"/>
    </row>
    <row r="592" spans="1:16" s="1213" customFormat="1" ht="18" customHeight="1" x14ac:dyDescent="0.3">
      <c r="A592" s="590">
        <v>583</v>
      </c>
      <c r="B592" s="1208"/>
      <c r="C592" s="1209"/>
      <c r="D592" s="1349" t="s">
        <v>1151</v>
      </c>
      <c r="E592" s="1211"/>
      <c r="F592" s="1211"/>
      <c r="G592" s="1786"/>
      <c r="H592" s="1212"/>
      <c r="I592" s="573">
        <f t="shared" si="143"/>
        <v>36550</v>
      </c>
      <c r="J592" s="445"/>
      <c r="K592" s="445"/>
      <c r="L592" s="445"/>
      <c r="M592" s="445"/>
      <c r="N592" s="441">
        <f>SUM(N590:N591)</f>
        <v>36550</v>
      </c>
    </row>
    <row r="593" spans="1:16" s="3" customFormat="1" ht="22.5" customHeight="1" x14ac:dyDescent="0.3">
      <c r="A593" s="590">
        <v>584</v>
      </c>
      <c r="B593" s="161"/>
      <c r="C593" s="162"/>
      <c r="D593" s="377" t="s">
        <v>307</v>
      </c>
      <c r="E593" s="164"/>
      <c r="F593" s="164"/>
      <c r="G593" s="1784"/>
      <c r="H593" s="605"/>
      <c r="I593" s="574"/>
      <c r="J593" s="171"/>
      <c r="K593" s="171"/>
      <c r="L593" s="171"/>
      <c r="M593" s="171"/>
      <c r="N593" s="172"/>
      <c r="O593" s="8"/>
      <c r="P593" s="8"/>
    </row>
    <row r="594" spans="1:16" s="3" customFormat="1" ht="22.5" customHeight="1" x14ac:dyDescent="0.3">
      <c r="A594" s="590">
        <v>585</v>
      </c>
      <c r="B594" s="161"/>
      <c r="C594" s="162">
        <v>99</v>
      </c>
      <c r="D594" s="187" t="s">
        <v>823</v>
      </c>
      <c r="E594" s="164">
        <v>157789</v>
      </c>
      <c r="F594" s="164">
        <f>171000-121000</f>
        <v>50000</v>
      </c>
      <c r="G594" s="1784">
        <v>35000</v>
      </c>
      <c r="H594" s="605" t="s">
        <v>23</v>
      </c>
      <c r="I594" s="573"/>
      <c r="J594" s="168"/>
      <c r="K594" s="168"/>
      <c r="L594" s="168"/>
      <c r="M594" s="168"/>
      <c r="N594" s="169"/>
      <c r="P594" s="8"/>
    </row>
    <row r="595" spans="1:16" s="1213" customFormat="1" ht="18" customHeight="1" x14ac:dyDescent="0.3">
      <c r="A595" s="590">
        <v>586</v>
      </c>
      <c r="B595" s="1208"/>
      <c r="C595" s="1209"/>
      <c r="D595" s="1233" t="s">
        <v>311</v>
      </c>
      <c r="E595" s="1211"/>
      <c r="F595" s="1211"/>
      <c r="G595" s="1786"/>
      <c r="H595" s="1212"/>
      <c r="I595" s="1203">
        <f>SUM(J595:N595)</f>
        <v>42500</v>
      </c>
      <c r="J595" s="1204"/>
      <c r="K595" s="1204"/>
      <c r="L595" s="1204"/>
      <c r="M595" s="1204"/>
      <c r="N595" s="1205">
        <f>35000+7500</f>
        <v>42500</v>
      </c>
    </row>
    <row r="596" spans="1:16" s="1213" customFormat="1" ht="18" customHeight="1" x14ac:dyDescent="0.3">
      <c r="A596" s="590">
        <v>587</v>
      </c>
      <c r="B596" s="1208"/>
      <c r="C596" s="1209"/>
      <c r="D596" s="1349" t="s">
        <v>1072</v>
      </c>
      <c r="E596" s="1211"/>
      <c r="F596" s="1211"/>
      <c r="G596" s="1786"/>
      <c r="H596" s="1212"/>
      <c r="I596" s="573">
        <f t="shared" ref="I596" si="144">SUM(J596:N596)</f>
        <v>42500</v>
      </c>
      <c r="J596" s="1204"/>
      <c r="K596" s="1204"/>
      <c r="L596" s="1204"/>
      <c r="M596" s="1204"/>
      <c r="N596" s="441">
        <v>42500</v>
      </c>
    </row>
    <row r="597" spans="1:16" s="1213" customFormat="1" ht="18" customHeight="1" x14ac:dyDescent="0.3">
      <c r="A597" s="590">
        <v>588</v>
      </c>
      <c r="B597" s="1208"/>
      <c r="C597" s="1209"/>
      <c r="D597" s="1348" t="s">
        <v>986</v>
      </c>
      <c r="E597" s="1211"/>
      <c r="F597" s="1211"/>
      <c r="G597" s="1786"/>
      <c r="H597" s="1212"/>
      <c r="I597" s="1341">
        <f t="shared" ref="I597:I598" si="145">SUM(J597:N597)</f>
        <v>0</v>
      </c>
      <c r="J597" s="445"/>
      <c r="K597" s="445"/>
      <c r="L597" s="445"/>
      <c r="M597" s="445"/>
      <c r="N597" s="441"/>
    </row>
    <row r="598" spans="1:16" s="1213" customFormat="1" ht="18" customHeight="1" x14ac:dyDescent="0.3">
      <c r="A598" s="590">
        <v>589</v>
      </c>
      <c r="B598" s="1208"/>
      <c r="C598" s="1209"/>
      <c r="D598" s="1349" t="s">
        <v>1151</v>
      </c>
      <c r="E598" s="1211"/>
      <c r="F598" s="1211"/>
      <c r="G598" s="1786"/>
      <c r="H598" s="1212"/>
      <c r="I598" s="573">
        <f t="shared" si="145"/>
        <v>42500</v>
      </c>
      <c r="J598" s="445"/>
      <c r="K598" s="445"/>
      <c r="L598" s="445"/>
      <c r="M598" s="445"/>
      <c r="N598" s="441">
        <f>SUM(N596:N597)</f>
        <v>42500</v>
      </c>
    </row>
    <row r="599" spans="1:16" s="3" customFormat="1" ht="22.5" customHeight="1" x14ac:dyDescent="0.3">
      <c r="A599" s="590">
        <v>590</v>
      </c>
      <c r="B599" s="161"/>
      <c r="C599" s="162">
        <v>100</v>
      </c>
      <c r="D599" s="187" t="s">
        <v>308</v>
      </c>
      <c r="E599" s="164">
        <v>180000</v>
      </c>
      <c r="F599" s="164">
        <v>180000</v>
      </c>
      <c r="G599" s="1784">
        <v>180000</v>
      </c>
      <c r="H599" s="605" t="s">
        <v>23</v>
      </c>
      <c r="I599" s="573"/>
      <c r="J599" s="168"/>
      <c r="K599" s="168"/>
      <c r="L599" s="168"/>
      <c r="M599" s="168"/>
      <c r="N599" s="169"/>
      <c r="P599" s="8"/>
    </row>
    <row r="600" spans="1:16" s="1213" customFormat="1" ht="18" customHeight="1" x14ac:dyDescent="0.3">
      <c r="A600" s="590">
        <v>591</v>
      </c>
      <c r="B600" s="1208"/>
      <c r="C600" s="1209"/>
      <c r="D600" s="1233" t="s">
        <v>311</v>
      </c>
      <c r="E600" s="1211"/>
      <c r="F600" s="1211"/>
      <c r="G600" s="1786"/>
      <c r="H600" s="1212"/>
      <c r="I600" s="1203">
        <f>SUM(J600:N600)</f>
        <v>169738</v>
      </c>
      <c r="J600" s="1204"/>
      <c r="K600" s="1204"/>
      <c r="L600" s="1204"/>
      <c r="M600" s="1204"/>
      <c r="N600" s="1205">
        <v>169738</v>
      </c>
    </row>
    <row r="601" spans="1:16" s="1213" customFormat="1" ht="18" customHeight="1" x14ac:dyDescent="0.3">
      <c r="A601" s="590">
        <v>592</v>
      </c>
      <c r="B601" s="1208"/>
      <c r="C601" s="1209"/>
      <c r="D601" s="1349" t="s">
        <v>1072</v>
      </c>
      <c r="E601" s="1211"/>
      <c r="F601" s="1211"/>
      <c r="G601" s="1786"/>
      <c r="H601" s="1212"/>
      <c r="I601" s="573">
        <f t="shared" ref="I601" si="146">SUM(J601:N601)</f>
        <v>169738</v>
      </c>
      <c r="J601" s="1204"/>
      <c r="K601" s="1204"/>
      <c r="L601" s="1204"/>
      <c r="M601" s="1204"/>
      <c r="N601" s="441">
        <v>169738</v>
      </c>
    </row>
    <row r="602" spans="1:16" s="1213" customFormat="1" ht="18" customHeight="1" x14ac:dyDescent="0.3">
      <c r="A602" s="590">
        <v>593</v>
      </c>
      <c r="B602" s="1208"/>
      <c r="C602" s="1209"/>
      <c r="D602" s="1348" t="s">
        <v>963</v>
      </c>
      <c r="E602" s="1211"/>
      <c r="F602" s="1211"/>
      <c r="G602" s="1786"/>
      <c r="H602" s="1212"/>
      <c r="I602" s="1341">
        <f t="shared" ref="I602:I603" si="147">SUM(J602:N602)</f>
        <v>0</v>
      </c>
      <c r="J602" s="445"/>
      <c r="K602" s="445"/>
      <c r="L602" s="445"/>
      <c r="M602" s="445"/>
      <c r="N602" s="441"/>
    </row>
    <row r="603" spans="1:16" s="1213" customFormat="1" ht="18" customHeight="1" x14ac:dyDescent="0.3">
      <c r="A603" s="590">
        <v>594</v>
      </c>
      <c r="B603" s="1208"/>
      <c r="C603" s="1209"/>
      <c r="D603" s="1349" t="s">
        <v>1151</v>
      </c>
      <c r="E603" s="1211"/>
      <c r="F603" s="1211"/>
      <c r="G603" s="1786"/>
      <c r="H603" s="1212"/>
      <c r="I603" s="573">
        <f t="shared" si="147"/>
        <v>169738</v>
      </c>
      <c r="J603" s="445"/>
      <c r="K603" s="445"/>
      <c r="L603" s="445"/>
      <c r="M603" s="445"/>
      <c r="N603" s="441">
        <f>SUM(N601:N602)</f>
        <v>169738</v>
      </c>
    </row>
    <row r="604" spans="1:16" s="8" customFormat="1" ht="22.5" customHeight="1" x14ac:dyDescent="0.3">
      <c r="A604" s="590">
        <v>595</v>
      </c>
      <c r="B604" s="165"/>
      <c r="C604" s="162">
        <v>101</v>
      </c>
      <c r="D604" s="187" t="s">
        <v>824</v>
      </c>
      <c r="E604" s="164"/>
      <c r="F604" s="164">
        <v>121000</v>
      </c>
      <c r="G604" s="1784">
        <v>123387</v>
      </c>
      <c r="H604" s="605" t="s">
        <v>23</v>
      </c>
      <c r="I604" s="573"/>
      <c r="J604" s="168"/>
      <c r="K604" s="168"/>
      <c r="L604" s="168"/>
      <c r="M604" s="168"/>
      <c r="N604" s="169"/>
    </row>
    <row r="605" spans="1:16" s="1213" customFormat="1" ht="18" customHeight="1" x14ac:dyDescent="0.3">
      <c r="A605" s="590">
        <v>596</v>
      </c>
      <c r="B605" s="1208"/>
      <c r="C605" s="1209"/>
      <c r="D605" s="1233" t="s">
        <v>311</v>
      </c>
      <c r="E605" s="1211"/>
      <c r="F605" s="1211"/>
      <c r="G605" s="1786"/>
      <c r="H605" s="1212"/>
      <c r="I605" s="1203">
        <f>SUM(J605:N605)</f>
        <v>130000</v>
      </c>
      <c r="J605" s="1204"/>
      <c r="K605" s="1204"/>
      <c r="L605" s="1204">
        <v>130000</v>
      </c>
      <c r="M605" s="1204"/>
      <c r="N605" s="1205"/>
    </row>
    <row r="606" spans="1:16" s="1213" customFormat="1" ht="18" customHeight="1" x14ac:dyDescent="0.3">
      <c r="A606" s="590">
        <v>597</v>
      </c>
      <c r="B606" s="1208"/>
      <c r="C606" s="1209"/>
      <c r="D606" s="1349" t="s">
        <v>1072</v>
      </c>
      <c r="E606" s="1211"/>
      <c r="F606" s="1211"/>
      <c r="G606" s="1786"/>
      <c r="H606" s="1212"/>
      <c r="I606" s="573">
        <f t="shared" ref="I606" si="148">SUM(J606:N606)</f>
        <v>149113</v>
      </c>
      <c r="J606" s="1204"/>
      <c r="K606" s="1204"/>
      <c r="L606" s="445">
        <v>149113</v>
      </c>
      <c r="M606" s="1204"/>
      <c r="N606" s="1205"/>
    </row>
    <row r="607" spans="1:16" s="1213" customFormat="1" ht="18" customHeight="1" x14ac:dyDescent="0.3">
      <c r="A607" s="590">
        <v>598</v>
      </c>
      <c r="B607" s="1208"/>
      <c r="C607" s="1209"/>
      <c r="D607" s="1348" t="s">
        <v>986</v>
      </c>
      <c r="E607" s="1211"/>
      <c r="F607" s="1211"/>
      <c r="G607" s="1786"/>
      <c r="H607" s="1212"/>
      <c r="I607" s="1341">
        <f t="shared" ref="I607:I608" si="149">SUM(J607:N607)</f>
        <v>0</v>
      </c>
      <c r="J607" s="445"/>
      <c r="K607" s="445"/>
      <c r="L607" s="185"/>
      <c r="M607" s="445"/>
      <c r="N607" s="441"/>
    </row>
    <row r="608" spans="1:16" s="1213" customFormat="1" ht="18" customHeight="1" x14ac:dyDescent="0.3">
      <c r="A608" s="590">
        <v>599</v>
      </c>
      <c r="B608" s="1208"/>
      <c r="C608" s="1209"/>
      <c r="D608" s="1349" t="s">
        <v>1151</v>
      </c>
      <c r="E608" s="1211"/>
      <c r="F608" s="1211"/>
      <c r="G608" s="1786"/>
      <c r="H608" s="1212"/>
      <c r="I608" s="573">
        <f t="shared" si="149"/>
        <v>149113</v>
      </c>
      <c r="J608" s="445"/>
      <c r="K608" s="445"/>
      <c r="L608" s="445">
        <f>SUM(L606:L607)</f>
        <v>149113</v>
      </c>
      <c r="M608" s="445"/>
      <c r="N608" s="441"/>
    </row>
    <row r="609" spans="1:16" s="3" customFormat="1" ht="22.5" customHeight="1" x14ac:dyDescent="0.3">
      <c r="A609" s="590">
        <v>600</v>
      </c>
      <c r="B609" s="161"/>
      <c r="C609" s="162">
        <v>102</v>
      </c>
      <c r="D609" s="584" t="s">
        <v>103</v>
      </c>
      <c r="E609" s="164">
        <v>20000</v>
      </c>
      <c r="F609" s="164">
        <v>20000</v>
      </c>
      <c r="G609" s="1784">
        <v>20000</v>
      </c>
      <c r="H609" s="605" t="s">
        <v>23</v>
      </c>
      <c r="I609" s="573"/>
      <c r="J609" s="168"/>
      <c r="K609" s="168"/>
      <c r="L609" s="168"/>
      <c r="M609" s="168"/>
      <c r="N609" s="169"/>
      <c r="P609" s="8"/>
    </row>
    <row r="610" spans="1:16" s="1213" customFormat="1" ht="18" customHeight="1" x14ac:dyDescent="0.3">
      <c r="A610" s="590">
        <v>601</v>
      </c>
      <c r="B610" s="1208"/>
      <c r="C610" s="1209"/>
      <c r="D610" s="1210" t="s">
        <v>311</v>
      </c>
      <c r="E610" s="1211"/>
      <c r="F610" s="1211"/>
      <c r="G610" s="1786"/>
      <c r="H610" s="1212"/>
      <c r="I610" s="1203">
        <f>SUM(J610:N610)</f>
        <v>17000</v>
      </c>
      <c r="J610" s="1204"/>
      <c r="K610" s="1204"/>
      <c r="L610" s="1204">
        <v>17000</v>
      </c>
      <c r="M610" s="1204"/>
      <c r="N610" s="1205"/>
    </row>
    <row r="611" spans="1:16" s="1213" customFormat="1" ht="18" customHeight="1" x14ac:dyDescent="0.3">
      <c r="A611" s="590">
        <v>602</v>
      </c>
      <c r="B611" s="1208"/>
      <c r="C611" s="1209"/>
      <c r="D611" s="583" t="s">
        <v>1072</v>
      </c>
      <c r="E611" s="1211"/>
      <c r="F611" s="1211"/>
      <c r="G611" s="1786"/>
      <c r="H611" s="1212"/>
      <c r="I611" s="573">
        <f t="shared" ref="I611:I613" si="150">SUM(J611:N611)</f>
        <v>24000</v>
      </c>
      <c r="J611" s="1204"/>
      <c r="K611" s="1204"/>
      <c r="L611" s="445">
        <v>24000</v>
      </c>
      <c r="M611" s="1204"/>
      <c r="N611" s="1205"/>
    </row>
    <row r="612" spans="1:16" s="1213" customFormat="1" ht="18" customHeight="1" x14ac:dyDescent="0.3">
      <c r="A612" s="590">
        <v>603</v>
      </c>
      <c r="B612" s="1208"/>
      <c r="C612" s="1209"/>
      <c r="D612" s="1338" t="s">
        <v>986</v>
      </c>
      <c r="E612" s="1211"/>
      <c r="F612" s="1211"/>
      <c r="G612" s="1786"/>
      <c r="H612" s="1212"/>
      <c r="I612" s="1341">
        <f t="shared" si="150"/>
        <v>0</v>
      </c>
      <c r="J612" s="445"/>
      <c r="K612" s="445"/>
      <c r="L612" s="185"/>
      <c r="M612" s="1204"/>
      <c r="N612" s="1205"/>
    </row>
    <row r="613" spans="1:16" s="1213" customFormat="1" ht="18" customHeight="1" x14ac:dyDescent="0.3">
      <c r="A613" s="590">
        <v>604</v>
      </c>
      <c r="B613" s="1208"/>
      <c r="C613" s="1209"/>
      <c r="D613" s="583" t="s">
        <v>1151</v>
      </c>
      <c r="E613" s="1211"/>
      <c r="F613" s="1211"/>
      <c r="G613" s="1786"/>
      <c r="H613" s="1212"/>
      <c r="I613" s="573">
        <f t="shared" si="150"/>
        <v>24000</v>
      </c>
      <c r="J613" s="445"/>
      <c r="K613" s="445"/>
      <c r="L613" s="445">
        <f>SUM(L611:L612)</f>
        <v>24000</v>
      </c>
      <c r="M613" s="1204"/>
      <c r="N613" s="1205"/>
    </row>
    <row r="614" spans="1:16" s="3" customFormat="1" ht="22.5" customHeight="1" x14ac:dyDescent="0.3">
      <c r="A614" s="590">
        <v>605</v>
      </c>
      <c r="B614" s="161"/>
      <c r="C614" s="162">
        <v>103</v>
      </c>
      <c r="D614" s="584" t="s">
        <v>104</v>
      </c>
      <c r="E614" s="164">
        <v>1000</v>
      </c>
      <c r="F614" s="164">
        <v>1000</v>
      </c>
      <c r="G614" s="1784">
        <v>1000</v>
      </c>
      <c r="H614" s="605" t="s">
        <v>23</v>
      </c>
      <c r="I614" s="573"/>
      <c r="J614" s="168"/>
      <c r="K614" s="168"/>
      <c r="L614" s="168"/>
      <c r="M614" s="168"/>
      <c r="N614" s="169"/>
      <c r="P614" s="8"/>
    </row>
    <row r="615" spans="1:16" s="1213" customFormat="1" ht="18" customHeight="1" x14ac:dyDescent="0.3">
      <c r="A615" s="590">
        <v>606</v>
      </c>
      <c r="B615" s="1208"/>
      <c r="C615" s="1209"/>
      <c r="D615" s="1210" t="s">
        <v>311</v>
      </c>
      <c r="E615" s="1211"/>
      <c r="F615" s="1211"/>
      <c r="G615" s="1786"/>
      <c r="H615" s="1212"/>
      <c r="I615" s="1203">
        <f>SUM(J615:N615)</f>
        <v>1020</v>
      </c>
      <c r="J615" s="1204"/>
      <c r="K615" s="1204"/>
      <c r="L615" s="1204">
        <v>1020</v>
      </c>
      <c r="M615" s="1204"/>
      <c r="N615" s="1205"/>
    </row>
    <row r="616" spans="1:16" s="1213" customFormat="1" ht="18" customHeight="1" x14ac:dyDescent="0.3">
      <c r="A616" s="590">
        <v>607</v>
      </c>
      <c r="B616" s="1208"/>
      <c r="C616" s="1209"/>
      <c r="D616" s="583" t="s">
        <v>1072</v>
      </c>
      <c r="E616" s="1211"/>
      <c r="F616" s="1211"/>
      <c r="G616" s="1786"/>
      <c r="H616" s="1212"/>
      <c r="I616" s="573">
        <f t="shared" ref="I616:I618" si="151">SUM(J616:N616)</f>
        <v>1020</v>
      </c>
      <c r="J616" s="1204"/>
      <c r="K616" s="1204"/>
      <c r="L616" s="445">
        <v>1020</v>
      </c>
      <c r="M616" s="1204"/>
      <c r="N616" s="1205"/>
    </row>
    <row r="617" spans="1:16" s="1213" customFormat="1" ht="18" customHeight="1" x14ac:dyDescent="0.3">
      <c r="A617" s="590">
        <v>608</v>
      </c>
      <c r="B617" s="1208"/>
      <c r="C617" s="1209"/>
      <c r="D617" s="1338" t="s">
        <v>963</v>
      </c>
      <c r="E617" s="1211"/>
      <c r="F617" s="1211"/>
      <c r="G617" s="1786"/>
      <c r="H617" s="1212"/>
      <c r="I617" s="1341">
        <f t="shared" si="151"/>
        <v>0</v>
      </c>
      <c r="J617" s="445"/>
      <c r="K617" s="445"/>
      <c r="L617" s="445"/>
      <c r="M617" s="1204"/>
      <c r="N617" s="1205"/>
    </row>
    <row r="618" spans="1:16" s="1213" customFormat="1" ht="18" customHeight="1" x14ac:dyDescent="0.3">
      <c r="A618" s="590">
        <v>609</v>
      </c>
      <c r="B618" s="1208"/>
      <c r="C618" s="1209"/>
      <c r="D618" s="583" t="s">
        <v>1151</v>
      </c>
      <c r="E618" s="1211"/>
      <c r="F618" s="1211"/>
      <c r="G618" s="1786"/>
      <c r="H618" s="1212"/>
      <c r="I618" s="573">
        <f t="shared" si="151"/>
        <v>1020</v>
      </c>
      <c r="J618" s="445"/>
      <c r="K618" s="445"/>
      <c r="L618" s="445">
        <f>SUM(L616:L617)</f>
        <v>1020</v>
      </c>
      <c r="M618" s="1204"/>
      <c r="N618" s="1205"/>
    </row>
    <row r="619" spans="1:16" s="3" customFormat="1" ht="22.5" customHeight="1" x14ac:dyDescent="0.3">
      <c r="A619" s="590">
        <v>610</v>
      </c>
      <c r="B619" s="161"/>
      <c r="C619" s="162">
        <v>104</v>
      </c>
      <c r="D619" s="584" t="s">
        <v>105</v>
      </c>
      <c r="E619" s="164">
        <v>1851</v>
      </c>
      <c r="F619" s="164">
        <v>5000</v>
      </c>
      <c r="G619" s="1784">
        <v>2889</v>
      </c>
      <c r="H619" s="605" t="s">
        <v>23</v>
      </c>
      <c r="I619" s="573"/>
      <c r="J619" s="168"/>
      <c r="K619" s="168"/>
      <c r="L619" s="168"/>
      <c r="M619" s="168"/>
      <c r="N619" s="169"/>
      <c r="P619" s="8"/>
    </row>
    <row r="620" spans="1:16" s="1213" customFormat="1" ht="18" customHeight="1" x14ac:dyDescent="0.3">
      <c r="A620" s="590">
        <v>611</v>
      </c>
      <c r="B620" s="1208"/>
      <c r="C620" s="1209"/>
      <c r="D620" s="1210" t="s">
        <v>311</v>
      </c>
      <c r="E620" s="1211"/>
      <c r="F620" s="1211"/>
      <c r="G620" s="1786"/>
      <c r="H620" s="1212"/>
      <c r="I620" s="1203">
        <f>SUM(J620:N620)</f>
        <v>4250</v>
      </c>
      <c r="J620" s="1204"/>
      <c r="K620" s="1204"/>
      <c r="L620" s="1204">
        <v>4250</v>
      </c>
      <c r="M620" s="1204"/>
      <c r="N620" s="1205"/>
    </row>
    <row r="621" spans="1:16" s="1213" customFormat="1" ht="18" customHeight="1" x14ac:dyDescent="0.3">
      <c r="A621" s="590">
        <v>612</v>
      </c>
      <c r="B621" s="1208"/>
      <c r="C621" s="1209"/>
      <c r="D621" s="583" t="s">
        <v>1072</v>
      </c>
      <c r="E621" s="1211"/>
      <c r="F621" s="1211"/>
      <c r="G621" s="1786"/>
      <c r="H621" s="1212"/>
      <c r="I621" s="573">
        <f t="shared" ref="I621:I623" si="152">SUM(J621:N621)</f>
        <v>4361</v>
      </c>
      <c r="J621" s="1204"/>
      <c r="K621" s="1204"/>
      <c r="L621" s="445">
        <v>4361</v>
      </c>
      <c r="M621" s="1204"/>
      <c r="N621" s="1205"/>
    </row>
    <row r="622" spans="1:16" s="1213" customFormat="1" ht="18" customHeight="1" x14ac:dyDescent="0.3">
      <c r="A622" s="590">
        <v>613</v>
      </c>
      <c r="B622" s="1208"/>
      <c r="C622" s="1209"/>
      <c r="D622" s="1338" t="s">
        <v>963</v>
      </c>
      <c r="E622" s="1211"/>
      <c r="F622" s="1211"/>
      <c r="G622" s="1786"/>
      <c r="H622" s="1212"/>
      <c r="I622" s="1341">
        <f t="shared" si="152"/>
        <v>0</v>
      </c>
      <c r="J622" s="445"/>
      <c r="K622" s="445"/>
      <c r="L622" s="185"/>
      <c r="M622" s="1204"/>
      <c r="N622" s="1205"/>
    </row>
    <row r="623" spans="1:16" s="1213" customFormat="1" ht="18" customHeight="1" x14ac:dyDescent="0.3">
      <c r="A623" s="590">
        <v>614</v>
      </c>
      <c r="B623" s="1208"/>
      <c r="C623" s="1209"/>
      <c r="D623" s="583" t="s">
        <v>1151</v>
      </c>
      <c r="E623" s="1211"/>
      <c r="F623" s="1211"/>
      <c r="G623" s="1786"/>
      <c r="H623" s="1212"/>
      <c r="I623" s="573">
        <f t="shared" si="152"/>
        <v>4361</v>
      </c>
      <c r="J623" s="445"/>
      <c r="K623" s="445"/>
      <c r="L623" s="445">
        <f>SUM(L621:L622)</f>
        <v>4361</v>
      </c>
      <c r="M623" s="1204"/>
      <c r="N623" s="1205"/>
    </row>
    <row r="624" spans="1:16" s="3" customFormat="1" ht="22.5" customHeight="1" x14ac:dyDescent="0.3">
      <c r="A624" s="590">
        <v>615</v>
      </c>
      <c r="B624" s="161"/>
      <c r="C624" s="162">
        <v>105</v>
      </c>
      <c r="D624" s="584" t="s">
        <v>106</v>
      </c>
      <c r="E624" s="164">
        <v>13221</v>
      </c>
      <c r="F624" s="164">
        <v>20000</v>
      </c>
      <c r="G624" s="1784">
        <v>13710</v>
      </c>
      <c r="H624" s="605" t="s">
        <v>23</v>
      </c>
      <c r="I624" s="573"/>
      <c r="J624" s="168"/>
      <c r="K624" s="168"/>
      <c r="L624" s="168"/>
      <c r="M624" s="168"/>
      <c r="N624" s="169"/>
      <c r="P624" s="8"/>
    </row>
    <row r="625" spans="1:16" s="1213" customFormat="1" ht="18" customHeight="1" x14ac:dyDescent="0.3">
      <c r="A625" s="590">
        <v>616</v>
      </c>
      <c r="B625" s="1208"/>
      <c r="C625" s="1209"/>
      <c r="D625" s="1210" t="s">
        <v>311</v>
      </c>
      <c r="E625" s="1211"/>
      <c r="F625" s="1211"/>
      <c r="G625" s="1786"/>
      <c r="H625" s="1212"/>
      <c r="I625" s="1203">
        <f>SUM(J625:N625)</f>
        <v>17000</v>
      </c>
      <c r="J625" s="1204"/>
      <c r="K625" s="1204"/>
      <c r="L625" s="1204">
        <v>17000</v>
      </c>
      <c r="M625" s="1204"/>
      <c r="N625" s="1205"/>
    </row>
    <row r="626" spans="1:16" s="1213" customFormat="1" ht="18" customHeight="1" x14ac:dyDescent="0.3">
      <c r="A626" s="590">
        <v>617</v>
      </c>
      <c r="B626" s="1208"/>
      <c r="C626" s="1209"/>
      <c r="D626" s="583" t="s">
        <v>1072</v>
      </c>
      <c r="E626" s="1211"/>
      <c r="F626" s="1211"/>
      <c r="G626" s="1786"/>
      <c r="H626" s="1212"/>
      <c r="I626" s="573">
        <f t="shared" ref="I626:I628" si="153">SUM(J626:N626)</f>
        <v>31669</v>
      </c>
      <c r="J626" s="1204"/>
      <c r="K626" s="1204"/>
      <c r="L626" s="445">
        <v>31669</v>
      </c>
      <c r="M626" s="1204"/>
      <c r="N626" s="1205"/>
    </row>
    <row r="627" spans="1:16" s="1213" customFormat="1" ht="18" customHeight="1" x14ac:dyDescent="0.3">
      <c r="A627" s="590">
        <v>618</v>
      </c>
      <c r="B627" s="1208"/>
      <c r="C627" s="1209"/>
      <c r="D627" s="1338" t="s">
        <v>986</v>
      </c>
      <c r="E627" s="1211"/>
      <c r="F627" s="1211"/>
      <c r="G627" s="1786"/>
      <c r="H627" s="1212"/>
      <c r="I627" s="1341">
        <f t="shared" si="153"/>
        <v>0</v>
      </c>
      <c r="J627" s="445"/>
      <c r="K627" s="445"/>
      <c r="L627" s="185"/>
      <c r="M627" s="1204"/>
      <c r="N627" s="1205"/>
    </row>
    <row r="628" spans="1:16" s="1213" customFormat="1" ht="18" customHeight="1" x14ac:dyDescent="0.3">
      <c r="A628" s="590">
        <v>619</v>
      </c>
      <c r="B628" s="1208"/>
      <c r="C628" s="1209"/>
      <c r="D628" s="583" t="s">
        <v>1151</v>
      </c>
      <c r="E628" s="1211"/>
      <c r="F628" s="1211"/>
      <c r="G628" s="1786"/>
      <c r="H628" s="1212"/>
      <c r="I628" s="573">
        <f t="shared" si="153"/>
        <v>31669</v>
      </c>
      <c r="J628" s="445"/>
      <c r="K628" s="445"/>
      <c r="L628" s="445">
        <f>SUM(L626:L627)</f>
        <v>31669</v>
      </c>
      <c r="M628" s="1204"/>
      <c r="N628" s="1205"/>
    </row>
    <row r="629" spans="1:16" s="3" customFormat="1" ht="22.5" customHeight="1" x14ac:dyDescent="0.3">
      <c r="A629" s="590">
        <v>620</v>
      </c>
      <c r="B629" s="161"/>
      <c r="C629" s="162">
        <v>106</v>
      </c>
      <c r="D629" s="584" t="s">
        <v>107</v>
      </c>
      <c r="E629" s="164">
        <v>160341</v>
      </c>
      <c r="F629" s="164">
        <v>170000</v>
      </c>
      <c r="G629" s="1784">
        <v>189414</v>
      </c>
      <c r="H629" s="605" t="s">
        <v>23</v>
      </c>
      <c r="I629" s="573"/>
      <c r="J629" s="168"/>
      <c r="K629" s="168"/>
      <c r="L629" s="168"/>
      <c r="M629" s="168"/>
      <c r="N629" s="169"/>
      <c r="P629" s="8"/>
    </row>
    <row r="630" spans="1:16" s="1213" customFormat="1" ht="18" customHeight="1" x14ac:dyDescent="0.3">
      <c r="A630" s="590">
        <v>621</v>
      </c>
      <c r="B630" s="1208"/>
      <c r="C630" s="1209"/>
      <c r="D630" s="1210" t="s">
        <v>311</v>
      </c>
      <c r="E630" s="1211"/>
      <c r="F630" s="1211"/>
      <c r="G630" s="1786"/>
      <c r="H630" s="1212"/>
      <c r="I630" s="1203">
        <f>SUM(J630:N630)</f>
        <v>191250</v>
      </c>
      <c r="J630" s="1204"/>
      <c r="K630" s="1204"/>
      <c r="L630" s="1204">
        <v>191250</v>
      </c>
      <c r="M630" s="1204"/>
      <c r="N630" s="1205"/>
    </row>
    <row r="631" spans="1:16" s="1213" customFormat="1" ht="18" customHeight="1" x14ac:dyDescent="0.3">
      <c r="A631" s="590">
        <v>622</v>
      </c>
      <c r="B631" s="1208"/>
      <c r="C631" s="1209"/>
      <c r="D631" s="583" t="s">
        <v>1072</v>
      </c>
      <c r="E631" s="1211"/>
      <c r="F631" s="1211"/>
      <c r="G631" s="1786"/>
      <c r="H631" s="1212"/>
      <c r="I631" s="573">
        <f t="shared" ref="I631:I633" si="154">SUM(J631:N631)</f>
        <v>225000</v>
      </c>
      <c r="J631" s="1204"/>
      <c r="K631" s="1204"/>
      <c r="L631" s="445">
        <v>225000</v>
      </c>
      <c r="M631" s="1204"/>
      <c r="N631" s="1205"/>
    </row>
    <row r="632" spans="1:16" s="1213" customFormat="1" ht="18" customHeight="1" x14ac:dyDescent="0.3">
      <c r="A632" s="590">
        <v>623</v>
      </c>
      <c r="B632" s="1208"/>
      <c r="C632" s="1209"/>
      <c r="D632" s="1338" t="s">
        <v>986</v>
      </c>
      <c r="E632" s="1211"/>
      <c r="F632" s="1211"/>
      <c r="G632" s="1786"/>
      <c r="H632" s="1212"/>
      <c r="I632" s="1341">
        <f t="shared" si="154"/>
        <v>0</v>
      </c>
      <c r="J632" s="445"/>
      <c r="K632" s="445"/>
      <c r="L632" s="185"/>
      <c r="M632" s="1204"/>
      <c r="N632" s="1205"/>
    </row>
    <row r="633" spans="1:16" s="1213" customFormat="1" ht="18" customHeight="1" x14ac:dyDescent="0.3">
      <c r="A633" s="590">
        <v>624</v>
      </c>
      <c r="B633" s="1208"/>
      <c r="C633" s="1209"/>
      <c r="D633" s="583" t="s">
        <v>1151</v>
      </c>
      <c r="E633" s="1211"/>
      <c r="F633" s="1211"/>
      <c r="G633" s="1786"/>
      <c r="H633" s="1212"/>
      <c r="I633" s="573">
        <f t="shared" si="154"/>
        <v>225000</v>
      </c>
      <c r="J633" s="445"/>
      <c r="K633" s="445"/>
      <c r="L633" s="445">
        <f>SUM(L631:L632)</f>
        <v>225000</v>
      </c>
      <c r="M633" s="1204"/>
      <c r="N633" s="1205"/>
    </row>
    <row r="634" spans="1:16" s="3" customFormat="1" ht="22.5" customHeight="1" x14ac:dyDescent="0.3">
      <c r="A634" s="590">
        <v>625</v>
      </c>
      <c r="B634" s="161"/>
      <c r="C634" s="162">
        <v>107</v>
      </c>
      <c r="D634" s="584" t="s">
        <v>108</v>
      </c>
      <c r="E634" s="164">
        <v>4681</v>
      </c>
      <c r="F634" s="164">
        <v>5000</v>
      </c>
      <c r="G634" s="1784">
        <v>3526</v>
      </c>
      <c r="H634" s="605" t="s">
        <v>23</v>
      </c>
      <c r="I634" s="573"/>
      <c r="J634" s="168"/>
      <c r="K634" s="168"/>
      <c r="L634" s="168"/>
      <c r="M634" s="168"/>
      <c r="N634" s="169"/>
      <c r="P634" s="8"/>
    </row>
    <row r="635" spans="1:16" s="1213" customFormat="1" ht="18" customHeight="1" x14ac:dyDescent="0.3">
      <c r="A635" s="590">
        <v>626</v>
      </c>
      <c r="B635" s="1208"/>
      <c r="C635" s="1209"/>
      <c r="D635" s="1210" t="s">
        <v>311</v>
      </c>
      <c r="E635" s="1211"/>
      <c r="F635" s="1211"/>
      <c r="G635" s="1786"/>
      <c r="H635" s="1212"/>
      <c r="I635" s="1203">
        <f>SUM(J635:N635)</f>
        <v>4250</v>
      </c>
      <c r="J635" s="1204"/>
      <c r="K635" s="1204"/>
      <c r="L635" s="1204">
        <v>4250</v>
      </c>
      <c r="M635" s="1204"/>
      <c r="N635" s="1205"/>
    </row>
    <row r="636" spans="1:16" s="1213" customFormat="1" ht="18" customHeight="1" x14ac:dyDescent="0.3">
      <c r="A636" s="590">
        <v>627</v>
      </c>
      <c r="B636" s="1208"/>
      <c r="C636" s="1209"/>
      <c r="D636" s="583" t="s">
        <v>1072</v>
      </c>
      <c r="E636" s="1211"/>
      <c r="F636" s="1211"/>
      <c r="G636" s="1786"/>
      <c r="H636" s="1212"/>
      <c r="I636" s="573">
        <f t="shared" ref="I636:I638" si="155">SUM(J636:N636)</f>
        <v>7883</v>
      </c>
      <c r="J636" s="1204"/>
      <c r="K636" s="1204"/>
      <c r="L636" s="445">
        <v>7883</v>
      </c>
      <c r="M636" s="1204"/>
      <c r="N636" s="1205"/>
    </row>
    <row r="637" spans="1:16" s="1213" customFormat="1" ht="18" customHeight="1" x14ac:dyDescent="0.3">
      <c r="A637" s="590">
        <v>628</v>
      </c>
      <c r="B637" s="1208"/>
      <c r="C637" s="1209"/>
      <c r="D637" s="1338" t="s">
        <v>986</v>
      </c>
      <c r="E637" s="1211"/>
      <c r="F637" s="1211"/>
      <c r="G637" s="1786"/>
      <c r="H637" s="1212"/>
      <c r="I637" s="1341">
        <f t="shared" si="155"/>
        <v>0</v>
      </c>
      <c r="J637" s="445"/>
      <c r="K637" s="445"/>
      <c r="L637" s="185"/>
      <c r="M637" s="1204"/>
      <c r="N637" s="1205"/>
    </row>
    <row r="638" spans="1:16" s="1213" customFormat="1" ht="18" customHeight="1" x14ac:dyDescent="0.3">
      <c r="A638" s="590">
        <v>629</v>
      </c>
      <c r="B638" s="1208"/>
      <c r="C638" s="1209"/>
      <c r="D638" s="583" t="s">
        <v>1151</v>
      </c>
      <c r="E638" s="1211"/>
      <c r="F638" s="1211"/>
      <c r="G638" s="1786"/>
      <c r="H638" s="1212"/>
      <c r="I638" s="573">
        <f t="shared" si="155"/>
        <v>7883</v>
      </c>
      <c r="J638" s="445"/>
      <c r="K638" s="445"/>
      <c r="L638" s="445">
        <f>SUM(L636:L637)</f>
        <v>7883</v>
      </c>
      <c r="M638" s="1204"/>
      <c r="N638" s="1205"/>
    </row>
    <row r="639" spans="1:16" s="3" customFormat="1" ht="22.5" customHeight="1" x14ac:dyDescent="0.3">
      <c r="A639" s="590">
        <v>630</v>
      </c>
      <c r="B639" s="161"/>
      <c r="C639" s="162">
        <v>108</v>
      </c>
      <c r="D639" s="584" t="s">
        <v>109</v>
      </c>
      <c r="E639" s="164">
        <v>2677</v>
      </c>
      <c r="F639" s="164">
        <v>6000</v>
      </c>
      <c r="G639" s="1784">
        <v>4382</v>
      </c>
      <c r="H639" s="605" t="s">
        <v>23</v>
      </c>
      <c r="I639" s="573"/>
      <c r="J639" s="168"/>
      <c r="K639" s="168"/>
      <c r="L639" s="168"/>
      <c r="M639" s="168"/>
      <c r="N639" s="169"/>
      <c r="P639" s="8"/>
    </row>
    <row r="640" spans="1:16" s="1213" customFormat="1" ht="18" customHeight="1" x14ac:dyDescent="0.3">
      <c r="A640" s="590">
        <v>631</v>
      </c>
      <c r="B640" s="1208"/>
      <c r="C640" s="1209"/>
      <c r="D640" s="1210" t="s">
        <v>311</v>
      </c>
      <c r="E640" s="1211"/>
      <c r="F640" s="1211"/>
      <c r="G640" s="1786"/>
      <c r="H640" s="1212"/>
      <c r="I640" s="1203">
        <f>SUM(J640:N640)</f>
        <v>5100</v>
      </c>
      <c r="J640" s="1204"/>
      <c r="K640" s="1204"/>
      <c r="L640" s="1204">
        <v>5100</v>
      </c>
      <c r="M640" s="1204"/>
      <c r="N640" s="1205"/>
    </row>
    <row r="641" spans="1:16" s="1213" customFormat="1" ht="18" customHeight="1" x14ac:dyDescent="0.3">
      <c r="A641" s="590">
        <v>632</v>
      </c>
      <c r="B641" s="1208"/>
      <c r="C641" s="1209"/>
      <c r="D641" s="583" t="s">
        <v>1072</v>
      </c>
      <c r="E641" s="1211"/>
      <c r="F641" s="1211"/>
      <c r="G641" s="1786"/>
      <c r="H641" s="1212"/>
      <c r="I641" s="573">
        <f t="shared" ref="I641:I643" si="156">SUM(J641:N641)</f>
        <v>6098</v>
      </c>
      <c r="J641" s="1204"/>
      <c r="K641" s="1204"/>
      <c r="L641" s="445">
        <v>6098</v>
      </c>
      <c r="M641" s="1204"/>
      <c r="N641" s="1205"/>
    </row>
    <row r="642" spans="1:16" s="1213" customFormat="1" ht="18" customHeight="1" x14ac:dyDescent="0.3">
      <c r="A642" s="590">
        <v>633</v>
      </c>
      <c r="B642" s="1208"/>
      <c r="C642" s="1209"/>
      <c r="D642" s="1338" t="s">
        <v>986</v>
      </c>
      <c r="E642" s="1211"/>
      <c r="F642" s="1211"/>
      <c r="G642" s="1786"/>
      <c r="H642" s="1212"/>
      <c r="I642" s="1341">
        <f t="shared" si="156"/>
        <v>0</v>
      </c>
      <c r="J642" s="445"/>
      <c r="K642" s="445"/>
      <c r="L642" s="185"/>
      <c r="M642" s="1204"/>
      <c r="N642" s="1205"/>
    </row>
    <row r="643" spans="1:16" s="1213" customFormat="1" ht="18" customHeight="1" x14ac:dyDescent="0.3">
      <c r="A643" s="590">
        <v>634</v>
      </c>
      <c r="B643" s="1208"/>
      <c r="C643" s="1209"/>
      <c r="D643" s="583" t="s">
        <v>1151</v>
      </c>
      <c r="E643" s="1211"/>
      <c r="F643" s="1211"/>
      <c r="G643" s="1786"/>
      <c r="H643" s="1212"/>
      <c r="I643" s="573">
        <f t="shared" si="156"/>
        <v>6098</v>
      </c>
      <c r="J643" s="445"/>
      <c r="K643" s="445"/>
      <c r="L643" s="445">
        <f>SUM(L641:L642)</f>
        <v>6098</v>
      </c>
      <c r="M643" s="1204"/>
      <c r="N643" s="1205"/>
    </row>
    <row r="644" spans="1:16" s="3" customFormat="1" ht="22.5" customHeight="1" x14ac:dyDescent="0.3">
      <c r="A644" s="590">
        <v>635</v>
      </c>
      <c r="B644" s="161"/>
      <c r="C644" s="162">
        <v>109</v>
      </c>
      <c r="D644" s="584" t="s">
        <v>110</v>
      </c>
      <c r="E644" s="164">
        <v>1956</v>
      </c>
      <c r="F644" s="164">
        <v>1000</v>
      </c>
      <c r="G644" s="1784">
        <v>36</v>
      </c>
      <c r="H644" s="605" t="s">
        <v>23</v>
      </c>
      <c r="I644" s="573"/>
      <c r="J644" s="168"/>
      <c r="K644" s="168"/>
      <c r="L644" s="168"/>
      <c r="M644" s="168"/>
      <c r="N644" s="169"/>
      <c r="P644" s="8"/>
    </row>
    <row r="645" spans="1:16" s="1213" customFormat="1" ht="18" customHeight="1" x14ac:dyDescent="0.3">
      <c r="A645" s="590">
        <v>636</v>
      </c>
      <c r="B645" s="1208"/>
      <c r="C645" s="1209"/>
      <c r="D645" s="1210" t="s">
        <v>311</v>
      </c>
      <c r="E645" s="1211"/>
      <c r="F645" s="1211"/>
      <c r="G645" s="1786"/>
      <c r="H645" s="1212"/>
      <c r="I645" s="1203">
        <f>SUM(J645:N645)</f>
        <v>850</v>
      </c>
      <c r="J645" s="1204"/>
      <c r="K645" s="1204"/>
      <c r="L645" s="1204">
        <v>850</v>
      </c>
      <c r="M645" s="1204"/>
      <c r="N645" s="1205"/>
    </row>
    <row r="646" spans="1:16" s="1213" customFormat="1" ht="18" customHeight="1" x14ac:dyDescent="0.3">
      <c r="A646" s="590">
        <v>637</v>
      </c>
      <c r="B646" s="1208"/>
      <c r="C646" s="1209"/>
      <c r="D646" s="583" t="s">
        <v>1072</v>
      </c>
      <c r="E646" s="1211"/>
      <c r="F646" s="1211"/>
      <c r="G646" s="1786"/>
      <c r="H646" s="1212"/>
      <c r="I646" s="573">
        <f t="shared" ref="I646:I648" si="157">SUM(J646:N646)</f>
        <v>850</v>
      </c>
      <c r="J646" s="1204"/>
      <c r="K646" s="1204"/>
      <c r="L646" s="445">
        <v>850</v>
      </c>
      <c r="M646" s="1204"/>
      <c r="N646" s="1205"/>
    </row>
    <row r="647" spans="1:16" s="1213" customFormat="1" ht="18" customHeight="1" x14ac:dyDescent="0.3">
      <c r="A647" s="590">
        <v>638</v>
      </c>
      <c r="B647" s="1208"/>
      <c r="C647" s="1209"/>
      <c r="D647" s="1338" t="s">
        <v>963</v>
      </c>
      <c r="E647" s="1211"/>
      <c r="F647" s="1211"/>
      <c r="G647" s="1786"/>
      <c r="H647" s="1212"/>
      <c r="I647" s="1341">
        <f t="shared" si="157"/>
        <v>0</v>
      </c>
      <c r="J647" s="445"/>
      <c r="K647" s="445"/>
      <c r="L647" s="445"/>
      <c r="M647" s="1204"/>
      <c r="N647" s="1205"/>
    </row>
    <row r="648" spans="1:16" s="1213" customFormat="1" ht="18" customHeight="1" x14ac:dyDescent="0.3">
      <c r="A648" s="590">
        <v>639</v>
      </c>
      <c r="B648" s="1208"/>
      <c r="C648" s="1209"/>
      <c r="D648" s="583" t="s">
        <v>1151</v>
      </c>
      <c r="E648" s="1211"/>
      <c r="F648" s="1211"/>
      <c r="G648" s="1786"/>
      <c r="H648" s="1212"/>
      <c r="I648" s="573">
        <f t="shared" si="157"/>
        <v>850</v>
      </c>
      <c r="J648" s="445"/>
      <c r="K648" s="445"/>
      <c r="L648" s="445">
        <f>SUM(L646:L647)</f>
        <v>850</v>
      </c>
      <c r="M648" s="1204"/>
      <c r="N648" s="1205"/>
    </row>
    <row r="649" spans="1:16" s="3" customFormat="1" ht="22.5" customHeight="1" x14ac:dyDescent="0.3">
      <c r="A649" s="590">
        <v>640</v>
      </c>
      <c r="B649" s="161"/>
      <c r="C649" s="162">
        <v>110</v>
      </c>
      <c r="D649" s="588" t="s">
        <v>317</v>
      </c>
      <c r="E649" s="164">
        <v>56649</v>
      </c>
      <c r="F649" s="164">
        <v>65620</v>
      </c>
      <c r="G649" s="1784">
        <v>59551</v>
      </c>
      <c r="H649" s="605" t="s">
        <v>23</v>
      </c>
      <c r="I649" s="573"/>
      <c r="J649" s="168"/>
      <c r="K649" s="168"/>
      <c r="L649" s="168"/>
      <c r="M649" s="168"/>
      <c r="N649" s="169"/>
      <c r="P649" s="8"/>
    </row>
    <row r="650" spans="1:16" s="1213" customFormat="1" ht="18" customHeight="1" x14ac:dyDescent="0.3">
      <c r="A650" s="590">
        <v>641</v>
      </c>
      <c r="B650" s="1208"/>
      <c r="C650" s="1209"/>
      <c r="D650" s="1210" t="s">
        <v>311</v>
      </c>
      <c r="E650" s="1211"/>
      <c r="F650" s="1211"/>
      <c r="G650" s="1786"/>
      <c r="H650" s="1212"/>
      <c r="I650" s="1203">
        <f>SUM(J650:N650)</f>
        <v>65195</v>
      </c>
      <c r="J650" s="1204"/>
      <c r="K650" s="1204"/>
      <c r="L650" s="1204">
        <v>65195</v>
      </c>
      <c r="M650" s="1204"/>
      <c r="N650" s="1205"/>
    </row>
    <row r="651" spans="1:16" s="1213" customFormat="1" ht="18" customHeight="1" x14ac:dyDescent="0.3">
      <c r="A651" s="590">
        <v>642</v>
      </c>
      <c r="B651" s="1208"/>
      <c r="C651" s="1209"/>
      <c r="D651" s="583" t="s">
        <v>1072</v>
      </c>
      <c r="E651" s="1211"/>
      <c r="F651" s="1211"/>
      <c r="G651" s="1786"/>
      <c r="H651" s="1212"/>
      <c r="I651" s="573">
        <f t="shared" ref="I651:I653" si="158">SUM(J651:N651)</f>
        <v>68769</v>
      </c>
      <c r="J651" s="1204"/>
      <c r="K651" s="1204"/>
      <c r="L651" s="445">
        <v>68769</v>
      </c>
      <c r="M651" s="1204"/>
      <c r="N651" s="1205"/>
    </row>
    <row r="652" spans="1:16" s="1213" customFormat="1" ht="18" customHeight="1" x14ac:dyDescent="0.3">
      <c r="A652" s="590">
        <v>643</v>
      </c>
      <c r="B652" s="1208"/>
      <c r="C652" s="1209"/>
      <c r="D652" s="1338" t="s">
        <v>986</v>
      </c>
      <c r="E652" s="1211"/>
      <c r="F652" s="1211"/>
      <c r="G652" s="1786"/>
      <c r="H652" s="1212"/>
      <c r="I652" s="1341">
        <f t="shared" si="158"/>
        <v>0</v>
      </c>
      <c r="J652" s="445"/>
      <c r="K652" s="445"/>
      <c r="L652" s="185"/>
      <c r="M652" s="1204"/>
      <c r="N652" s="1205"/>
    </row>
    <row r="653" spans="1:16" s="1213" customFormat="1" ht="18" customHeight="1" x14ac:dyDescent="0.3">
      <c r="A653" s="590">
        <v>644</v>
      </c>
      <c r="B653" s="1208"/>
      <c r="C653" s="1209"/>
      <c r="D653" s="583" t="s">
        <v>1151</v>
      </c>
      <c r="E653" s="1211"/>
      <c r="F653" s="1211"/>
      <c r="G653" s="1786"/>
      <c r="H653" s="1212"/>
      <c r="I653" s="573">
        <f t="shared" si="158"/>
        <v>68769</v>
      </c>
      <c r="J653" s="445"/>
      <c r="K653" s="445"/>
      <c r="L653" s="445">
        <f>SUM(L651:L652)</f>
        <v>68769</v>
      </c>
      <c r="M653" s="1204"/>
      <c r="N653" s="1205"/>
    </row>
    <row r="654" spans="1:16" s="3" customFormat="1" ht="22.5" customHeight="1" x14ac:dyDescent="0.3">
      <c r="A654" s="590">
        <v>645</v>
      </c>
      <c r="B654" s="161"/>
      <c r="C654" s="162">
        <v>111</v>
      </c>
      <c r="D654" s="588" t="s">
        <v>825</v>
      </c>
      <c r="E654" s="164">
        <v>56400</v>
      </c>
      <c r="F654" s="164">
        <v>61048</v>
      </c>
      <c r="G654" s="1784">
        <v>60900</v>
      </c>
      <c r="H654" s="605" t="s">
        <v>23</v>
      </c>
      <c r="I654" s="573"/>
      <c r="J654" s="168"/>
      <c r="K654" s="168"/>
      <c r="L654" s="168"/>
      <c r="M654" s="168"/>
      <c r="N654" s="169"/>
      <c r="P654" s="8"/>
    </row>
    <row r="655" spans="1:16" s="1213" customFormat="1" ht="18" customHeight="1" x14ac:dyDescent="0.3">
      <c r="A655" s="590">
        <v>646</v>
      </c>
      <c r="B655" s="1208"/>
      <c r="C655" s="1209"/>
      <c r="D655" s="1210" t="s">
        <v>311</v>
      </c>
      <c r="E655" s="1211"/>
      <c r="F655" s="1211"/>
      <c r="G655" s="1786"/>
      <c r="H655" s="1212"/>
      <c r="I655" s="1203">
        <f>SUM(J655:N655)</f>
        <v>57501</v>
      </c>
      <c r="J655" s="1204"/>
      <c r="K655" s="1204"/>
      <c r="L655" s="1204">
        <v>57501</v>
      </c>
      <c r="M655" s="1204"/>
      <c r="N655" s="1205"/>
    </row>
    <row r="656" spans="1:16" s="1213" customFormat="1" ht="18" customHeight="1" x14ac:dyDescent="0.3">
      <c r="A656" s="590">
        <v>647</v>
      </c>
      <c r="B656" s="1208"/>
      <c r="C656" s="1209"/>
      <c r="D656" s="583" t="s">
        <v>1072</v>
      </c>
      <c r="E656" s="1211"/>
      <c r="F656" s="1211"/>
      <c r="G656" s="1786"/>
      <c r="H656" s="1212"/>
      <c r="I656" s="573">
        <f t="shared" ref="I656:I658" si="159">SUM(J656:N656)</f>
        <v>60549</v>
      </c>
      <c r="J656" s="1204"/>
      <c r="K656" s="1204"/>
      <c r="L656" s="445">
        <v>60549</v>
      </c>
      <c r="M656" s="1204"/>
      <c r="N656" s="1205"/>
    </row>
    <row r="657" spans="1:16" s="1213" customFormat="1" ht="18" customHeight="1" x14ac:dyDescent="0.3">
      <c r="A657" s="590">
        <v>648</v>
      </c>
      <c r="B657" s="1208"/>
      <c r="C657" s="1209"/>
      <c r="D657" s="1338" t="s">
        <v>986</v>
      </c>
      <c r="E657" s="1211"/>
      <c r="F657" s="1211"/>
      <c r="G657" s="1786"/>
      <c r="H657" s="1212"/>
      <c r="I657" s="1341">
        <f t="shared" si="159"/>
        <v>0</v>
      </c>
      <c r="J657" s="445"/>
      <c r="K657" s="445"/>
      <c r="L657" s="185"/>
      <c r="M657" s="1204"/>
      <c r="N657" s="1205"/>
    </row>
    <row r="658" spans="1:16" s="1213" customFormat="1" ht="18" customHeight="1" x14ac:dyDescent="0.3">
      <c r="A658" s="590">
        <v>649</v>
      </c>
      <c r="B658" s="1208"/>
      <c r="C658" s="1209"/>
      <c r="D658" s="583" t="s">
        <v>1151</v>
      </c>
      <c r="E658" s="1211"/>
      <c r="F658" s="1211"/>
      <c r="G658" s="1786"/>
      <c r="H658" s="1212"/>
      <c r="I658" s="573">
        <f t="shared" si="159"/>
        <v>60549</v>
      </c>
      <c r="J658" s="445"/>
      <c r="K658" s="445"/>
      <c r="L658" s="445">
        <f>SUM(L656:L657)</f>
        <v>60549</v>
      </c>
      <c r="M658" s="1204"/>
      <c r="N658" s="1205"/>
    </row>
    <row r="659" spans="1:16" s="3" customFormat="1" ht="22.5" customHeight="1" x14ac:dyDescent="0.3">
      <c r="A659" s="590">
        <v>650</v>
      </c>
      <c r="B659" s="161"/>
      <c r="C659" s="162">
        <v>112</v>
      </c>
      <c r="D659" s="588" t="s">
        <v>260</v>
      </c>
      <c r="E659" s="164">
        <v>19000</v>
      </c>
      <c r="F659" s="164">
        <v>19000</v>
      </c>
      <c r="G659" s="1784">
        <v>18999</v>
      </c>
      <c r="H659" s="605" t="s">
        <v>23</v>
      </c>
      <c r="I659" s="573"/>
      <c r="J659" s="168"/>
      <c r="K659" s="168"/>
      <c r="L659" s="168"/>
      <c r="M659" s="168"/>
      <c r="N659" s="169"/>
      <c r="P659" s="8"/>
    </row>
    <row r="660" spans="1:16" s="1213" customFormat="1" ht="18" customHeight="1" x14ac:dyDescent="0.3">
      <c r="A660" s="590">
        <v>651</v>
      </c>
      <c r="B660" s="1208"/>
      <c r="C660" s="1209"/>
      <c r="D660" s="1210" t="s">
        <v>311</v>
      </c>
      <c r="E660" s="1211"/>
      <c r="F660" s="1211"/>
      <c r="G660" s="1786"/>
      <c r="H660" s="1212"/>
      <c r="I660" s="1203">
        <f>SUM(J660:N660)</f>
        <v>17000</v>
      </c>
      <c r="J660" s="1204"/>
      <c r="K660" s="1204"/>
      <c r="L660" s="1204">
        <v>17000</v>
      </c>
      <c r="M660" s="1204"/>
      <c r="N660" s="1205"/>
    </row>
    <row r="661" spans="1:16" s="1213" customFormat="1" ht="18" customHeight="1" x14ac:dyDescent="0.3">
      <c r="A661" s="590">
        <v>652</v>
      </c>
      <c r="B661" s="1208"/>
      <c r="C661" s="1209"/>
      <c r="D661" s="583" t="s">
        <v>1072</v>
      </c>
      <c r="E661" s="1211"/>
      <c r="F661" s="1211"/>
      <c r="G661" s="1786"/>
      <c r="H661" s="1216"/>
      <c r="I661" s="573">
        <f t="shared" ref="I661:I663" si="160">SUM(J661:N661)</f>
        <v>17000</v>
      </c>
      <c r="J661" s="1204"/>
      <c r="K661" s="1204"/>
      <c r="L661" s="445">
        <v>17000</v>
      </c>
      <c r="M661" s="1204"/>
      <c r="N661" s="1205"/>
    </row>
    <row r="662" spans="1:16" s="1213" customFormat="1" ht="18" customHeight="1" x14ac:dyDescent="0.3">
      <c r="A662" s="590">
        <v>653</v>
      </c>
      <c r="B662" s="1208"/>
      <c r="C662" s="1209"/>
      <c r="D662" s="1338" t="s">
        <v>963</v>
      </c>
      <c r="E662" s="1211"/>
      <c r="F662" s="1211"/>
      <c r="G662" s="1786"/>
      <c r="H662" s="1216"/>
      <c r="I662" s="1341">
        <f t="shared" si="160"/>
        <v>0</v>
      </c>
      <c r="J662" s="445"/>
      <c r="K662" s="445"/>
      <c r="L662" s="445"/>
      <c r="M662" s="1204"/>
      <c r="N662" s="1205"/>
    </row>
    <row r="663" spans="1:16" s="1213" customFormat="1" ht="18" customHeight="1" x14ac:dyDescent="0.3">
      <c r="A663" s="590">
        <v>654</v>
      </c>
      <c r="B663" s="1208"/>
      <c r="C663" s="1209"/>
      <c r="D663" s="583" t="s">
        <v>1151</v>
      </c>
      <c r="E663" s="1211"/>
      <c r="F663" s="1211"/>
      <c r="G663" s="1786"/>
      <c r="H663" s="1216"/>
      <c r="I663" s="573">
        <f t="shared" si="160"/>
        <v>17000</v>
      </c>
      <c r="J663" s="445"/>
      <c r="K663" s="445"/>
      <c r="L663" s="445">
        <f>SUM(L661:L662)</f>
        <v>17000</v>
      </c>
      <c r="M663" s="1204"/>
      <c r="N663" s="1205"/>
    </row>
    <row r="664" spans="1:16" s="3" customFormat="1" ht="22.5" customHeight="1" x14ac:dyDescent="0.3">
      <c r="A664" s="590">
        <v>655</v>
      </c>
      <c r="B664" s="161"/>
      <c r="C664" s="162">
        <v>113</v>
      </c>
      <c r="D664" s="584" t="s">
        <v>259</v>
      </c>
      <c r="E664" s="164"/>
      <c r="F664" s="164">
        <v>1500</v>
      </c>
      <c r="G664" s="1784">
        <v>1601</v>
      </c>
      <c r="H664" s="607" t="s">
        <v>23</v>
      </c>
      <c r="I664" s="573"/>
      <c r="J664" s="168"/>
      <c r="K664" s="168"/>
      <c r="L664" s="168"/>
      <c r="M664" s="168"/>
      <c r="N664" s="169"/>
      <c r="P664" s="8"/>
    </row>
    <row r="665" spans="1:16" s="1213" customFormat="1" ht="18" customHeight="1" x14ac:dyDescent="0.3">
      <c r="A665" s="590">
        <v>656</v>
      </c>
      <c r="B665" s="1230"/>
      <c r="C665" s="1209"/>
      <c r="D665" s="1210" t="s">
        <v>311</v>
      </c>
      <c r="E665" s="1215"/>
      <c r="F665" s="1215"/>
      <c r="G665" s="1789"/>
      <c r="H665" s="1216"/>
      <c r="I665" s="1203">
        <f>SUM(J665:N665)</f>
        <v>1275</v>
      </c>
      <c r="J665" s="1217"/>
      <c r="K665" s="1217"/>
      <c r="L665" s="1217">
        <v>1275</v>
      </c>
      <c r="M665" s="1217"/>
      <c r="N665" s="1218"/>
    </row>
    <row r="666" spans="1:16" s="1213" customFormat="1" ht="18" customHeight="1" x14ac:dyDescent="0.3">
      <c r="A666" s="590">
        <v>657</v>
      </c>
      <c r="B666" s="1230"/>
      <c r="C666" s="1209"/>
      <c r="D666" s="583" t="s">
        <v>1072</v>
      </c>
      <c r="E666" s="1215"/>
      <c r="F666" s="1215"/>
      <c r="G666" s="1789"/>
      <c r="H666" s="1216"/>
      <c r="I666" s="573">
        <f t="shared" ref="I666:I668" si="161">SUM(J666:N666)</f>
        <v>1275</v>
      </c>
      <c r="J666" s="1217"/>
      <c r="K666" s="1217"/>
      <c r="L666" s="1339">
        <v>1275</v>
      </c>
      <c r="M666" s="1217"/>
      <c r="N666" s="1218"/>
    </row>
    <row r="667" spans="1:16" s="1213" customFormat="1" ht="18" customHeight="1" x14ac:dyDescent="0.3">
      <c r="A667" s="590">
        <v>658</v>
      </c>
      <c r="B667" s="1230"/>
      <c r="C667" s="1209"/>
      <c r="D667" s="1338" t="s">
        <v>963</v>
      </c>
      <c r="E667" s="1215"/>
      <c r="F667" s="1215"/>
      <c r="G667" s="1789"/>
      <c r="H667" s="1216"/>
      <c r="I667" s="1341">
        <f t="shared" si="161"/>
        <v>0</v>
      </c>
      <c r="J667" s="1339"/>
      <c r="K667" s="1339"/>
      <c r="L667" s="1339"/>
      <c r="M667" s="1217"/>
      <c r="N667" s="1218"/>
    </row>
    <row r="668" spans="1:16" s="1213" customFormat="1" ht="18" customHeight="1" x14ac:dyDescent="0.3">
      <c r="A668" s="590">
        <v>659</v>
      </c>
      <c r="B668" s="1230"/>
      <c r="C668" s="1209"/>
      <c r="D668" s="583" t="s">
        <v>1151</v>
      </c>
      <c r="E668" s="1215"/>
      <c r="F668" s="1215"/>
      <c r="G668" s="1789"/>
      <c r="H668" s="1216"/>
      <c r="I668" s="573">
        <f t="shared" si="161"/>
        <v>1275</v>
      </c>
      <c r="J668" s="1339"/>
      <c r="K668" s="1339"/>
      <c r="L668" s="1339">
        <f>SUM(L666:L667)</f>
        <v>1275</v>
      </c>
      <c r="M668" s="1217"/>
      <c r="N668" s="1218"/>
    </row>
    <row r="669" spans="1:16" s="3" customFormat="1" ht="22.5" customHeight="1" x14ac:dyDescent="0.3">
      <c r="A669" s="590">
        <v>660</v>
      </c>
      <c r="B669" s="161"/>
      <c r="C669" s="162">
        <v>114</v>
      </c>
      <c r="D669" s="584" t="s">
        <v>462</v>
      </c>
      <c r="E669" s="164">
        <v>1047</v>
      </c>
      <c r="F669" s="164">
        <v>4570</v>
      </c>
      <c r="G669" s="1784">
        <v>2971</v>
      </c>
      <c r="H669" s="605" t="s">
        <v>24</v>
      </c>
      <c r="I669" s="573"/>
      <c r="J669" s="168"/>
      <c r="K669" s="168"/>
      <c r="L669" s="168"/>
      <c r="M669" s="168"/>
      <c r="N669" s="169"/>
      <c r="P669" s="8"/>
    </row>
    <row r="670" spans="1:16" s="1213" customFormat="1" ht="18" customHeight="1" x14ac:dyDescent="0.3">
      <c r="A670" s="590">
        <v>661</v>
      </c>
      <c r="B670" s="1208"/>
      <c r="C670" s="1209"/>
      <c r="D670" s="1210" t="s">
        <v>311</v>
      </c>
      <c r="E670" s="1211"/>
      <c r="F670" s="1211"/>
      <c r="G670" s="1786"/>
      <c r="H670" s="1212"/>
      <c r="I670" s="1203">
        <f>SUM(J670:N670)</f>
        <v>6350</v>
      </c>
      <c r="J670" s="1204"/>
      <c r="K670" s="1204"/>
      <c r="L670" s="1204">
        <v>6350</v>
      </c>
      <c r="M670" s="1204"/>
      <c r="N670" s="1205"/>
    </row>
    <row r="671" spans="1:16" s="1213" customFormat="1" ht="18" customHeight="1" x14ac:dyDescent="0.3">
      <c r="A671" s="590">
        <v>662</v>
      </c>
      <c r="B671" s="1208"/>
      <c r="C671" s="1209"/>
      <c r="D671" s="583" t="s">
        <v>1072</v>
      </c>
      <c r="E671" s="1211"/>
      <c r="F671" s="1211"/>
      <c r="G671" s="1786"/>
      <c r="H671" s="1212"/>
      <c r="I671" s="573">
        <f t="shared" ref="I671:I673" si="162">SUM(J671:N671)</f>
        <v>8145</v>
      </c>
      <c r="J671" s="1204"/>
      <c r="K671" s="1204"/>
      <c r="L671" s="445">
        <v>8145</v>
      </c>
      <c r="M671" s="1204"/>
      <c r="N671" s="1205"/>
    </row>
    <row r="672" spans="1:16" s="1213" customFormat="1" ht="18" customHeight="1" x14ac:dyDescent="0.3">
      <c r="A672" s="590">
        <v>663</v>
      </c>
      <c r="B672" s="1208"/>
      <c r="C672" s="1209"/>
      <c r="D672" s="1338" t="s">
        <v>986</v>
      </c>
      <c r="E672" s="1211"/>
      <c r="F672" s="1211"/>
      <c r="G672" s="1786"/>
      <c r="H672" s="1212"/>
      <c r="I672" s="1341">
        <f t="shared" si="162"/>
        <v>-2000</v>
      </c>
      <c r="J672" s="445"/>
      <c r="K672" s="445"/>
      <c r="L672" s="185">
        <v>-2000</v>
      </c>
      <c r="M672" s="1204"/>
      <c r="N672" s="1205"/>
    </row>
    <row r="673" spans="1:16" s="1213" customFormat="1" ht="18" customHeight="1" x14ac:dyDescent="0.3">
      <c r="A673" s="590">
        <v>664</v>
      </c>
      <c r="B673" s="1208"/>
      <c r="C673" s="1209"/>
      <c r="D673" s="583" t="s">
        <v>1151</v>
      </c>
      <c r="E673" s="1211"/>
      <c r="F673" s="1211"/>
      <c r="G673" s="1786"/>
      <c r="H673" s="1212"/>
      <c r="I673" s="573">
        <f t="shared" si="162"/>
        <v>6145</v>
      </c>
      <c r="J673" s="445"/>
      <c r="K673" s="445"/>
      <c r="L673" s="445">
        <f>SUM(L671:L672)</f>
        <v>6145</v>
      </c>
      <c r="M673" s="1204"/>
      <c r="N673" s="1205"/>
    </row>
    <row r="674" spans="1:16" s="8" customFormat="1" ht="22.5" customHeight="1" x14ac:dyDescent="0.3">
      <c r="A674" s="590">
        <v>665</v>
      </c>
      <c r="B674" s="165"/>
      <c r="C674" s="162">
        <v>115</v>
      </c>
      <c r="D674" s="584" t="s">
        <v>558</v>
      </c>
      <c r="E674" s="164"/>
      <c r="F674" s="164"/>
      <c r="G674" s="1784"/>
      <c r="H674" s="605" t="s">
        <v>24</v>
      </c>
      <c r="I674" s="573"/>
      <c r="J674" s="168"/>
      <c r="K674" s="168"/>
      <c r="L674" s="168"/>
      <c r="M674" s="168"/>
      <c r="N674" s="169"/>
    </row>
    <row r="675" spans="1:16" s="1213" customFormat="1" ht="18" customHeight="1" x14ac:dyDescent="0.3">
      <c r="A675" s="590">
        <v>666</v>
      </c>
      <c r="B675" s="1208"/>
      <c r="C675" s="1209"/>
      <c r="D675" s="1210" t="s">
        <v>311</v>
      </c>
      <c r="E675" s="1211"/>
      <c r="F675" s="1211"/>
      <c r="G675" s="1786"/>
      <c r="H675" s="1212"/>
      <c r="I675" s="1203">
        <f>SUM(J675:N675)</f>
        <v>2286</v>
      </c>
      <c r="J675" s="1204"/>
      <c r="K675" s="1204"/>
      <c r="L675" s="1204">
        <v>2286</v>
      </c>
      <c r="M675" s="1204"/>
      <c r="N675" s="1205"/>
    </row>
    <row r="676" spans="1:16" s="1213" customFormat="1" ht="18" customHeight="1" x14ac:dyDescent="0.3">
      <c r="A676" s="590">
        <v>667</v>
      </c>
      <c r="B676" s="1208"/>
      <c r="C676" s="1209"/>
      <c r="D676" s="583" t="s">
        <v>1072</v>
      </c>
      <c r="E676" s="1211"/>
      <c r="F676" s="1211"/>
      <c r="G676" s="1786"/>
      <c r="H676" s="1212"/>
      <c r="I676" s="573">
        <f t="shared" ref="I676:I678" si="163">SUM(J676:N676)</f>
        <v>2286</v>
      </c>
      <c r="J676" s="1204"/>
      <c r="K676" s="1204"/>
      <c r="L676" s="445">
        <v>2286</v>
      </c>
      <c r="M676" s="1204"/>
      <c r="N676" s="1205"/>
    </row>
    <row r="677" spans="1:16" s="1213" customFormat="1" ht="18" customHeight="1" x14ac:dyDescent="0.3">
      <c r="A677" s="590">
        <v>668</v>
      </c>
      <c r="B677" s="1208"/>
      <c r="C677" s="1209"/>
      <c r="D677" s="1338" t="s">
        <v>986</v>
      </c>
      <c r="E677" s="1211"/>
      <c r="F677" s="1211"/>
      <c r="G677" s="1786"/>
      <c r="H677" s="1212"/>
      <c r="I677" s="1341">
        <f t="shared" si="163"/>
        <v>0</v>
      </c>
      <c r="J677" s="445"/>
      <c r="K677" s="445"/>
      <c r="L677" s="445"/>
      <c r="M677" s="1204"/>
      <c r="N677" s="1205"/>
    </row>
    <row r="678" spans="1:16" s="1213" customFormat="1" ht="18" customHeight="1" x14ac:dyDescent="0.3">
      <c r="A678" s="590">
        <v>669</v>
      </c>
      <c r="B678" s="1208"/>
      <c r="C678" s="1209"/>
      <c r="D678" s="583" t="s">
        <v>1151</v>
      </c>
      <c r="E678" s="1211"/>
      <c r="F678" s="1211"/>
      <c r="G678" s="1786"/>
      <c r="H678" s="1212"/>
      <c r="I678" s="573">
        <f t="shared" si="163"/>
        <v>2286</v>
      </c>
      <c r="J678" s="445"/>
      <c r="K678" s="445"/>
      <c r="L678" s="445">
        <f>SUM(L676:L677)</f>
        <v>2286</v>
      </c>
      <c r="M678" s="1204"/>
      <c r="N678" s="1205"/>
    </row>
    <row r="679" spans="1:16" s="3" customFormat="1" ht="22.5" customHeight="1" x14ac:dyDescent="0.3">
      <c r="A679" s="590">
        <v>670</v>
      </c>
      <c r="B679" s="161"/>
      <c r="C679" s="162">
        <v>116</v>
      </c>
      <c r="D679" s="584" t="s">
        <v>111</v>
      </c>
      <c r="E679" s="164">
        <v>7036</v>
      </c>
      <c r="F679" s="164">
        <v>16000</v>
      </c>
      <c r="G679" s="1784">
        <v>8435</v>
      </c>
      <c r="H679" s="605" t="s">
        <v>23</v>
      </c>
      <c r="I679" s="573"/>
      <c r="J679" s="168"/>
      <c r="K679" s="168"/>
      <c r="L679" s="168"/>
      <c r="M679" s="168"/>
      <c r="N679" s="169"/>
      <c r="P679" s="8"/>
    </row>
    <row r="680" spans="1:16" s="1213" customFormat="1" ht="18" customHeight="1" x14ac:dyDescent="0.3">
      <c r="A680" s="590">
        <v>671</v>
      </c>
      <c r="B680" s="1208"/>
      <c r="C680" s="1209"/>
      <c r="D680" s="1210" t="s">
        <v>311</v>
      </c>
      <c r="E680" s="1211"/>
      <c r="F680" s="1211"/>
      <c r="G680" s="1786"/>
      <c r="H680" s="1212"/>
      <c r="I680" s="1203">
        <f>SUM(J680:N680)</f>
        <v>16000</v>
      </c>
      <c r="J680" s="1204"/>
      <c r="K680" s="1204"/>
      <c r="L680" s="1204">
        <v>16000</v>
      </c>
      <c r="M680" s="1204"/>
      <c r="N680" s="1205"/>
    </row>
    <row r="681" spans="1:16" s="1213" customFormat="1" ht="18" customHeight="1" x14ac:dyDescent="0.3">
      <c r="A681" s="590">
        <v>672</v>
      </c>
      <c r="B681" s="1208"/>
      <c r="C681" s="1209"/>
      <c r="D681" s="583" t="s">
        <v>1072</v>
      </c>
      <c r="E681" s="1211"/>
      <c r="F681" s="1211"/>
      <c r="G681" s="1786"/>
      <c r="H681" s="1212"/>
      <c r="I681" s="573">
        <f t="shared" ref="I681:I683" si="164">SUM(J681:N681)</f>
        <v>19000</v>
      </c>
      <c r="J681" s="1204"/>
      <c r="K681" s="1204"/>
      <c r="L681" s="445">
        <v>19000</v>
      </c>
      <c r="M681" s="1204"/>
      <c r="N681" s="1205"/>
    </row>
    <row r="682" spans="1:16" s="1213" customFormat="1" ht="18" customHeight="1" x14ac:dyDescent="0.3">
      <c r="A682" s="590">
        <v>673</v>
      </c>
      <c r="B682" s="1208"/>
      <c r="C682" s="1209"/>
      <c r="D682" s="1338" t="s">
        <v>1268</v>
      </c>
      <c r="E682" s="1211"/>
      <c r="F682" s="1211"/>
      <c r="G682" s="1786"/>
      <c r="H682" s="1212"/>
      <c r="I682" s="1341">
        <f t="shared" si="164"/>
        <v>1688</v>
      </c>
      <c r="J682" s="445"/>
      <c r="K682" s="445"/>
      <c r="L682" s="185">
        <v>1688</v>
      </c>
      <c r="M682" s="1204"/>
      <c r="N682" s="1205"/>
    </row>
    <row r="683" spans="1:16" s="1213" customFormat="1" ht="18" customHeight="1" x14ac:dyDescent="0.3">
      <c r="A683" s="590">
        <v>674</v>
      </c>
      <c r="B683" s="1208"/>
      <c r="C683" s="1209"/>
      <c r="D683" s="583" t="s">
        <v>1151</v>
      </c>
      <c r="E683" s="1211"/>
      <c r="F683" s="1211"/>
      <c r="G683" s="1786"/>
      <c r="H683" s="1212"/>
      <c r="I683" s="573">
        <f t="shared" si="164"/>
        <v>20688</v>
      </c>
      <c r="J683" s="445"/>
      <c r="K683" s="445"/>
      <c r="L683" s="445">
        <f>SUM(L681:L682)</f>
        <v>20688</v>
      </c>
      <c r="M683" s="1204"/>
      <c r="N683" s="1205"/>
    </row>
    <row r="684" spans="1:16" s="8" customFormat="1" ht="22.5" customHeight="1" x14ac:dyDescent="0.3">
      <c r="A684" s="590">
        <v>675</v>
      </c>
      <c r="B684" s="179"/>
      <c r="C684" s="162">
        <v>117</v>
      </c>
      <c r="D684" s="584" t="s">
        <v>288</v>
      </c>
      <c r="E684" s="164">
        <v>144202</v>
      </c>
      <c r="F684" s="164">
        <v>153222</v>
      </c>
      <c r="G684" s="1784">
        <v>156855</v>
      </c>
      <c r="H684" s="605" t="s">
        <v>23</v>
      </c>
      <c r="I684" s="574"/>
      <c r="J684" s="171"/>
      <c r="K684" s="171"/>
      <c r="L684" s="171"/>
      <c r="M684" s="171"/>
      <c r="N684" s="172"/>
    </row>
    <row r="685" spans="1:16" s="1213" customFormat="1" ht="18" customHeight="1" x14ac:dyDescent="0.3">
      <c r="A685" s="590">
        <v>676</v>
      </c>
      <c r="B685" s="1208"/>
      <c r="C685" s="1209"/>
      <c r="D685" s="1210" t="s">
        <v>311</v>
      </c>
      <c r="E685" s="1211"/>
      <c r="F685" s="1211"/>
      <c r="G685" s="1786"/>
      <c r="H685" s="1212"/>
      <c r="I685" s="1203">
        <f>SUM(J685:N685)</f>
        <v>155388</v>
      </c>
      <c r="J685" s="1204"/>
      <c r="K685" s="1204"/>
      <c r="L685" s="1204">
        <v>155388</v>
      </c>
      <c r="M685" s="1204"/>
      <c r="N685" s="1205"/>
    </row>
    <row r="686" spans="1:16" s="1213" customFormat="1" ht="18" customHeight="1" x14ac:dyDescent="0.3">
      <c r="A686" s="590">
        <v>677</v>
      </c>
      <c r="B686" s="1208"/>
      <c r="C686" s="1209"/>
      <c r="D686" s="583" t="s">
        <v>1072</v>
      </c>
      <c r="E686" s="1211"/>
      <c r="F686" s="1211"/>
      <c r="G686" s="1786"/>
      <c r="H686" s="1212"/>
      <c r="I686" s="573">
        <f t="shared" ref="I686:I688" si="165">SUM(J686:N686)</f>
        <v>155388</v>
      </c>
      <c r="J686" s="1204"/>
      <c r="K686" s="1204"/>
      <c r="L686" s="445">
        <v>155388</v>
      </c>
      <c r="M686" s="1204"/>
      <c r="N686" s="1205"/>
    </row>
    <row r="687" spans="1:16" s="1213" customFormat="1" ht="18" customHeight="1" x14ac:dyDescent="0.3">
      <c r="A687" s="590">
        <v>678</v>
      </c>
      <c r="B687" s="1208"/>
      <c r="C687" s="1209"/>
      <c r="D687" s="1338" t="s">
        <v>963</v>
      </c>
      <c r="E687" s="1211"/>
      <c r="F687" s="1211"/>
      <c r="G687" s="1786"/>
      <c r="H687" s="1212"/>
      <c r="I687" s="1341">
        <f t="shared" si="165"/>
        <v>0</v>
      </c>
      <c r="J687" s="445"/>
      <c r="K687" s="445"/>
      <c r="L687" s="445"/>
      <c r="M687" s="1204"/>
      <c r="N687" s="1205"/>
    </row>
    <row r="688" spans="1:16" s="1213" customFormat="1" ht="18" customHeight="1" x14ac:dyDescent="0.3">
      <c r="A688" s="590">
        <v>679</v>
      </c>
      <c r="B688" s="1208"/>
      <c r="C688" s="1209"/>
      <c r="D688" s="583" t="s">
        <v>1151</v>
      </c>
      <c r="E688" s="1211"/>
      <c r="F688" s="1211"/>
      <c r="G688" s="1786"/>
      <c r="H688" s="1212"/>
      <c r="I688" s="573">
        <f t="shared" si="165"/>
        <v>155388</v>
      </c>
      <c r="J688" s="445"/>
      <c r="K688" s="445"/>
      <c r="L688" s="445">
        <f>SUM(L686:L687)</f>
        <v>155388</v>
      </c>
      <c r="M688" s="1204"/>
      <c r="N688" s="1205"/>
    </row>
    <row r="689" spans="1:16" s="8" customFormat="1" ht="22.5" customHeight="1" x14ac:dyDescent="0.3">
      <c r="A689" s="590">
        <v>680</v>
      </c>
      <c r="B689" s="179"/>
      <c r="C689" s="162">
        <v>118</v>
      </c>
      <c r="D689" s="584" t="s">
        <v>457</v>
      </c>
      <c r="E689" s="164">
        <v>8000</v>
      </c>
      <c r="F689" s="164">
        <v>3000</v>
      </c>
      <c r="G689" s="1784">
        <v>4930</v>
      </c>
      <c r="H689" s="605" t="s">
        <v>24</v>
      </c>
      <c r="I689" s="574"/>
      <c r="J689" s="171"/>
      <c r="K689" s="171"/>
      <c r="L689" s="171"/>
      <c r="M689" s="171"/>
      <c r="N689" s="172"/>
    </row>
    <row r="690" spans="1:16" s="8" customFormat="1" ht="22.5" customHeight="1" x14ac:dyDescent="0.3">
      <c r="A690" s="590">
        <v>681</v>
      </c>
      <c r="B690" s="179"/>
      <c r="C690" s="162"/>
      <c r="D690" s="583" t="s">
        <v>1072</v>
      </c>
      <c r="E690" s="164"/>
      <c r="F690" s="164"/>
      <c r="G690" s="1784"/>
      <c r="H690" s="605"/>
      <c r="I690" s="573">
        <f t="shared" ref="I690:I692" si="166">SUM(J690:N690)</f>
        <v>2362</v>
      </c>
      <c r="J690" s="171"/>
      <c r="K690" s="171"/>
      <c r="L690" s="445">
        <v>2362</v>
      </c>
      <c r="M690" s="171"/>
      <c r="N690" s="172"/>
    </row>
    <row r="691" spans="1:16" s="8" customFormat="1" ht="18" customHeight="1" x14ac:dyDescent="0.3">
      <c r="A691" s="590">
        <v>682</v>
      </c>
      <c r="B691" s="165"/>
      <c r="C691" s="166"/>
      <c r="D691" s="1338" t="s">
        <v>986</v>
      </c>
      <c r="E691" s="164"/>
      <c r="F691" s="164"/>
      <c r="G691" s="1784"/>
      <c r="H691" s="605"/>
      <c r="I691" s="1341">
        <f t="shared" si="166"/>
        <v>0</v>
      </c>
      <c r="J691" s="168"/>
      <c r="K691" s="168"/>
      <c r="L691" s="185"/>
      <c r="M691" s="168"/>
      <c r="N691" s="169"/>
    </row>
    <row r="692" spans="1:16" s="8" customFormat="1" ht="18" customHeight="1" x14ac:dyDescent="0.3">
      <c r="A692" s="590">
        <v>683</v>
      </c>
      <c r="B692" s="165"/>
      <c r="C692" s="166"/>
      <c r="D692" s="583" t="s">
        <v>1151</v>
      </c>
      <c r="E692" s="164"/>
      <c r="F692" s="164"/>
      <c r="G692" s="1784"/>
      <c r="H692" s="605"/>
      <c r="I692" s="573">
        <f t="shared" si="166"/>
        <v>2362</v>
      </c>
      <c r="J692" s="168"/>
      <c r="K692" s="168"/>
      <c r="L692" s="445">
        <f>SUM(L690:L691)</f>
        <v>2362</v>
      </c>
      <c r="M692" s="168"/>
      <c r="N692" s="169"/>
    </row>
    <row r="693" spans="1:16" s="3" customFormat="1" ht="22.5" customHeight="1" x14ac:dyDescent="0.3">
      <c r="A693" s="590">
        <v>684</v>
      </c>
      <c r="B693" s="161"/>
      <c r="C693" s="162">
        <v>119</v>
      </c>
      <c r="D693" s="584" t="s">
        <v>113</v>
      </c>
      <c r="E693" s="164">
        <f>E698+E703+E708+E713+E718</f>
        <v>3250</v>
      </c>
      <c r="F693" s="164">
        <f>F698+F703+F708+F713+F718</f>
        <v>3250</v>
      </c>
      <c r="G693" s="164">
        <f>G698+G703+G708+G713+G718</f>
        <v>3250</v>
      </c>
      <c r="H693" s="605" t="s">
        <v>23</v>
      </c>
      <c r="I693" s="574"/>
      <c r="J693" s="171"/>
      <c r="K693" s="171"/>
      <c r="L693" s="171"/>
      <c r="M693" s="171"/>
      <c r="N693" s="172"/>
      <c r="O693" s="8"/>
      <c r="P693" s="8"/>
    </row>
    <row r="694" spans="1:16" s="1213" customFormat="1" ht="18" customHeight="1" x14ac:dyDescent="0.3">
      <c r="A694" s="590">
        <v>685</v>
      </c>
      <c r="B694" s="1208"/>
      <c r="C694" s="1209"/>
      <c r="D694" s="1210" t="s">
        <v>311</v>
      </c>
      <c r="E694" s="1211"/>
      <c r="F694" s="1211"/>
      <c r="G694" s="1786"/>
      <c r="H694" s="1212"/>
      <c r="I694" s="1203">
        <f>SUM(J694:N694)</f>
        <v>2765</v>
      </c>
      <c r="J694" s="1224"/>
      <c r="K694" s="1224"/>
      <c r="L694" s="1224"/>
      <c r="M694" s="1224"/>
      <c r="N694" s="1205">
        <f>N699+N704+N709+N714+N719</f>
        <v>2765</v>
      </c>
    </row>
    <row r="695" spans="1:16" s="1213" customFormat="1" ht="18" customHeight="1" x14ac:dyDescent="0.3">
      <c r="A695" s="590">
        <v>686</v>
      </c>
      <c r="B695" s="1208"/>
      <c r="C695" s="1209"/>
      <c r="D695" s="583" t="s">
        <v>1072</v>
      </c>
      <c r="E695" s="1211"/>
      <c r="F695" s="1211"/>
      <c r="G695" s="1786"/>
      <c r="H695" s="1212"/>
      <c r="I695" s="573">
        <f t="shared" ref="I695:I697" si="167">SUM(J695:N695)</f>
        <v>2765</v>
      </c>
      <c r="J695" s="1224"/>
      <c r="K695" s="1224"/>
      <c r="L695" s="1224"/>
      <c r="M695" s="1224"/>
      <c r="N695" s="441">
        <f>N700+N705+N710+N715+N720</f>
        <v>2765</v>
      </c>
    </row>
    <row r="696" spans="1:16" s="1213" customFormat="1" ht="18" customHeight="1" x14ac:dyDescent="0.3">
      <c r="A696" s="590">
        <v>687</v>
      </c>
      <c r="B696" s="1208"/>
      <c r="C696" s="1209"/>
      <c r="D696" s="1338" t="s">
        <v>963</v>
      </c>
      <c r="E696" s="1211"/>
      <c r="F696" s="1211"/>
      <c r="G696" s="1786"/>
      <c r="H696" s="1212"/>
      <c r="I696" s="1341">
        <f t="shared" si="167"/>
        <v>0</v>
      </c>
      <c r="J696" s="1224"/>
      <c r="K696" s="1224"/>
      <c r="L696" s="1224"/>
      <c r="M696" s="1224"/>
      <c r="N696" s="186">
        <f>N701+N706+N711+N716+N721</f>
        <v>0</v>
      </c>
    </row>
    <row r="697" spans="1:16" s="1213" customFormat="1" ht="18" customHeight="1" x14ac:dyDescent="0.3">
      <c r="A697" s="590">
        <v>688</v>
      </c>
      <c r="B697" s="1208"/>
      <c r="C697" s="1209"/>
      <c r="D697" s="583" t="s">
        <v>1151</v>
      </c>
      <c r="E697" s="1211"/>
      <c r="F697" s="1211"/>
      <c r="G697" s="1786"/>
      <c r="H697" s="1212"/>
      <c r="I697" s="573">
        <f t="shared" si="167"/>
        <v>2765</v>
      </c>
      <c r="J697" s="1224"/>
      <c r="K697" s="1224"/>
      <c r="L697" s="1224"/>
      <c r="M697" s="1224"/>
      <c r="N697" s="441">
        <f>SUM(N695:N696)</f>
        <v>2765</v>
      </c>
    </row>
    <row r="698" spans="1:16" s="9" customFormat="1" ht="18" customHeight="1" x14ac:dyDescent="0.3">
      <c r="A698" s="590">
        <v>689</v>
      </c>
      <c r="B698" s="173"/>
      <c r="C698" s="166"/>
      <c r="D698" s="177" t="s">
        <v>114</v>
      </c>
      <c r="E698" s="164">
        <v>650</v>
      </c>
      <c r="F698" s="174">
        <v>650</v>
      </c>
      <c r="G698" s="1787">
        <v>650</v>
      </c>
      <c r="H698" s="606"/>
      <c r="I698" s="575"/>
      <c r="J698" s="185"/>
      <c r="K698" s="185"/>
      <c r="L698" s="185"/>
      <c r="M698" s="185"/>
      <c r="N698" s="186"/>
      <c r="P698" s="8"/>
    </row>
    <row r="699" spans="1:16" s="1226" customFormat="1" ht="18" customHeight="1" x14ac:dyDescent="0.3">
      <c r="A699" s="590">
        <v>690</v>
      </c>
      <c r="B699" s="1220"/>
      <c r="C699" s="1209"/>
      <c r="D699" s="1221" t="s">
        <v>311</v>
      </c>
      <c r="E699" s="1211"/>
      <c r="F699" s="1222"/>
      <c r="G699" s="1790"/>
      <c r="H699" s="1223"/>
      <c r="I699" s="1206">
        <f>SUM(J699:N699)</f>
        <v>553</v>
      </c>
      <c r="J699" s="1224"/>
      <c r="K699" s="1224"/>
      <c r="L699" s="1224"/>
      <c r="M699" s="1224"/>
      <c r="N699" s="1225">
        <v>553</v>
      </c>
      <c r="P699" s="1213"/>
    </row>
    <row r="700" spans="1:16" s="1226" customFormat="1" ht="18" customHeight="1" x14ac:dyDescent="0.3">
      <c r="A700" s="590">
        <v>691</v>
      </c>
      <c r="B700" s="1220"/>
      <c r="C700" s="1209"/>
      <c r="D700" s="1344" t="s">
        <v>1072</v>
      </c>
      <c r="E700" s="1211"/>
      <c r="F700" s="1222"/>
      <c r="G700" s="1790"/>
      <c r="H700" s="1223"/>
      <c r="I700" s="575">
        <f t="shared" ref="I700:I702" si="168">SUM(J700:N700)</f>
        <v>553</v>
      </c>
      <c r="J700" s="1224"/>
      <c r="K700" s="1224"/>
      <c r="L700" s="1224"/>
      <c r="M700" s="1224"/>
      <c r="N700" s="1343">
        <v>553</v>
      </c>
      <c r="P700" s="1213"/>
    </row>
    <row r="701" spans="1:16" s="1226" customFormat="1" ht="18" customHeight="1" x14ac:dyDescent="0.3">
      <c r="A701" s="590">
        <v>692</v>
      </c>
      <c r="B701" s="1220"/>
      <c r="C701" s="1209"/>
      <c r="D701" s="1345" t="s">
        <v>963</v>
      </c>
      <c r="E701" s="1211"/>
      <c r="F701" s="1222"/>
      <c r="G701" s="1790"/>
      <c r="H701" s="1223"/>
      <c r="I701" s="1341">
        <f t="shared" si="168"/>
        <v>0</v>
      </c>
      <c r="J701" s="1342"/>
      <c r="K701" s="1342"/>
      <c r="L701" s="1342"/>
      <c r="M701" s="1342"/>
      <c r="N701" s="1343"/>
      <c r="P701" s="1213"/>
    </row>
    <row r="702" spans="1:16" s="1226" customFormat="1" ht="18" customHeight="1" x14ac:dyDescent="0.3">
      <c r="A702" s="590">
        <v>693</v>
      </c>
      <c r="B702" s="1220"/>
      <c r="C702" s="1209"/>
      <c r="D702" s="1344" t="s">
        <v>1151</v>
      </c>
      <c r="E702" s="1211"/>
      <c r="F702" s="1222"/>
      <c r="G702" s="1790"/>
      <c r="H702" s="1223"/>
      <c r="I702" s="575">
        <f t="shared" si="168"/>
        <v>553</v>
      </c>
      <c r="J702" s="1342"/>
      <c r="K702" s="1342"/>
      <c r="L702" s="1342"/>
      <c r="M702" s="1342"/>
      <c r="N702" s="1343">
        <f>SUM(N700:N701)</f>
        <v>553</v>
      </c>
      <c r="P702" s="1213"/>
    </row>
    <row r="703" spans="1:16" s="9" customFormat="1" ht="18" customHeight="1" x14ac:dyDescent="0.3">
      <c r="A703" s="590">
        <v>694</v>
      </c>
      <c r="B703" s="173"/>
      <c r="C703" s="166"/>
      <c r="D703" s="180" t="s">
        <v>115</v>
      </c>
      <c r="E703" s="164">
        <v>650</v>
      </c>
      <c r="F703" s="174">
        <v>650</v>
      </c>
      <c r="G703" s="1787">
        <v>650</v>
      </c>
      <c r="H703" s="606"/>
      <c r="I703" s="576"/>
      <c r="J703" s="175"/>
      <c r="K703" s="175"/>
      <c r="L703" s="175"/>
      <c r="M703" s="175"/>
      <c r="N703" s="176"/>
      <c r="P703" s="8"/>
    </row>
    <row r="704" spans="1:16" s="1226" customFormat="1" ht="18" customHeight="1" x14ac:dyDescent="0.3">
      <c r="A704" s="590">
        <v>695</v>
      </c>
      <c r="B704" s="1220"/>
      <c r="C704" s="1209"/>
      <c r="D704" s="1221" t="s">
        <v>311</v>
      </c>
      <c r="E704" s="1211"/>
      <c r="F704" s="1222"/>
      <c r="G704" s="1790"/>
      <c r="H704" s="1223"/>
      <c r="I704" s="1206">
        <f>SUM(J704:N704)</f>
        <v>553</v>
      </c>
      <c r="J704" s="1224"/>
      <c r="K704" s="1224"/>
      <c r="L704" s="1224"/>
      <c r="M704" s="1224"/>
      <c r="N704" s="1225">
        <v>553</v>
      </c>
      <c r="P704" s="1213"/>
    </row>
    <row r="705" spans="1:16" s="1226" customFormat="1" ht="18" customHeight="1" x14ac:dyDescent="0.3">
      <c r="A705" s="590">
        <v>696</v>
      </c>
      <c r="B705" s="1220"/>
      <c r="C705" s="1209"/>
      <c r="D705" s="1344" t="s">
        <v>1072</v>
      </c>
      <c r="E705" s="1211"/>
      <c r="F705" s="1222"/>
      <c r="G705" s="1790"/>
      <c r="H705" s="1223"/>
      <c r="I705" s="575">
        <f t="shared" ref="I705" si="169">SUM(J705:N705)</f>
        <v>553</v>
      </c>
      <c r="J705" s="1224"/>
      <c r="K705" s="1224"/>
      <c r="L705" s="1224"/>
      <c r="M705" s="1224"/>
      <c r="N705" s="1343">
        <v>553</v>
      </c>
      <c r="P705" s="1213"/>
    </row>
    <row r="706" spans="1:16" s="1226" customFormat="1" ht="18" customHeight="1" x14ac:dyDescent="0.3">
      <c r="A706" s="590">
        <v>697</v>
      </c>
      <c r="B706" s="1220"/>
      <c r="C706" s="1209"/>
      <c r="D706" s="1345" t="s">
        <v>963</v>
      </c>
      <c r="E706" s="1211"/>
      <c r="F706" s="1222"/>
      <c r="G706" s="1790"/>
      <c r="H706" s="1223"/>
      <c r="I706" s="1341">
        <f t="shared" ref="I706:I707" si="170">SUM(J706:N706)</f>
        <v>0</v>
      </c>
      <c r="J706" s="1342"/>
      <c r="K706" s="1342"/>
      <c r="L706" s="1342"/>
      <c r="M706" s="1342"/>
      <c r="N706" s="1343"/>
      <c r="P706" s="1213"/>
    </row>
    <row r="707" spans="1:16" s="1226" customFormat="1" ht="18" customHeight="1" x14ac:dyDescent="0.3">
      <c r="A707" s="590">
        <v>698</v>
      </c>
      <c r="B707" s="1220"/>
      <c r="C707" s="1209"/>
      <c r="D707" s="1344" t="s">
        <v>1151</v>
      </c>
      <c r="E707" s="1211"/>
      <c r="F707" s="1222"/>
      <c r="G707" s="1790"/>
      <c r="H707" s="1223"/>
      <c r="I707" s="575">
        <f t="shared" si="170"/>
        <v>553</v>
      </c>
      <c r="J707" s="1342"/>
      <c r="K707" s="1342"/>
      <c r="L707" s="1342"/>
      <c r="M707" s="1342"/>
      <c r="N707" s="1343">
        <f>SUM(N705:N706)</f>
        <v>553</v>
      </c>
      <c r="P707" s="1213"/>
    </row>
    <row r="708" spans="1:16" s="9" customFormat="1" ht="18" customHeight="1" x14ac:dyDescent="0.3">
      <c r="A708" s="590">
        <v>699</v>
      </c>
      <c r="B708" s="173"/>
      <c r="C708" s="166"/>
      <c r="D708" s="180" t="s">
        <v>116</v>
      </c>
      <c r="E708" s="164">
        <v>650</v>
      </c>
      <c r="F708" s="174">
        <v>650</v>
      </c>
      <c r="G708" s="1787">
        <v>650</v>
      </c>
      <c r="H708" s="606"/>
      <c r="I708" s="576"/>
      <c r="J708" s="175"/>
      <c r="K708" s="175"/>
      <c r="L708" s="175"/>
      <c r="M708" s="175"/>
      <c r="N708" s="176"/>
      <c r="P708" s="8"/>
    </row>
    <row r="709" spans="1:16" s="1226" customFormat="1" ht="18" customHeight="1" x14ac:dyDescent="0.3">
      <c r="A709" s="590">
        <v>700</v>
      </c>
      <c r="B709" s="1220"/>
      <c r="C709" s="1209"/>
      <c r="D709" s="1221" t="s">
        <v>311</v>
      </c>
      <c r="E709" s="1211"/>
      <c r="F709" s="1222"/>
      <c r="G709" s="1790"/>
      <c r="H709" s="1223"/>
      <c r="I709" s="1206">
        <f>SUM(J709:N709)</f>
        <v>553</v>
      </c>
      <c r="J709" s="1224"/>
      <c r="K709" s="1224"/>
      <c r="L709" s="1224"/>
      <c r="M709" s="1224"/>
      <c r="N709" s="1225">
        <v>553</v>
      </c>
      <c r="P709" s="1213"/>
    </row>
    <row r="710" spans="1:16" s="1226" customFormat="1" ht="18" customHeight="1" x14ac:dyDescent="0.3">
      <c r="A710" s="590">
        <v>701</v>
      </c>
      <c r="B710" s="1220"/>
      <c r="C710" s="1209"/>
      <c r="D710" s="1344" t="s">
        <v>1072</v>
      </c>
      <c r="E710" s="1211"/>
      <c r="F710" s="1222"/>
      <c r="G710" s="1790"/>
      <c r="H710" s="1223"/>
      <c r="I710" s="575">
        <f t="shared" ref="I710" si="171">SUM(J710:N710)</f>
        <v>553</v>
      </c>
      <c r="J710" s="1224"/>
      <c r="K710" s="1224"/>
      <c r="L710" s="1224"/>
      <c r="M710" s="1224"/>
      <c r="N710" s="1343">
        <v>553</v>
      </c>
      <c r="P710" s="1213"/>
    </row>
    <row r="711" spans="1:16" s="1226" customFormat="1" ht="18" customHeight="1" x14ac:dyDescent="0.3">
      <c r="A711" s="590">
        <v>702</v>
      </c>
      <c r="B711" s="1220"/>
      <c r="C711" s="1209"/>
      <c r="D711" s="1345" t="s">
        <v>963</v>
      </c>
      <c r="E711" s="1211"/>
      <c r="F711" s="1222"/>
      <c r="G711" s="1790"/>
      <c r="H711" s="1223"/>
      <c r="I711" s="1341">
        <f t="shared" ref="I711:I712" si="172">SUM(J711:N711)</f>
        <v>0</v>
      </c>
      <c r="J711" s="1342"/>
      <c r="K711" s="1342"/>
      <c r="L711" s="1342"/>
      <c r="M711" s="1342"/>
      <c r="N711" s="1343"/>
      <c r="P711" s="1213"/>
    </row>
    <row r="712" spans="1:16" s="1226" customFormat="1" ht="18" customHeight="1" x14ac:dyDescent="0.3">
      <c r="A712" s="590">
        <v>703</v>
      </c>
      <c r="B712" s="1220"/>
      <c r="C712" s="1209"/>
      <c r="D712" s="1344" t="s">
        <v>1151</v>
      </c>
      <c r="E712" s="1211"/>
      <c r="F712" s="1222"/>
      <c r="G712" s="1790"/>
      <c r="H712" s="1223"/>
      <c r="I712" s="575">
        <f t="shared" si="172"/>
        <v>553</v>
      </c>
      <c r="J712" s="1342"/>
      <c r="K712" s="1342"/>
      <c r="L712" s="1342"/>
      <c r="M712" s="1342"/>
      <c r="N712" s="1343">
        <f>SUM(N710:N711)</f>
        <v>553</v>
      </c>
      <c r="P712" s="1213"/>
    </row>
    <row r="713" spans="1:16" s="9" customFormat="1" ht="18" customHeight="1" x14ac:dyDescent="0.3">
      <c r="A713" s="590">
        <v>704</v>
      </c>
      <c r="B713" s="173"/>
      <c r="C713" s="166"/>
      <c r="D713" s="180" t="s">
        <v>117</v>
      </c>
      <c r="E713" s="164">
        <v>650</v>
      </c>
      <c r="F713" s="174">
        <v>650</v>
      </c>
      <c r="G713" s="1787">
        <v>650</v>
      </c>
      <c r="H713" s="606"/>
      <c r="I713" s="576"/>
      <c r="J713" s="175"/>
      <c r="K713" s="175"/>
      <c r="L713" s="175"/>
      <c r="M713" s="175"/>
      <c r="N713" s="176"/>
      <c r="P713" s="8"/>
    </row>
    <row r="714" spans="1:16" s="1226" customFormat="1" ht="18" customHeight="1" x14ac:dyDescent="0.3">
      <c r="A714" s="590">
        <v>705</v>
      </c>
      <c r="B714" s="1220"/>
      <c r="C714" s="1209"/>
      <c r="D714" s="1221" t="s">
        <v>311</v>
      </c>
      <c r="E714" s="1211"/>
      <c r="F714" s="1222"/>
      <c r="G714" s="1790"/>
      <c r="H714" s="1223"/>
      <c r="I714" s="1206">
        <f>SUM(J714:N714)</f>
        <v>553</v>
      </c>
      <c r="J714" s="1224"/>
      <c r="K714" s="1224"/>
      <c r="L714" s="1224"/>
      <c r="M714" s="1224"/>
      <c r="N714" s="1225">
        <v>553</v>
      </c>
      <c r="P714" s="1213"/>
    </row>
    <row r="715" spans="1:16" s="1226" customFormat="1" ht="18" customHeight="1" x14ac:dyDescent="0.3">
      <c r="A715" s="590">
        <v>706</v>
      </c>
      <c r="B715" s="1220"/>
      <c r="C715" s="1209"/>
      <c r="D715" s="1344" t="s">
        <v>1072</v>
      </c>
      <c r="E715" s="1211"/>
      <c r="F715" s="1222"/>
      <c r="G715" s="1790"/>
      <c r="H715" s="1223"/>
      <c r="I715" s="575">
        <f t="shared" ref="I715" si="173">SUM(J715:N715)</f>
        <v>553</v>
      </c>
      <c r="J715" s="1224"/>
      <c r="K715" s="1224"/>
      <c r="L715" s="1224"/>
      <c r="M715" s="1224"/>
      <c r="N715" s="1343">
        <v>553</v>
      </c>
      <c r="P715" s="1213"/>
    </row>
    <row r="716" spans="1:16" s="1226" customFormat="1" ht="18" customHeight="1" x14ac:dyDescent="0.3">
      <c r="A716" s="590">
        <v>707</v>
      </c>
      <c r="B716" s="1220"/>
      <c r="C716" s="1209"/>
      <c r="D716" s="1345" t="s">
        <v>963</v>
      </c>
      <c r="E716" s="1211"/>
      <c r="F716" s="1222"/>
      <c r="G716" s="1790"/>
      <c r="H716" s="1223"/>
      <c r="I716" s="1341">
        <f t="shared" ref="I716:I717" si="174">SUM(J716:N716)</f>
        <v>0</v>
      </c>
      <c r="J716" s="1342"/>
      <c r="K716" s="1342"/>
      <c r="L716" s="1342"/>
      <c r="M716" s="1342"/>
      <c r="N716" s="1343"/>
      <c r="P716" s="1213"/>
    </row>
    <row r="717" spans="1:16" s="1226" customFormat="1" ht="18" customHeight="1" x14ac:dyDescent="0.3">
      <c r="A717" s="590">
        <v>708</v>
      </c>
      <c r="B717" s="1220"/>
      <c r="C717" s="1209"/>
      <c r="D717" s="1344" t="s">
        <v>1151</v>
      </c>
      <c r="E717" s="1211"/>
      <c r="F717" s="1222"/>
      <c r="G717" s="1790"/>
      <c r="H717" s="1223"/>
      <c r="I717" s="575">
        <f t="shared" si="174"/>
        <v>553</v>
      </c>
      <c r="J717" s="1342"/>
      <c r="K717" s="1342"/>
      <c r="L717" s="1342"/>
      <c r="M717" s="1342"/>
      <c r="N717" s="1343">
        <f>SUM(N715:N716)</f>
        <v>553</v>
      </c>
      <c r="P717" s="1213"/>
    </row>
    <row r="718" spans="1:16" s="9" customFormat="1" ht="18" customHeight="1" x14ac:dyDescent="0.3">
      <c r="A718" s="590">
        <v>709</v>
      </c>
      <c r="B718" s="173"/>
      <c r="C718" s="166"/>
      <c r="D718" s="180" t="s">
        <v>118</v>
      </c>
      <c r="E718" s="164">
        <v>650</v>
      </c>
      <c r="F718" s="174">
        <v>650</v>
      </c>
      <c r="G718" s="1787">
        <v>650</v>
      </c>
      <c r="H718" s="606"/>
      <c r="I718" s="576"/>
      <c r="J718" s="175"/>
      <c r="K718" s="175"/>
      <c r="L718" s="175"/>
      <c r="M718" s="175"/>
      <c r="N718" s="176"/>
      <c r="P718" s="8"/>
    </row>
    <row r="719" spans="1:16" s="1226" customFormat="1" ht="18" customHeight="1" x14ac:dyDescent="0.3">
      <c r="A719" s="590">
        <v>710</v>
      </c>
      <c r="B719" s="1220"/>
      <c r="C719" s="1209"/>
      <c r="D719" s="1221" t="s">
        <v>311</v>
      </c>
      <c r="E719" s="1211"/>
      <c r="F719" s="1222"/>
      <c r="G719" s="1790"/>
      <c r="H719" s="1223"/>
      <c r="I719" s="1206">
        <f>SUM(J719:N719)</f>
        <v>553</v>
      </c>
      <c r="J719" s="1224"/>
      <c r="K719" s="1224"/>
      <c r="L719" s="1224"/>
      <c r="M719" s="1224"/>
      <c r="N719" s="1225">
        <v>553</v>
      </c>
      <c r="P719" s="1213"/>
    </row>
    <row r="720" spans="1:16" s="1226" customFormat="1" ht="18" customHeight="1" x14ac:dyDescent="0.3">
      <c r="A720" s="590">
        <v>711</v>
      </c>
      <c r="B720" s="1234"/>
      <c r="C720" s="1209"/>
      <c r="D720" s="1344" t="s">
        <v>1072</v>
      </c>
      <c r="E720" s="1215"/>
      <c r="F720" s="1235"/>
      <c r="G720" s="1793"/>
      <c r="H720" s="1238"/>
      <c r="I720" s="575">
        <f t="shared" ref="I720" si="175">SUM(J720:N720)</f>
        <v>553</v>
      </c>
      <c r="J720" s="1236"/>
      <c r="K720" s="1236"/>
      <c r="L720" s="1236"/>
      <c r="M720" s="1236"/>
      <c r="N720" s="1351">
        <v>553</v>
      </c>
      <c r="P720" s="1213"/>
    </row>
    <row r="721" spans="1:16" s="1226" customFormat="1" ht="18" customHeight="1" x14ac:dyDescent="0.3">
      <c r="A721" s="590">
        <v>712</v>
      </c>
      <c r="B721" s="1234"/>
      <c r="C721" s="1209"/>
      <c r="D721" s="1345" t="s">
        <v>963</v>
      </c>
      <c r="E721" s="1215"/>
      <c r="F721" s="1235"/>
      <c r="G721" s="1793"/>
      <c r="H721" s="1238"/>
      <c r="I721" s="1341">
        <f t="shared" ref="I721:I722" si="176">SUM(J721:N721)</f>
        <v>0</v>
      </c>
      <c r="J721" s="1350"/>
      <c r="K721" s="1350"/>
      <c r="L721" s="1350"/>
      <c r="M721" s="1350"/>
      <c r="N721" s="1351"/>
      <c r="P721" s="1213"/>
    </row>
    <row r="722" spans="1:16" s="1226" customFormat="1" ht="18" customHeight="1" x14ac:dyDescent="0.3">
      <c r="A722" s="590">
        <v>713</v>
      </c>
      <c r="B722" s="1234"/>
      <c r="C722" s="1209"/>
      <c r="D722" s="1344" t="s">
        <v>1151</v>
      </c>
      <c r="E722" s="1215"/>
      <c r="F722" s="1235"/>
      <c r="G722" s="1793"/>
      <c r="H722" s="1238"/>
      <c r="I722" s="575">
        <f t="shared" si="176"/>
        <v>553</v>
      </c>
      <c r="J722" s="1350"/>
      <c r="K722" s="1350"/>
      <c r="L722" s="1350"/>
      <c r="M722" s="1350"/>
      <c r="N722" s="1351">
        <f>SUM(N720:N721)</f>
        <v>553</v>
      </c>
      <c r="P722" s="1213"/>
    </row>
    <row r="723" spans="1:16" s="9" customFormat="1" ht="30" customHeight="1" x14ac:dyDescent="0.3">
      <c r="A723" s="590">
        <v>714</v>
      </c>
      <c r="B723" s="626"/>
      <c r="C723" s="561">
        <v>120</v>
      </c>
      <c r="D723" s="584" t="s">
        <v>560</v>
      </c>
      <c r="E723" s="196"/>
      <c r="F723" s="170">
        <v>2000</v>
      </c>
      <c r="G723" s="1794">
        <v>0</v>
      </c>
      <c r="H723" s="607" t="s">
        <v>24</v>
      </c>
      <c r="I723" s="573"/>
      <c r="J723" s="628"/>
      <c r="K723" s="628"/>
      <c r="L723" s="195"/>
      <c r="M723" s="628"/>
      <c r="N723" s="629"/>
      <c r="P723" s="8"/>
    </row>
    <row r="724" spans="1:16" s="1226" customFormat="1" ht="18" customHeight="1" x14ac:dyDescent="0.3">
      <c r="A724" s="590">
        <v>715</v>
      </c>
      <c r="B724" s="1234"/>
      <c r="C724" s="1209"/>
      <c r="D724" s="1210" t="s">
        <v>311</v>
      </c>
      <c r="E724" s="1215"/>
      <c r="F724" s="1235"/>
      <c r="G724" s="1793"/>
      <c r="H724" s="1216"/>
      <c r="I724" s="1203">
        <f>SUM(J724:N724)</f>
        <v>3700</v>
      </c>
      <c r="J724" s="1236"/>
      <c r="K724" s="1236"/>
      <c r="L724" s="1217">
        <f>2000+1700</f>
        <v>3700</v>
      </c>
      <c r="M724" s="1236"/>
      <c r="N724" s="1237"/>
      <c r="P724" s="1213"/>
    </row>
    <row r="725" spans="1:16" s="1226" customFormat="1" ht="18" customHeight="1" x14ac:dyDescent="0.3">
      <c r="A725" s="590">
        <v>716</v>
      </c>
      <c r="B725" s="1234"/>
      <c r="C725" s="1209"/>
      <c r="D725" s="583" t="s">
        <v>1072</v>
      </c>
      <c r="E725" s="1215"/>
      <c r="F725" s="1235"/>
      <c r="G725" s="1793"/>
      <c r="H725" s="1216"/>
      <c r="I725" s="573">
        <f t="shared" ref="I725:I727" si="177">SUM(J725:N725)</f>
        <v>3700</v>
      </c>
      <c r="J725" s="1236"/>
      <c r="K725" s="1236"/>
      <c r="L725" s="1339">
        <v>3700</v>
      </c>
      <c r="M725" s="1236"/>
      <c r="N725" s="1237"/>
      <c r="P725" s="1213"/>
    </row>
    <row r="726" spans="1:16" s="1226" customFormat="1" ht="18" customHeight="1" x14ac:dyDescent="0.3">
      <c r="A726" s="590">
        <v>717</v>
      </c>
      <c r="B726" s="1234"/>
      <c r="C726" s="1209"/>
      <c r="D726" s="1338" t="s">
        <v>963</v>
      </c>
      <c r="E726" s="1215"/>
      <c r="F726" s="1235"/>
      <c r="G726" s="1793"/>
      <c r="H726" s="1216"/>
      <c r="I726" s="1341">
        <f t="shared" si="177"/>
        <v>0</v>
      </c>
      <c r="J726" s="1350"/>
      <c r="K726" s="1350"/>
      <c r="L726" s="1339"/>
      <c r="M726" s="1350"/>
      <c r="N726" s="1351"/>
      <c r="P726" s="1213"/>
    </row>
    <row r="727" spans="1:16" s="1226" customFormat="1" ht="18" customHeight="1" x14ac:dyDescent="0.3">
      <c r="A727" s="590">
        <v>718</v>
      </c>
      <c r="B727" s="1234"/>
      <c r="C727" s="1209"/>
      <c r="D727" s="583" t="s">
        <v>1151</v>
      </c>
      <c r="E727" s="1215"/>
      <c r="F727" s="1235"/>
      <c r="G727" s="1793"/>
      <c r="H727" s="1216"/>
      <c r="I727" s="573">
        <f t="shared" si="177"/>
        <v>3700</v>
      </c>
      <c r="J727" s="1350"/>
      <c r="K727" s="1350"/>
      <c r="L727" s="1339">
        <f>SUM(L725:L726)</f>
        <v>3700</v>
      </c>
      <c r="M727" s="1350"/>
      <c r="N727" s="1351"/>
      <c r="P727" s="1213"/>
    </row>
    <row r="728" spans="1:16" s="673" customFormat="1" ht="22.5" customHeight="1" x14ac:dyDescent="0.35">
      <c r="A728" s="590">
        <v>719</v>
      </c>
      <c r="B728" s="672"/>
      <c r="C728" s="162">
        <v>121</v>
      </c>
      <c r="D728" s="584" t="s">
        <v>724</v>
      </c>
      <c r="E728" s="196"/>
      <c r="F728" s="170"/>
      <c r="G728" s="1794">
        <v>344</v>
      </c>
      <c r="H728" s="607" t="s">
        <v>24</v>
      </c>
      <c r="I728" s="573"/>
      <c r="J728" s="628"/>
      <c r="K728" s="628"/>
      <c r="L728" s="195"/>
      <c r="M728" s="628"/>
      <c r="N728" s="629"/>
      <c r="P728" s="3"/>
    </row>
    <row r="729" spans="1:16" s="1226" customFormat="1" ht="18" customHeight="1" x14ac:dyDescent="0.3">
      <c r="A729" s="590">
        <v>720</v>
      </c>
      <c r="B729" s="1234"/>
      <c r="C729" s="1209"/>
      <c r="D729" s="1210" t="s">
        <v>311</v>
      </c>
      <c r="E729" s="1215"/>
      <c r="F729" s="1235"/>
      <c r="G729" s="1793"/>
      <c r="H729" s="1216"/>
      <c r="I729" s="1203">
        <f>SUM(J729:N729)</f>
        <v>341</v>
      </c>
      <c r="J729" s="1236"/>
      <c r="K729" s="1236"/>
      <c r="L729" s="1217">
        <v>341</v>
      </c>
      <c r="M729" s="1236"/>
      <c r="N729" s="1237"/>
      <c r="P729" s="1213"/>
    </row>
    <row r="730" spans="1:16" s="1226" customFormat="1" ht="18" customHeight="1" x14ac:dyDescent="0.3">
      <c r="A730" s="590">
        <v>721</v>
      </c>
      <c r="B730" s="1234"/>
      <c r="C730" s="1209"/>
      <c r="D730" s="583" t="s">
        <v>1072</v>
      </c>
      <c r="E730" s="1215"/>
      <c r="F730" s="1235"/>
      <c r="G730" s="1793"/>
      <c r="H730" s="1216"/>
      <c r="I730" s="573">
        <f t="shared" ref="I730:I732" si="178">SUM(J730:N730)</f>
        <v>0</v>
      </c>
      <c r="J730" s="1236"/>
      <c r="K730" s="1236"/>
      <c r="L730" s="1339">
        <v>0</v>
      </c>
      <c r="M730" s="1236"/>
      <c r="N730" s="1237"/>
      <c r="P730" s="1213"/>
    </row>
    <row r="731" spans="1:16" s="1226" customFormat="1" ht="18" customHeight="1" x14ac:dyDescent="0.3">
      <c r="A731" s="590">
        <v>722</v>
      </c>
      <c r="B731" s="1234"/>
      <c r="C731" s="1209"/>
      <c r="D731" s="1338" t="s">
        <v>986</v>
      </c>
      <c r="E731" s="1215"/>
      <c r="F731" s="1235"/>
      <c r="G731" s="1793"/>
      <c r="H731" s="1216"/>
      <c r="I731" s="1341">
        <f t="shared" si="178"/>
        <v>0</v>
      </c>
      <c r="J731" s="1350"/>
      <c r="K731" s="1350"/>
      <c r="L731" s="628"/>
      <c r="M731" s="1350"/>
      <c r="N731" s="1351"/>
      <c r="P731" s="1213"/>
    </row>
    <row r="732" spans="1:16" s="1226" customFormat="1" ht="18" customHeight="1" x14ac:dyDescent="0.3">
      <c r="A732" s="590">
        <v>723</v>
      </c>
      <c r="B732" s="1234"/>
      <c r="C732" s="1209"/>
      <c r="D732" s="583" t="s">
        <v>1151</v>
      </c>
      <c r="E732" s="1215"/>
      <c r="F732" s="1235"/>
      <c r="G732" s="1793"/>
      <c r="H732" s="1216"/>
      <c r="I732" s="573">
        <f t="shared" si="178"/>
        <v>0</v>
      </c>
      <c r="J732" s="1350"/>
      <c r="K732" s="1350"/>
      <c r="L732" s="1339">
        <f>SUM(L730:L731)</f>
        <v>0</v>
      </c>
      <c r="M732" s="1350"/>
      <c r="N732" s="1351"/>
      <c r="P732" s="1213"/>
    </row>
    <row r="733" spans="1:16" s="673" customFormat="1" ht="22.5" customHeight="1" x14ac:dyDescent="0.35">
      <c r="A733" s="590">
        <v>724</v>
      </c>
      <c r="B733" s="672"/>
      <c r="C733" s="162">
        <v>122</v>
      </c>
      <c r="D733" s="584" t="s">
        <v>561</v>
      </c>
      <c r="E733" s="196"/>
      <c r="F733" s="170"/>
      <c r="G733" s="1794">
        <v>605</v>
      </c>
      <c r="H733" s="607" t="s">
        <v>24</v>
      </c>
      <c r="I733" s="573"/>
      <c r="J733" s="628"/>
      <c r="K733" s="628"/>
      <c r="L733" s="195"/>
      <c r="M733" s="628"/>
      <c r="N733" s="629"/>
      <c r="P733" s="3"/>
    </row>
    <row r="734" spans="1:16" s="1226" customFormat="1" ht="18" customHeight="1" x14ac:dyDescent="0.3">
      <c r="A734" s="590">
        <v>725</v>
      </c>
      <c r="B734" s="1234"/>
      <c r="C734" s="1209"/>
      <c r="D734" s="1210" t="s">
        <v>311</v>
      </c>
      <c r="E734" s="1215"/>
      <c r="F734" s="1235"/>
      <c r="G734" s="1793"/>
      <c r="H734" s="1238"/>
      <c r="I734" s="1203">
        <f>SUM(J734:N734)</f>
        <v>1895</v>
      </c>
      <c r="J734" s="1236"/>
      <c r="K734" s="1236"/>
      <c r="L734" s="1217">
        <v>1895</v>
      </c>
      <c r="M734" s="1236"/>
      <c r="N734" s="1237"/>
      <c r="P734" s="1213"/>
    </row>
    <row r="735" spans="1:16" s="1226" customFormat="1" ht="18" customHeight="1" x14ac:dyDescent="0.3">
      <c r="A735" s="590">
        <v>726</v>
      </c>
      <c r="B735" s="1234"/>
      <c r="C735" s="1209"/>
      <c r="D735" s="583" t="s">
        <v>1072</v>
      </c>
      <c r="E735" s="1215"/>
      <c r="F735" s="1235"/>
      <c r="G735" s="1793"/>
      <c r="H735" s="1238"/>
      <c r="I735" s="573">
        <f t="shared" ref="I735:I737" si="179">SUM(J735:N735)</f>
        <v>1895</v>
      </c>
      <c r="J735" s="1236"/>
      <c r="K735" s="1236"/>
      <c r="L735" s="1339">
        <v>1895</v>
      </c>
      <c r="M735" s="1236"/>
      <c r="N735" s="1237"/>
      <c r="P735" s="1213"/>
    </row>
    <row r="736" spans="1:16" s="1226" customFormat="1" ht="18" customHeight="1" x14ac:dyDescent="0.3">
      <c r="A736" s="590">
        <v>727</v>
      </c>
      <c r="B736" s="1234"/>
      <c r="C736" s="1209"/>
      <c r="D736" s="1338" t="s">
        <v>963</v>
      </c>
      <c r="E736" s="1215"/>
      <c r="F736" s="1235"/>
      <c r="G736" s="1793"/>
      <c r="H736" s="1238"/>
      <c r="I736" s="1341">
        <f t="shared" si="179"/>
        <v>0</v>
      </c>
      <c r="J736" s="1350"/>
      <c r="K736" s="1350"/>
      <c r="L736" s="1339"/>
      <c r="M736" s="1350"/>
      <c r="N736" s="1351"/>
      <c r="P736" s="1213"/>
    </row>
    <row r="737" spans="1:16" s="1226" customFormat="1" ht="18" customHeight="1" x14ac:dyDescent="0.3">
      <c r="A737" s="590">
        <v>728</v>
      </c>
      <c r="B737" s="1234"/>
      <c r="C737" s="1209"/>
      <c r="D737" s="583" t="s">
        <v>1151</v>
      </c>
      <c r="E737" s="1215"/>
      <c r="F737" s="1235"/>
      <c r="G737" s="1793"/>
      <c r="H737" s="1238"/>
      <c r="I737" s="573">
        <f t="shared" si="179"/>
        <v>1895</v>
      </c>
      <c r="J737" s="1350"/>
      <c r="K737" s="1350"/>
      <c r="L737" s="1339">
        <f>SUM(L735:L736)</f>
        <v>1895</v>
      </c>
      <c r="M737" s="1350"/>
      <c r="N737" s="1351"/>
      <c r="P737" s="1213"/>
    </row>
    <row r="738" spans="1:16" s="673" customFormat="1" ht="22.5" customHeight="1" x14ac:dyDescent="0.35">
      <c r="A738" s="590">
        <v>729</v>
      </c>
      <c r="B738" s="672"/>
      <c r="C738" s="162">
        <v>123</v>
      </c>
      <c r="D738" s="584" t="s">
        <v>945</v>
      </c>
      <c r="E738" s="196"/>
      <c r="F738" s="170"/>
      <c r="G738" s="1794">
        <v>3000</v>
      </c>
      <c r="H738" s="607" t="s">
        <v>24</v>
      </c>
      <c r="I738" s="573"/>
      <c r="J738" s="628"/>
      <c r="K738" s="628"/>
      <c r="L738" s="195"/>
      <c r="M738" s="628"/>
      <c r="N738" s="629"/>
      <c r="P738" s="3"/>
    </row>
    <row r="739" spans="1:16" s="1226" customFormat="1" ht="18" customHeight="1" x14ac:dyDescent="0.3">
      <c r="A739" s="590">
        <v>730</v>
      </c>
      <c r="B739" s="1234"/>
      <c r="C739" s="1209"/>
      <c r="D739" s="1210" t="s">
        <v>311</v>
      </c>
      <c r="E739" s="1215"/>
      <c r="F739" s="1235"/>
      <c r="G739" s="1793"/>
      <c r="H739" s="1238"/>
      <c r="I739" s="1203">
        <f>SUM(J739:N739)</f>
        <v>3000</v>
      </c>
      <c r="J739" s="1236"/>
      <c r="K739" s="1236"/>
      <c r="L739" s="1217">
        <v>3000</v>
      </c>
      <c r="M739" s="1236"/>
      <c r="N739" s="1237"/>
      <c r="P739" s="1213"/>
    </row>
    <row r="740" spans="1:16" s="1226" customFormat="1" ht="18" customHeight="1" x14ac:dyDescent="0.3">
      <c r="A740" s="590">
        <v>731</v>
      </c>
      <c r="B740" s="1234"/>
      <c r="C740" s="1209"/>
      <c r="D740" s="583" t="s">
        <v>1072</v>
      </c>
      <c r="E740" s="1215"/>
      <c r="F740" s="1235"/>
      <c r="G740" s="1793"/>
      <c r="H740" s="1238"/>
      <c r="I740" s="573">
        <f t="shared" ref="I740:I742" si="180">SUM(J740:N740)</f>
        <v>3000</v>
      </c>
      <c r="J740" s="1236"/>
      <c r="K740" s="1236"/>
      <c r="L740" s="1339">
        <v>3000</v>
      </c>
      <c r="M740" s="1236"/>
      <c r="N740" s="1237"/>
      <c r="P740" s="1213"/>
    </row>
    <row r="741" spans="1:16" s="1226" customFormat="1" ht="18" customHeight="1" x14ac:dyDescent="0.3">
      <c r="A741" s="590">
        <v>732</v>
      </c>
      <c r="B741" s="1234"/>
      <c r="C741" s="1209"/>
      <c r="D741" s="1338" t="s">
        <v>963</v>
      </c>
      <c r="E741" s="1215"/>
      <c r="F741" s="1235"/>
      <c r="G741" s="1793"/>
      <c r="H741" s="1238"/>
      <c r="I741" s="1341">
        <f t="shared" si="180"/>
        <v>0</v>
      </c>
      <c r="J741" s="1350"/>
      <c r="K741" s="1350"/>
      <c r="L741" s="1339"/>
      <c r="M741" s="1350"/>
      <c r="N741" s="1351"/>
      <c r="P741" s="1213"/>
    </row>
    <row r="742" spans="1:16" s="1226" customFormat="1" ht="18" customHeight="1" x14ac:dyDescent="0.3">
      <c r="A742" s="590">
        <v>733</v>
      </c>
      <c r="B742" s="1234"/>
      <c r="C742" s="1209"/>
      <c r="D742" s="583" t="s">
        <v>1151</v>
      </c>
      <c r="E742" s="1215"/>
      <c r="F742" s="1235"/>
      <c r="G742" s="1793"/>
      <c r="H742" s="1238"/>
      <c r="I742" s="573">
        <f t="shared" si="180"/>
        <v>3000</v>
      </c>
      <c r="J742" s="1350"/>
      <c r="K742" s="1350"/>
      <c r="L742" s="1339">
        <f>SUM(L740:L741)</f>
        <v>3000</v>
      </c>
      <c r="M742" s="1350"/>
      <c r="N742" s="1351"/>
      <c r="P742" s="1213"/>
    </row>
    <row r="743" spans="1:16" s="673" customFormat="1" ht="22.5" customHeight="1" x14ac:dyDescent="0.35">
      <c r="A743" s="590">
        <v>734</v>
      </c>
      <c r="B743" s="672"/>
      <c r="C743" s="162">
        <v>124</v>
      </c>
      <c r="D743" s="584" t="s">
        <v>562</v>
      </c>
      <c r="E743" s="196"/>
      <c r="F743" s="170">
        <v>1100</v>
      </c>
      <c r="G743" s="1794"/>
      <c r="H743" s="607" t="s">
        <v>24</v>
      </c>
      <c r="I743" s="573"/>
      <c r="J743" s="628"/>
      <c r="K743" s="628"/>
      <c r="L743" s="195"/>
      <c r="M743" s="628"/>
      <c r="N743" s="629"/>
      <c r="P743" s="3"/>
    </row>
    <row r="744" spans="1:16" s="1226" customFormat="1" ht="18" customHeight="1" x14ac:dyDescent="0.3">
      <c r="A744" s="590">
        <v>735</v>
      </c>
      <c r="B744" s="1234"/>
      <c r="C744" s="1209"/>
      <c r="D744" s="1210" t="s">
        <v>311</v>
      </c>
      <c r="E744" s="1215"/>
      <c r="F744" s="1235"/>
      <c r="G744" s="1793"/>
      <c r="H744" s="1238"/>
      <c r="I744" s="1203">
        <f>SUM(J744:N744)</f>
        <v>2800</v>
      </c>
      <c r="J744" s="1236"/>
      <c r="K744" s="1236"/>
      <c r="L744" s="1217">
        <f>1100+1700</f>
        <v>2800</v>
      </c>
      <c r="M744" s="1236"/>
      <c r="N744" s="1237"/>
      <c r="P744" s="1213"/>
    </row>
    <row r="745" spans="1:16" s="1226" customFormat="1" ht="18" customHeight="1" x14ac:dyDescent="0.3">
      <c r="A745" s="590">
        <v>736</v>
      </c>
      <c r="B745" s="1234"/>
      <c r="C745" s="1209"/>
      <c r="D745" s="583" t="s">
        <v>1072</v>
      </c>
      <c r="E745" s="1215"/>
      <c r="F745" s="1235"/>
      <c r="G745" s="1793"/>
      <c r="H745" s="1238"/>
      <c r="I745" s="573">
        <f t="shared" ref="I745:I747" si="181">SUM(J745:N745)</f>
        <v>2800</v>
      </c>
      <c r="J745" s="1236"/>
      <c r="K745" s="1236"/>
      <c r="L745" s="1339">
        <v>2800</v>
      </c>
      <c r="M745" s="1236"/>
      <c r="N745" s="1237"/>
      <c r="P745" s="1213"/>
    </row>
    <row r="746" spans="1:16" s="1226" customFormat="1" ht="18" customHeight="1" x14ac:dyDescent="0.3">
      <c r="A746" s="590">
        <v>737</v>
      </c>
      <c r="B746" s="1234"/>
      <c r="C746" s="1209"/>
      <c r="D746" s="1338" t="s">
        <v>963</v>
      </c>
      <c r="E746" s="1215"/>
      <c r="F746" s="1235"/>
      <c r="G746" s="1793"/>
      <c r="H746" s="1238"/>
      <c r="I746" s="1341">
        <f t="shared" si="181"/>
        <v>0</v>
      </c>
      <c r="J746" s="1350"/>
      <c r="K746" s="1350"/>
      <c r="L746" s="1339"/>
      <c r="M746" s="1350"/>
      <c r="N746" s="1351"/>
      <c r="P746" s="1213"/>
    </row>
    <row r="747" spans="1:16" s="1226" customFormat="1" ht="18" customHeight="1" x14ac:dyDescent="0.3">
      <c r="A747" s="590">
        <v>738</v>
      </c>
      <c r="B747" s="1234"/>
      <c r="C747" s="1209"/>
      <c r="D747" s="583" t="s">
        <v>1151</v>
      </c>
      <c r="E747" s="1215"/>
      <c r="F747" s="1235"/>
      <c r="G747" s="1793"/>
      <c r="H747" s="1238"/>
      <c r="I747" s="573">
        <f t="shared" si="181"/>
        <v>2800</v>
      </c>
      <c r="J747" s="1350"/>
      <c r="K747" s="1350"/>
      <c r="L747" s="1339">
        <f>SUM(L745:L746)</f>
        <v>2800</v>
      </c>
      <c r="M747" s="1350"/>
      <c r="N747" s="1351"/>
      <c r="P747" s="1213"/>
    </row>
    <row r="748" spans="1:16" s="8" customFormat="1" ht="22.5" customHeight="1" x14ac:dyDescent="0.3">
      <c r="A748" s="590">
        <v>739</v>
      </c>
      <c r="B748" s="183"/>
      <c r="C748" s="162">
        <v>125</v>
      </c>
      <c r="D748" s="583" t="s">
        <v>393</v>
      </c>
      <c r="E748" s="196"/>
      <c r="F748" s="170"/>
      <c r="G748" s="1783"/>
      <c r="H748" s="607" t="s">
        <v>24</v>
      </c>
      <c r="I748" s="573"/>
      <c r="J748" s="195"/>
      <c r="K748" s="195"/>
      <c r="L748" s="195"/>
      <c r="M748" s="195"/>
      <c r="N748" s="201"/>
    </row>
    <row r="749" spans="1:16" s="1213" customFormat="1" ht="18" customHeight="1" x14ac:dyDescent="0.3">
      <c r="A749" s="590">
        <v>740</v>
      </c>
      <c r="B749" s="1239"/>
      <c r="C749" s="1240"/>
      <c r="D749" s="1210" t="s">
        <v>311</v>
      </c>
      <c r="E749" s="1215"/>
      <c r="F749" s="1235"/>
      <c r="G749" s="1794">
        <v>6531</v>
      </c>
      <c r="H749" s="1216"/>
      <c r="I749" s="1203">
        <f>SUM(J749:N749)</f>
        <v>13969</v>
      </c>
      <c r="J749" s="1217"/>
      <c r="K749" s="1217"/>
      <c r="L749" s="1217"/>
      <c r="M749" s="1217"/>
      <c r="N749" s="1218">
        <f>1969+12000</f>
        <v>13969</v>
      </c>
    </row>
    <row r="750" spans="1:16" s="1213" customFormat="1" ht="18" customHeight="1" x14ac:dyDescent="0.3">
      <c r="A750" s="590">
        <v>741</v>
      </c>
      <c r="B750" s="1239"/>
      <c r="C750" s="1240"/>
      <c r="D750" s="583" t="s">
        <v>1072</v>
      </c>
      <c r="E750" s="1215"/>
      <c r="F750" s="1235"/>
      <c r="G750" s="1794"/>
      <c r="H750" s="1216"/>
      <c r="I750" s="573">
        <f t="shared" ref="I750:I752" si="182">SUM(J750:N750)</f>
        <v>13969</v>
      </c>
      <c r="J750" s="1217"/>
      <c r="K750" s="1217"/>
      <c r="L750" s="1217"/>
      <c r="M750" s="1217"/>
      <c r="N750" s="1340">
        <v>13969</v>
      </c>
    </row>
    <row r="751" spans="1:16" s="1213" customFormat="1" ht="18" customHeight="1" x14ac:dyDescent="0.3">
      <c r="A751" s="590">
        <v>742</v>
      </c>
      <c r="B751" s="1239"/>
      <c r="C751" s="1240"/>
      <c r="D751" s="1338" t="s">
        <v>963</v>
      </c>
      <c r="E751" s="1215"/>
      <c r="F751" s="1235"/>
      <c r="G751" s="1789"/>
      <c r="H751" s="1216"/>
      <c r="I751" s="1341">
        <f t="shared" si="182"/>
        <v>0</v>
      </c>
      <c r="J751" s="1339"/>
      <c r="K751" s="1339"/>
      <c r="L751" s="1339"/>
      <c r="M751" s="1339"/>
      <c r="N751" s="1340"/>
    </row>
    <row r="752" spans="1:16" s="1213" customFormat="1" ht="18" customHeight="1" x14ac:dyDescent="0.3">
      <c r="A752" s="590">
        <v>743</v>
      </c>
      <c r="B752" s="1239"/>
      <c r="C752" s="1240"/>
      <c r="D752" s="583" t="s">
        <v>1151</v>
      </c>
      <c r="E752" s="1215"/>
      <c r="F752" s="1235"/>
      <c r="G752" s="1789"/>
      <c r="H752" s="1216"/>
      <c r="I752" s="573">
        <f t="shared" si="182"/>
        <v>13969</v>
      </c>
      <c r="J752" s="1339"/>
      <c r="K752" s="1339"/>
      <c r="L752" s="1339"/>
      <c r="M752" s="1339"/>
      <c r="N752" s="1340">
        <f>SUM(N750:N751)</f>
        <v>13969</v>
      </c>
    </row>
    <row r="753" spans="1:16" s="8" customFormat="1" ht="22.5" customHeight="1" x14ac:dyDescent="0.3">
      <c r="A753" s="590">
        <v>744</v>
      </c>
      <c r="B753" s="183"/>
      <c r="C753" s="162">
        <v>126</v>
      </c>
      <c r="D753" s="583" t="s">
        <v>826</v>
      </c>
      <c r="E753" s="196"/>
      <c r="F753" s="170"/>
      <c r="G753" s="1783"/>
      <c r="H753" s="607" t="s">
        <v>23</v>
      </c>
      <c r="I753" s="573"/>
      <c r="J753" s="195"/>
      <c r="K753" s="195"/>
      <c r="L753" s="195"/>
      <c r="M753" s="195"/>
      <c r="N753" s="201"/>
    </row>
    <row r="754" spans="1:16" s="1213" customFormat="1" ht="18" customHeight="1" x14ac:dyDescent="0.3">
      <c r="A754" s="590">
        <v>745</v>
      </c>
      <c r="B754" s="1239"/>
      <c r="C754" s="1240"/>
      <c r="D754" s="1210" t="s">
        <v>311</v>
      </c>
      <c r="E754" s="1215"/>
      <c r="F754" s="1235"/>
      <c r="G754" s="1789"/>
      <c r="H754" s="1216"/>
      <c r="I754" s="1203">
        <f>SUM(J754:N754)</f>
        <v>41912</v>
      </c>
      <c r="J754" s="1217"/>
      <c r="K754" s="1217"/>
      <c r="L754" s="1217">
        <v>41912</v>
      </c>
      <c r="M754" s="1217"/>
      <c r="N754" s="1218"/>
    </row>
    <row r="755" spans="1:16" s="1213" customFormat="1" ht="18" customHeight="1" x14ac:dyDescent="0.3">
      <c r="A755" s="590">
        <v>746</v>
      </c>
      <c r="B755" s="1239"/>
      <c r="C755" s="1240"/>
      <c r="D755" s="583" t="s">
        <v>1072</v>
      </c>
      <c r="E755" s="1215"/>
      <c r="F755" s="1235"/>
      <c r="G755" s="1789"/>
      <c r="H755" s="1216"/>
      <c r="I755" s="573">
        <f t="shared" ref="I755:I757" si="183">SUM(J755:N755)</f>
        <v>41912</v>
      </c>
      <c r="J755" s="1217"/>
      <c r="K755" s="1217"/>
      <c r="L755" s="1339">
        <v>41912</v>
      </c>
      <c r="M755" s="1217"/>
      <c r="N755" s="1218"/>
    </row>
    <row r="756" spans="1:16" s="1213" customFormat="1" ht="18" customHeight="1" x14ac:dyDescent="0.3">
      <c r="A756" s="590">
        <v>747</v>
      </c>
      <c r="B756" s="1239"/>
      <c r="C756" s="1240"/>
      <c r="D756" s="1338" t="s">
        <v>963</v>
      </c>
      <c r="E756" s="1215"/>
      <c r="F756" s="1235"/>
      <c r="G756" s="1789"/>
      <c r="H756" s="1216"/>
      <c r="I756" s="1341">
        <f t="shared" si="183"/>
        <v>0</v>
      </c>
      <c r="J756" s="1339"/>
      <c r="K756" s="1339"/>
      <c r="L756" s="1339"/>
      <c r="M756" s="1339"/>
      <c r="N756" s="1340"/>
    </row>
    <row r="757" spans="1:16" s="1213" customFormat="1" ht="18" customHeight="1" x14ac:dyDescent="0.3">
      <c r="A757" s="590">
        <v>748</v>
      </c>
      <c r="B757" s="1239"/>
      <c r="C757" s="1240"/>
      <c r="D757" s="583" t="s">
        <v>1151</v>
      </c>
      <c r="E757" s="1215"/>
      <c r="F757" s="1235"/>
      <c r="G757" s="1789"/>
      <c r="H757" s="1216"/>
      <c r="I757" s="573">
        <f t="shared" si="183"/>
        <v>41912</v>
      </c>
      <c r="J757" s="1339"/>
      <c r="K757" s="1339"/>
      <c r="L757" s="1339">
        <f>SUM(L755:L756)</f>
        <v>41912</v>
      </c>
      <c r="M757" s="1339"/>
      <c r="N757" s="1340"/>
    </row>
    <row r="758" spans="1:16" s="8" customFormat="1" ht="22.5" customHeight="1" x14ac:dyDescent="0.3">
      <c r="A758" s="590">
        <v>749</v>
      </c>
      <c r="B758" s="183"/>
      <c r="C758" s="162">
        <v>127</v>
      </c>
      <c r="D758" s="583" t="s">
        <v>507</v>
      </c>
      <c r="E758" s="196"/>
      <c r="F758" s="170"/>
      <c r="G758" s="1783"/>
      <c r="H758" s="605" t="s">
        <v>24</v>
      </c>
      <c r="I758" s="573"/>
      <c r="J758" s="195"/>
      <c r="K758" s="195"/>
      <c r="L758" s="195"/>
      <c r="M758" s="195"/>
      <c r="N758" s="201"/>
    </row>
    <row r="759" spans="1:16" s="1213" customFormat="1" ht="18" customHeight="1" x14ac:dyDescent="0.3">
      <c r="A759" s="590">
        <v>750</v>
      </c>
      <c r="B759" s="1239"/>
      <c r="C759" s="1240"/>
      <c r="D759" s="1210" t="s">
        <v>311</v>
      </c>
      <c r="E759" s="1215"/>
      <c r="F759" s="1235"/>
      <c r="G759" s="1794">
        <v>268</v>
      </c>
      <c r="H759" s="1212"/>
      <c r="I759" s="1203">
        <f>SUM(J759:N759)</f>
        <v>509</v>
      </c>
      <c r="J759" s="1217"/>
      <c r="K759" s="1217"/>
      <c r="L759" s="1217">
        <v>509</v>
      </c>
      <c r="M759" s="1217"/>
      <c r="N759" s="1218"/>
    </row>
    <row r="760" spans="1:16" s="1213" customFormat="1" ht="18" customHeight="1" x14ac:dyDescent="0.3">
      <c r="A760" s="590">
        <v>751</v>
      </c>
      <c r="B760" s="1239"/>
      <c r="C760" s="1240"/>
      <c r="D760" s="583" t="s">
        <v>1072</v>
      </c>
      <c r="E760" s="1215"/>
      <c r="F760" s="1235"/>
      <c r="G760" s="1794"/>
      <c r="H760" s="1216"/>
      <c r="I760" s="573">
        <f t="shared" ref="I760:I762" si="184">SUM(J760:N760)</f>
        <v>509</v>
      </c>
      <c r="J760" s="1217"/>
      <c r="K760" s="1217"/>
      <c r="L760" s="1339">
        <v>509</v>
      </c>
      <c r="M760" s="1217"/>
      <c r="N760" s="1218"/>
    </row>
    <row r="761" spans="1:16" s="1213" customFormat="1" ht="18" customHeight="1" x14ac:dyDescent="0.3">
      <c r="A761" s="590">
        <v>752</v>
      </c>
      <c r="B761" s="1239"/>
      <c r="C761" s="1240"/>
      <c r="D761" s="1338" t="s">
        <v>963</v>
      </c>
      <c r="E761" s="1215"/>
      <c r="F761" s="1235"/>
      <c r="G761" s="1794"/>
      <c r="H761" s="1216"/>
      <c r="I761" s="1341">
        <f t="shared" si="184"/>
        <v>0</v>
      </c>
      <c r="J761" s="1339"/>
      <c r="K761" s="1339"/>
      <c r="L761" s="1339"/>
      <c r="M761" s="1339"/>
      <c r="N761" s="1340"/>
    </row>
    <row r="762" spans="1:16" s="1213" customFormat="1" ht="18" customHeight="1" x14ac:dyDescent="0.3">
      <c r="A762" s="590">
        <v>753</v>
      </c>
      <c r="B762" s="1239"/>
      <c r="C762" s="1240"/>
      <c r="D762" s="583" t="s">
        <v>1151</v>
      </c>
      <c r="E762" s="1215"/>
      <c r="F762" s="1235"/>
      <c r="G762" s="1794"/>
      <c r="H762" s="1216"/>
      <c r="I762" s="573">
        <f t="shared" si="184"/>
        <v>509</v>
      </c>
      <c r="J762" s="1339"/>
      <c r="K762" s="1339"/>
      <c r="L762" s="1339">
        <f>SUM(L760:L761)</f>
        <v>509</v>
      </c>
      <c r="M762" s="1339"/>
      <c r="N762" s="1340"/>
    </row>
    <row r="763" spans="1:16" s="3" customFormat="1" ht="22.5" customHeight="1" x14ac:dyDescent="0.3">
      <c r="A763" s="590">
        <v>754</v>
      </c>
      <c r="B763" s="182"/>
      <c r="C763" s="162">
        <v>128</v>
      </c>
      <c r="D763" s="583" t="s">
        <v>716</v>
      </c>
      <c r="E763" s="196"/>
      <c r="F763" s="196"/>
      <c r="G763" s="1794"/>
      <c r="H763" s="607" t="s">
        <v>24</v>
      </c>
      <c r="I763" s="573"/>
      <c r="J763" s="195"/>
      <c r="K763" s="195"/>
      <c r="L763" s="195"/>
      <c r="M763" s="195"/>
      <c r="N763" s="201"/>
      <c r="O763" s="8"/>
      <c r="P763" s="8"/>
    </row>
    <row r="764" spans="1:16" s="1219" customFormat="1" ht="18" customHeight="1" x14ac:dyDescent="0.35">
      <c r="A764" s="590">
        <v>755</v>
      </c>
      <c r="B764" s="1230"/>
      <c r="C764" s="1240"/>
      <c r="D764" s="1210" t="s">
        <v>311</v>
      </c>
      <c r="E764" s="1215"/>
      <c r="F764" s="1215"/>
      <c r="G764" s="1794">
        <v>698</v>
      </c>
      <c r="H764" s="1216"/>
      <c r="I764" s="1203">
        <f>SUM(J764:N764)</f>
        <v>687</v>
      </c>
      <c r="J764" s="1217"/>
      <c r="K764" s="1217"/>
      <c r="L764" s="1217">
        <v>687</v>
      </c>
      <c r="M764" s="1217"/>
      <c r="N764" s="1218"/>
      <c r="O764" s="1213"/>
      <c r="P764" s="1213"/>
    </row>
    <row r="765" spans="1:16" s="1219" customFormat="1" ht="18" customHeight="1" x14ac:dyDescent="0.35">
      <c r="A765" s="590">
        <v>756</v>
      </c>
      <c r="B765" s="1230"/>
      <c r="C765" s="1240"/>
      <c r="D765" s="583" t="s">
        <v>1072</v>
      </c>
      <c r="E765" s="1215"/>
      <c r="F765" s="1215"/>
      <c r="G765" s="1794"/>
      <c r="H765" s="1216"/>
      <c r="I765" s="573">
        <f t="shared" ref="I765:I767" si="185">SUM(J765:N765)</f>
        <v>687</v>
      </c>
      <c r="J765" s="1217"/>
      <c r="K765" s="1217"/>
      <c r="L765" s="1339">
        <v>687</v>
      </c>
      <c r="M765" s="1217"/>
      <c r="N765" s="1218"/>
      <c r="O765" s="1213"/>
      <c r="P765" s="1213"/>
    </row>
    <row r="766" spans="1:16" s="1219" customFormat="1" ht="18" customHeight="1" x14ac:dyDescent="0.35">
      <c r="A766" s="590">
        <v>757</v>
      </c>
      <c r="B766" s="1230"/>
      <c r="C766" s="1240"/>
      <c r="D766" s="1338" t="s">
        <v>963</v>
      </c>
      <c r="E766" s="1215"/>
      <c r="F766" s="1215"/>
      <c r="G766" s="1794"/>
      <c r="H766" s="1216"/>
      <c r="I766" s="1341">
        <f t="shared" si="185"/>
        <v>0</v>
      </c>
      <c r="J766" s="1339"/>
      <c r="K766" s="1339"/>
      <c r="L766" s="1339"/>
      <c r="M766" s="1339"/>
      <c r="N766" s="1340"/>
      <c r="O766" s="1213"/>
      <c r="P766" s="1213"/>
    </row>
    <row r="767" spans="1:16" s="1219" customFormat="1" ht="18" customHeight="1" x14ac:dyDescent="0.35">
      <c r="A767" s="590">
        <v>758</v>
      </c>
      <c r="B767" s="1230"/>
      <c r="C767" s="1240"/>
      <c r="D767" s="583" t="s">
        <v>1151</v>
      </c>
      <c r="E767" s="1215"/>
      <c r="F767" s="1215"/>
      <c r="G767" s="1794"/>
      <c r="H767" s="1216"/>
      <c r="I767" s="573">
        <f t="shared" si="185"/>
        <v>687</v>
      </c>
      <c r="J767" s="1339"/>
      <c r="K767" s="1339"/>
      <c r="L767" s="1339">
        <f>SUM(L765:L766)</f>
        <v>687</v>
      </c>
      <c r="M767" s="1339"/>
      <c r="N767" s="1340"/>
      <c r="O767" s="1213"/>
      <c r="P767" s="1213"/>
    </row>
    <row r="768" spans="1:16" s="3" customFormat="1" ht="22.5" customHeight="1" x14ac:dyDescent="0.3">
      <c r="A768" s="590">
        <v>759</v>
      </c>
      <c r="B768" s="182"/>
      <c r="C768" s="162">
        <v>129</v>
      </c>
      <c r="D768" s="583" t="s">
        <v>717</v>
      </c>
      <c r="E768" s="196"/>
      <c r="F768" s="196"/>
      <c r="G768" s="1794"/>
      <c r="H768" s="607" t="s">
        <v>24</v>
      </c>
      <c r="I768" s="573"/>
      <c r="J768" s="195"/>
      <c r="K768" s="195"/>
      <c r="L768" s="195"/>
      <c r="M768" s="195"/>
      <c r="N768" s="201"/>
      <c r="O768" s="8"/>
      <c r="P768" s="8"/>
    </row>
    <row r="769" spans="1:16" s="1219" customFormat="1" ht="18" customHeight="1" x14ac:dyDescent="0.35">
      <c r="A769" s="590">
        <v>760</v>
      </c>
      <c r="B769" s="1230"/>
      <c r="C769" s="1240"/>
      <c r="D769" s="1210" t="s">
        <v>311</v>
      </c>
      <c r="E769" s="1215"/>
      <c r="F769" s="1215"/>
      <c r="G769" s="1794"/>
      <c r="H769" s="1216"/>
      <c r="I769" s="1203">
        <f>SUM(J769:N769)</f>
        <v>4000</v>
      </c>
      <c r="J769" s="1217"/>
      <c r="K769" s="1217"/>
      <c r="L769" s="1217">
        <v>4000</v>
      </c>
      <c r="M769" s="1217"/>
      <c r="N769" s="1218"/>
      <c r="O769" s="1213"/>
      <c r="P769" s="1213"/>
    </row>
    <row r="770" spans="1:16" s="1219" customFormat="1" ht="18" customHeight="1" x14ac:dyDescent="0.35">
      <c r="A770" s="590">
        <v>761</v>
      </c>
      <c r="B770" s="1230"/>
      <c r="C770" s="1240"/>
      <c r="D770" s="583" t="s">
        <v>1072</v>
      </c>
      <c r="E770" s="1215"/>
      <c r="F770" s="1215"/>
      <c r="G770" s="1794"/>
      <c r="H770" s="1216"/>
      <c r="I770" s="573">
        <f t="shared" ref="I770:I772" si="186">SUM(J770:N770)</f>
        <v>0</v>
      </c>
      <c r="J770" s="1217"/>
      <c r="K770" s="1217"/>
      <c r="L770" s="1339">
        <v>0</v>
      </c>
      <c r="M770" s="1217"/>
      <c r="N770" s="1218"/>
      <c r="O770" s="1213"/>
      <c r="P770" s="1213"/>
    </row>
    <row r="771" spans="1:16" s="1219" customFormat="1" ht="18" customHeight="1" x14ac:dyDescent="0.35">
      <c r="A771" s="590">
        <v>762</v>
      </c>
      <c r="B771" s="1230"/>
      <c r="C771" s="1240"/>
      <c r="D771" s="1338" t="s">
        <v>987</v>
      </c>
      <c r="E771" s="1215"/>
      <c r="F771" s="1215"/>
      <c r="G771" s="1794"/>
      <c r="H771" s="1216"/>
      <c r="I771" s="1341">
        <f t="shared" si="186"/>
        <v>0</v>
      </c>
      <c r="J771" s="1339"/>
      <c r="K771" s="1339"/>
      <c r="L771" s="628"/>
      <c r="M771" s="1217"/>
      <c r="N771" s="1218"/>
      <c r="O771" s="1213"/>
      <c r="P771" s="1213"/>
    </row>
    <row r="772" spans="1:16" s="1219" customFormat="1" ht="18" customHeight="1" x14ac:dyDescent="0.35">
      <c r="A772" s="590">
        <v>763</v>
      </c>
      <c r="B772" s="1230"/>
      <c r="C772" s="1240"/>
      <c r="D772" s="583" t="s">
        <v>1151</v>
      </c>
      <c r="E772" s="1215"/>
      <c r="F772" s="1215"/>
      <c r="G772" s="1794"/>
      <c r="H772" s="1216"/>
      <c r="I772" s="573">
        <f t="shared" si="186"/>
        <v>0</v>
      </c>
      <c r="J772" s="1339"/>
      <c r="K772" s="1339"/>
      <c r="L772" s="1339">
        <f>SUM(L770:L771)</f>
        <v>0</v>
      </c>
      <c r="M772" s="1217"/>
      <c r="N772" s="1218"/>
      <c r="O772" s="1213"/>
      <c r="P772" s="1213"/>
    </row>
    <row r="773" spans="1:16" s="3" customFormat="1" ht="22.5" customHeight="1" x14ac:dyDescent="0.3">
      <c r="A773" s="590">
        <v>764</v>
      </c>
      <c r="B773" s="182"/>
      <c r="C773" s="162">
        <v>130</v>
      </c>
      <c r="D773" s="583" t="s">
        <v>718</v>
      </c>
      <c r="E773" s="196"/>
      <c r="F773" s="196"/>
      <c r="G773" s="1794"/>
      <c r="H773" s="607" t="s">
        <v>24</v>
      </c>
      <c r="I773" s="573"/>
      <c r="J773" s="195"/>
      <c r="K773" s="195"/>
      <c r="L773" s="195"/>
      <c r="M773" s="195"/>
      <c r="N773" s="201"/>
      <c r="O773" s="8"/>
      <c r="P773" s="8"/>
    </row>
    <row r="774" spans="1:16" s="1219" customFormat="1" ht="18" customHeight="1" x14ac:dyDescent="0.35">
      <c r="A774" s="590">
        <v>765</v>
      </c>
      <c r="B774" s="1230"/>
      <c r="C774" s="1240"/>
      <c r="D774" s="1210" t="s">
        <v>311</v>
      </c>
      <c r="E774" s="1215"/>
      <c r="F774" s="1215"/>
      <c r="G774" s="1794">
        <v>4389</v>
      </c>
      <c r="H774" s="1216"/>
      <c r="I774" s="1203">
        <f>SUM(J774:N774)</f>
        <v>1811</v>
      </c>
      <c r="J774" s="1217"/>
      <c r="K774" s="1217"/>
      <c r="L774" s="1217">
        <v>1811</v>
      </c>
      <c r="M774" s="1217"/>
      <c r="N774" s="1218"/>
      <c r="O774" s="1213"/>
      <c r="P774" s="1213"/>
    </row>
    <row r="775" spans="1:16" s="1219" customFormat="1" ht="18" customHeight="1" x14ac:dyDescent="0.35">
      <c r="A775" s="590">
        <v>766</v>
      </c>
      <c r="B775" s="1230"/>
      <c r="C775" s="1240"/>
      <c r="D775" s="583" t="s">
        <v>1072</v>
      </c>
      <c r="E775" s="1215"/>
      <c r="F775" s="1215"/>
      <c r="G775" s="1794"/>
      <c r="H775" s="1216"/>
      <c r="I775" s="573">
        <f t="shared" ref="I775:I777" si="187">SUM(J775:N775)</f>
        <v>0</v>
      </c>
      <c r="J775" s="1217"/>
      <c r="K775" s="1217"/>
      <c r="L775" s="1339">
        <v>0</v>
      </c>
      <c r="M775" s="1217"/>
      <c r="N775" s="1218"/>
      <c r="O775" s="1213"/>
      <c r="P775" s="1213"/>
    </row>
    <row r="776" spans="1:16" s="1219" customFormat="1" ht="18" customHeight="1" x14ac:dyDescent="0.35">
      <c r="A776" s="590">
        <v>767</v>
      </c>
      <c r="B776" s="1230"/>
      <c r="C776" s="1240"/>
      <c r="D776" s="1338" t="s">
        <v>963</v>
      </c>
      <c r="E776" s="1215"/>
      <c r="F776" s="1215"/>
      <c r="G776" s="1794"/>
      <c r="H776" s="1216"/>
      <c r="I776" s="1341">
        <f t="shared" si="187"/>
        <v>0</v>
      </c>
      <c r="J776" s="1339"/>
      <c r="K776" s="1339"/>
      <c r="L776" s="628"/>
      <c r="M776" s="1217"/>
      <c r="N776" s="1218"/>
      <c r="O776" s="1213"/>
      <c r="P776" s="1213"/>
    </row>
    <row r="777" spans="1:16" s="1219" customFormat="1" ht="18" customHeight="1" x14ac:dyDescent="0.35">
      <c r="A777" s="590">
        <v>768</v>
      </c>
      <c r="B777" s="1230"/>
      <c r="C777" s="1240"/>
      <c r="D777" s="583" t="s">
        <v>1151</v>
      </c>
      <c r="E777" s="1215"/>
      <c r="F777" s="1215"/>
      <c r="G777" s="1794"/>
      <c r="H777" s="1216"/>
      <c r="I777" s="573">
        <f t="shared" si="187"/>
        <v>0</v>
      </c>
      <c r="J777" s="1339"/>
      <c r="K777" s="1339"/>
      <c r="L777" s="1339">
        <f>SUM(L775:L776)</f>
        <v>0</v>
      </c>
      <c r="M777" s="1217"/>
      <c r="N777" s="1218"/>
      <c r="O777" s="1213"/>
      <c r="P777" s="1213"/>
    </row>
    <row r="778" spans="1:16" s="8" customFormat="1" ht="22.5" customHeight="1" x14ac:dyDescent="0.3">
      <c r="A778" s="590">
        <v>769</v>
      </c>
      <c r="B778" s="183"/>
      <c r="C778" s="162">
        <v>131</v>
      </c>
      <c r="D778" s="583" t="s">
        <v>571</v>
      </c>
      <c r="E778" s="196"/>
      <c r="F778" s="170"/>
      <c r="G778" s="1794"/>
      <c r="H778" s="605" t="s">
        <v>24</v>
      </c>
      <c r="I778" s="573"/>
      <c r="J778" s="195"/>
      <c r="K778" s="195"/>
      <c r="L778" s="195"/>
      <c r="M778" s="195"/>
      <c r="N778" s="201"/>
    </row>
    <row r="779" spans="1:16" s="1213" customFormat="1" ht="18" customHeight="1" x14ac:dyDescent="0.3">
      <c r="A779" s="590">
        <v>770</v>
      </c>
      <c r="B779" s="1239"/>
      <c r="C779" s="1240"/>
      <c r="D779" s="1210" t="s">
        <v>311</v>
      </c>
      <c r="E779" s="1215"/>
      <c r="F779" s="1235"/>
      <c r="G779" s="1794"/>
      <c r="H779" s="1212"/>
      <c r="I779" s="1203">
        <f>SUM(J779:N779)</f>
        <v>377</v>
      </c>
      <c r="J779" s="1217"/>
      <c r="K779" s="1217"/>
      <c r="L779" s="1217">
        <v>377</v>
      </c>
      <c r="M779" s="1217"/>
      <c r="N779" s="1218"/>
    </row>
    <row r="780" spans="1:16" s="1213" customFormat="1" ht="18" customHeight="1" x14ac:dyDescent="0.3">
      <c r="A780" s="590">
        <v>771</v>
      </c>
      <c r="B780" s="1239"/>
      <c r="C780" s="1240"/>
      <c r="D780" s="583" t="s">
        <v>1072</v>
      </c>
      <c r="E780" s="1215"/>
      <c r="F780" s="1235"/>
      <c r="G780" s="1794"/>
      <c r="H780" s="1212"/>
      <c r="I780" s="573">
        <f t="shared" ref="I780:I782" si="188">SUM(J780:N780)</f>
        <v>0</v>
      </c>
      <c r="J780" s="1217"/>
      <c r="K780" s="1217"/>
      <c r="L780" s="1339">
        <v>0</v>
      </c>
      <c r="M780" s="1217"/>
      <c r="N780" s="1218"/>
    </row>
    <row r="781" spans="1:16" s="1213" customFormat="1" ht="18" customHeight="1" x14ac:dyDescent="0.3">
      <c r="A781" s="590">
        <v>772</v>
      </c>
      <c r="B781" s="1239"/>
      <c r="C781" s="1240"/>
      <c r="D781" s="1338" t="s">
        <v>986</v>
      </c>
      <c r="E781" s="1215"/>
      <c r="F781" s="1235"/>
      <c r="G781" s="1794"/>
      <c r="H781" s="1212"/>
      <c r="I781" s="1341">
        <f t="shared" si="188"/>
        <v>0</v>
      </c>
      <c r="J781" s="1339"/>
      <c r="K781" s="1339"/>
      <c r="L781" s="1350"/>
      <c r="M781" s="1217"/>
      <c r="N781" s="1218"/>
    </row>
    <row r="782" spans="1:16" s="1213" customFormat="1" ht="18" customHeight="1" x14ac:dyDescent="0.3">
      <c r="A782" s="590">
        <v>773</v>
      </c>
      <c r="B782" s="1239"/>
      <c r="C782" s="1240"/>
      <c r="D782" s="583" t="s">
        <v>1151</v>
      </c>
      <c r="E782" s="1215"/>
      <c r="F782" s="1235"/>
      <c r="G782" s="1794"/>
      <c r="H782" s="1212"/>
      <c r="I782" s="573">
        <f t="shared" si="188"/>
        <v>0</v>
      </c>
      <c r="J782" s="1339"/>
      <c r="K782" s="1339"/>
      <c r="L782" s="1339">
        <f>SUM(L780:L781)</f>
        <v>0</v>
      </c>
      <c r="M782" s="1217"/>
      <c r="N782" s="1218"/>
    </row>
    <row r="783" spans="1:16" s="3" customFormat="1" ht="22.5" customHeight="1" x14ac:dyDescent="0.3">
      <c r="A783" s="590">
        <v>774</v>
      </c>
      <c r="B783" s="165"/>
      <c r="C783" s="162">
        <v>132</v>
      </c>
      <c r="D783" s="583" t="s">
        <v>275</v>
      </c>
      <c r="E783" s="164"/>
      <c r="F783" s="164"/>
      <c r="G783" s="1787"/>
      <c r="H783" s="605" t="s">
        <v>24</v>
      </c>
      <c r="I783" s="574"/>
      <c r="J783" s="171"/>
      <c r="K783" s="171"/>
      <c r="L783" s="171"/>
      <c r="M783" s="171"/>
      <c r="N783" s="172"/>
      <c r="O783" s="8"/>
      <c r="P783" s="8"/>
    </row>
    <row r="784" spans="1:16" s="1219" customFormat="1" ht="18" customHeight="1" x14ac:dyDescent="0.35">
      <c r="A784" s="590">
        <v>775</v>
      </c>
      <c r="B784" s="1208"/>
      <c r="C784" s="1240"/>
      <c r="D784" s="1241" t="s">
        <v>311</v>
      </c>
      <c r="E784" s="1211"/>
      <c r="F784" s="1211"/>
      <c r="G784" s="1787"/>
      <c r="H784" s="1212"/>
      <c r="I784" s="1203">
        <f>SUM(J784:N784)</f>
        <v>1210</v>
      </c>
      <c r="J784" s="1207"/>
      <c r="K784" s="1207"/>
      <c r="L784" s="1207">
        <v>1210</v>
      </c>
      <c r="M784" s="1207"/>
      <c r="N784" s="1242"/>
      <c r="O784" s="1213"/>
      <c r="P784" s="1213"/>
    </row>
    <row r="785" spans="1:16" s="1219" customFormat="1" ht="18" customHeight="1" x14ac:dyDescent="0.35">
      <c r="A785" s="590">
        <v>776</v>
      </c>
      <c r="B785" s="1208"/>
      <c r="C785" s="1240"/>
      <c r="D785" s="583" t="s">
        <v>1072</v>
      </c>
      <c r="E785" s="1211"/>
      <c r="F785" s="1211"/>
      <c r="G785" s="1787"/>
      <c r="H785" s="1212"/>
      <c r="I785" s="573">
        <f t="shared" ref="I785:I787" si="189">SUM(J785:N785)</f>
        <v>1210</v>
      </c>
      <c r="J785" s="1207"/>
      <c r="K785" s="1207"/>
      <c r="L785" s="1347">
        <v>1210</v>
      </c>
      <c r="M785" s="1207"/>
      <c r="N785" s="1242"/>
      <c r="O785" s="1213"/>
      <c r="P785" s="1213"/>
    </row>
    <row r="786" spans="1:16" s="1219" customFormat="1" ht="18" customHeight="1" x14ac:dyDescent="0.35">
      <c r="A786" s="590">
        <v>777</v>
      </c>
      <c r="B786" s="1208"/>
      <c r="C786" s="1240"/>
      <c r="D786" s="1338" t="s">
        <v>963</v>
      </c>
      <c r="E786" s="1211"/>
      <c r="F786" s="1211"/>
      <c r="G786" s="1787"/>
      <c r="H786" s="1212"/>
      <c r="I786" s="1341">
        <f t="shared" si="189"/>
        <v>0</v>
      </c>
      <c r="J786" s="1347"/>
      <c r="K786" s="1347"/>
      <c r="L786" s="1347"/>
      <c r="M786" s="1207"/>
      <c r="N786" s="1242"/>
      <c r="O786" s="1213"/>
      <c r="P786" s="1213"/>
    </row>
    <row r="787" spans="1:16" s="1219" customFormat="1" ht="18" customHeight="1" x14ac:dyDescent="0.35">
      <c r="A787" s="590">
        <v>778</v>
      </c>
      <c r="B787" s="1208"/>
      <c r="C787" s="1240"/>
      <c r="D787" s="583" t="s">
        <v>1151</v>
      </c>
      <c r="E787" s="1211"/>
      <c r="F787" s="1211"/>
      <c r="G787" s="1787"/>
      <c r="H787" s="1212"/>
      <c r="I787" s="573">
        <f t="shared" si="189"/>
        <v>1210</v>
      </c>
      <c r="J787" s="1347"/>
      <c r="K787" s="1347"/>
      <c r="L787" s="1347">
        <f>SUM(L785:L786)</f>
        <v>1210</v>
      </c>
      <c r="M787" s="1207"/>
      <c r="N787" s="1242"/>
      <c r="O787" s="1213"/>
      <c r="P787" s="1213"/>
    </row>
    <row r="788" spans="1:16" s="3" customFormat="1" ht="22.5" customHeight="1" x14ac:dyDescent="0.3">
      <c r="A788" s="590">
        <v>779</v>
      </c>
      <c r="B788" s="165"/>
      <c r="C788" s="162">
        <v>133</v>
      </c>
      <c r="D788" s="583" t="s">
        <v>1034</v>
      </c>
      <c r="E788" s="164"/>
      <c r="F788" s="164"/>
      <c r="G788" s="1787"/>
      <c r="H788" s="605" t="s">
        <v>24</v>
      </c>
      <c r="I788" s="574"/>
      <c r="J788" s="171"/>
      <c r="K788" s="171"/>
      <c r="L788" s="171"/>
      <c r="M788" s="171"/>
      <c r="N788" s="172"/>
      <c r="O788" s="8"/>
      <c r="P788" s="8"/>
    </row>
    <row r="789" spans="1:16" s="1219" customFormat="1" ht="18" customHeight="1" x14ac:dyDescent="0.35">
      <c r="A789" s="590">
        <v>780</v>
      </c>
      <c r="B789" s="1208"/>
      <c r="C789" s="1240"/>
      <c r="D789" s="1241" t="s">
        <v>311</v>
      </c>
      <c r="E789" s="1211"/>
      <c r="F789" s="1211"/>
      <c r="G789" s="1787"/>
      <c r="H789" s="1212"/>
      <c r="I789" s="1203">
        <f>SUM(J789:N789)</f>
        <v>1254</v>
      </c>
      <c r="J789" s="1207"/>
      <c r="K789" s="1207"/>
      <c r="L789" s="1207">
        <v>1254</v>
      </c>
      <c r="M789" s="1207"/>
      <c r="N789" s="1242"/>
      <c r="O789" s="1213"/>
      <c r="P789" s="1213"/>
    </row>
    <row r="790" spans="1:16" s="1219" customFormat="1" ht="18" customHeight="1" x14ac:dyDescent="0.35">
      <c r="A790" s="590">
        <v>781</v>
      </c>
      <c r="B790" s="1208"/>
      <c r="C790" s="1240"/>
      <c r="D790" s="583" t="s">
        <v>1072</v>
      </c>
      <c r="E790" s="1211"/>
      <c r="F790" s="1211"/>
      <c r="G790" s="1787"/>
      <c r="H790" s="1212"/>
      <c r="I790" s="573">
        <f t="shared" ref="I790:I792" si="190">SUM(J790:N790)</f>
        <v>1254</v>
      </c>
      <c r="J790" s="1207"/>
      <c r="K790" s="1207"/>
      <c r="L790" s="1347">
        <v>1254</v>
      </c>
      <c r="M790" s="1207"/>
      <c r="N790" s="1242"/>
      <c r="O790" s="1213"/>
      <c r="P790" s="1213"/>
    </row>
    <row r="791" spans="1:16" s="1219" customFormat="1" ht="18" customHeight="1" x14ac:dyDescent="0.35">
      <c r="A791" s="590">
        <v>782</v>
      </c>
      <c r="B791" s="1208"/>
      <c r="C791" s="1240"/>
      <c r="D791" s="1338" t="s">
        <v>963</v>
      </c>
      <c r="E791" s="1211"/>
      <c r="F791" s="1211"/>
      <c r="G791" s="1787"/>
      <c r="H791" s="1212"/>
      <c r="I791" s="1341">
        <f t="shared" si="190"/>
        <v>0</v>
      </c>
      <c r="J791" s="1347"/>
      <c r="K791" s="1347"/>
      <c r="L791" s="1347"/>
      <c r="M791" s="1207"/>
      <c r="N791" s="1242"/>
      <c r="O791" s="1213"/>
      <c r="P791" s="1213"/>
    </row>
    <row r="792" spans="1:16" s="1219" customFormat="1" ht="18" customHeight="1" x14ac:dyDescent="0.35">
      <c r="A792" s="590">
        <v>783</v>
      </c>
      <c r="B792" s="1208"/>
      <c r="C792" s="1240"/>
      <c r="D792" s="583" t="s">
        <v>1151</v>
      </c>
      <c r="E792" s="1211"/>
      <c r="F792" s="1211"/>
      <c r="G792" s="1787"/>
      <c r="H792" s="1212"/>
      <c r="I792" s="573">
        <f t="shared" si="190"/>
        <v>1254</v>
      </c>
      <c r="J792" s="1347"/>
      <c r="K792" s="1347"/>
      <c r="L792" s="1347">
        <f>SUM(L790:L791)</f>
        <v>1254</v>
      </c>
      <c r="M792" s="1207"/>
      <c r="N792" s="1242"/>
      <c r="O792" s="1213"/>
      <c r="P792" s="1213"/>
    </row>
    <row r="793" spans="1:16" s="3" customFormat="1" ht="22.5" customHeight="1" x14ac:dyDescent="0.3">
      <c r="A793" s="590">
        <v>784</v>
      </c>
      <c r="B793" s="165"/>
      <c r="C793" s="162">
        <v>134</v>
      </c>
      <c r="D793" s="583" t="s">
        <v>512</v>
      </c>
      <c r="E793" s="164"/>
      <c r="F793" s="164"/>
      <c r="G793" s="1787"/>
      <c r="H793" s="605" t="s">
        <v>24</v>
      </c>
      <c r="I793" s="574"/>
      <c r="J793" s="171"/>
      <c r="K793" s="171"/>
      <c r="L793" s="171"/>
      <c r="M793" s="171"/>
      <c r="N793" s="172"/>
      <c r="O793" s="8"/>
      <c r="P793" s="8"/>
    </row>
    <row r="794" spans="1:16" s="1219" customFormat="1" ht="18" customHeight="1" x14ac:dyDescent="0.35">
      <c r="A794" s="590">
        <v>785</v>
      </c>
      <c r="B794" s="1208"/>
      <c r="C794" s="1240"/>
      <c r="D794" s="1241" t="s">
        <v>311</v>
      </c>
      <c r="E794" s="1211"/>
      <c r="F794" s="1211"/>
      <c r="G794" s="1787">
        <v>0</v>
      </c>
      <c r="H794" s="1212"/>
      <c r="I794" s="1203">
        <f>SUM(J794:N794)</f>
        <v>451</v>
      </c>
      <c r="J794" s="1207"/>
      <c r="K794" s="1207"/>
      <c r="L794" s="1207">
        <v>451</v>
      </c>
      <c r="M794" s="1207"/>
      <c r="N794" s="1242"/>
      <c r="O794" s="1213"/>
      <c r="P794" s="1213"/>
    </row>
    <row r="795" spans="1:16" s="1219" customFormat="1" ht="18" customHeight="1" x14ac:dyDescent="0.35">
      <c r="A795" s="590">
        <v>786</v>
      </c>
      <c r="B795" s="1208"/>
      <c r="C795" s="1240"/>
      <c r="D795" s="583" t="s">
        <v>1072</v>
      </c>
      <c r="E795" s="1211"/>
      <c r="F795" s="1211"/>
      <c r="G795" s="1787"/>
      <c r="H795" s="1212"/>
      <c r="I795" s="573">
        <f t="shared" ref="I795:I797" si="191">SUM(J795:N795)</f>
        <v>0</v>
      </c>
      <c r="J795" s="1207"/>
      <c r="K795" s="1207"/>
      <c r="L795" s="1347">
        <v>0</v>
      </c>
      <c r="M795" s="1207"/>
      <c r="N795" s="1242"/>
      <c r="O795" s="1213"/>
      <c r="P795" s="1213"/>
    </row>
    <row r="796" spans="1:16" s="1219" customFormat="1" ht="18" customHeight="1" x14ac:dyDescent="0.35">
      <c r="A796" s="590">
        <v>787</v>
      </c>
      <c r="B796" s="1208"/>
      <c r="C796" s="1240"/>
      <c r="D796" s="1338" t="s">
        <v>986</v>
      </c>
      <c r="E796" s="1211"/>
      <c r="F796" s="1211"/>
      <c r="G796" s="1787"/>
      <c r="H796" s="1212"/>
      <c r="I796" s="1341">
        <f t="shared" si="191"/>
        <v>0</v>
      </c>
      <c r="J796" s="1347"/>
      <c r="K796" s="1347"/>
      <c r="L796" s="175"/>
      <c r="M796" s="1207"/>
      <c r="N796" s="1242"/>
      <c r="O796" s="1213"/>
      <c r="P796" s="1213"/>
    </row>
    <row r="797" spans="1:16" s="1219" customFormat="1" ht="18" customHeight="1" x14ac:dyDescent="0.35">
      <c r="A797" s="590">
        <v>788</v>
      </c>
      <c r="B797" s="1208"/>
      <c r="C797" s="1240"/>
      <c r="D797" s="583" t="s">
        <v>1151</v>
      </c>
      <c r="E797" s="1211"/>
      <c r="F797" s="1211"/>
      <c r="G797" s="1787"/>
      <c r="H797" s="1212"/>
      <c r="I797" s="573">
        <f t="shared" si="191"/>
        <v>0</v>
      </c>
      <c r="J797" s="1347"/>
      <c r="K797" s="1347"/>
      <c r="L797" s="1347">
        <f>SUM(L795:L796)</f>
        <v>0</v>
      </c>
      <c r="M797" s="1207"/>
      <c r="N797" s="1242"/>
      <c r="O797" s="1213"/>
      <c r="P797" s="1213"/>
    </row>
    <row r="798" spans="1:16" s="3" customFormat="1" ht="22.5" customHeight="1" x14ac:dyDescent="0.3">
      <c r="A798" s="590">
        <v>789</v>
      </c>
      <c r="B798" s="165"/>
      <c r="C798" s="162">
        <v>135</v>
      </c>
      <c r="D798" s="583" t="s">
        <v>515</v>
      </c>
      <c r="E798" s="164"/>
      <c r="F798" s="164"/>
      <c r="G798" s="1787"/>
      <c r="H798" s="605" t="s">
        <v>24</v>
      </c>
      <c r="I798" s="574"/>
      <c r="J798" s="171"/>
      <c r="K798" s="171"/>
      <c r="L798" s="171"/>
      <c r="M798" s="171"/>
      <c r="N798" s="172"/>
      <c r="O798" s="8"/>
      <c r="P798" s="8"/>
    </row>
    <row r="799" spans="1:16" s="1219" customFormat="1" ht="18" customHeight="1" x14ac:dyDescent="0.35">
      <c r="A799" s="590">
        <v>790</v>
      </c>
      <c r="B799" s="1208"/>
      <c r="C799" s="1240"/>
      <c r="D799" s="1241" t="s">
        <v>311</v>
      </c>
      <c r="E799" s="1211"/>
      <c r="F799" s="1211"/>
      <c r="G799" s="1787">
        <v>4</v>
      </c>
      <c r="H799" s="1212"/>
      <c r="I799" s="1203">
        <f>SUM(J799:N799)</f>
        <v>259</v>
      </c>
      <c r="J799" s="1207"/>
      <c r="K799" s="1207"/>
      <c r="L799" s="1207">
        <v>259</v>
      </c>
      <c r="M799" s="1207"/>
      <c r="N799" s="1242"/>
      <c r="O799" s="1213"/>
      <c r="P799" s="1213"/>
    </row>
    <row r="800" spans="1:16" s="1219" customFormat="1" ht="18" customHeight="1" x14ac:dyDescent="0.35">
      <c r="A800" s="590">
        <v>791</v>
      </c>
      <c r="B800" s="1208"/>
      <c r="C800" s="1240"/>
      <c r="D800" s="583" t="s">
        <v>1072</v>
      </c>
      <c r="E800" s="1211"/>
      <c r="F800" s="1211"/>
      <c r="G800" s="1787"/>
      <c r="H800" s="1212"/>
      <c r="I800" s="573">
        <f t="shared" ref="I800:I802" si="192">SUM(J800:N800)</f>
        <v>259</v>
      </c>
      <c r="J800" s="1207"/>
      <c r="K800" s="1207"/>
      <c r="L800" s="1347">
        <v>259</v>
      </c>
      <c r="M800" s="1207"/>
      <c r="N800" s="1242"/>
      <c r="O800" s="1213"/>
      <c r="P800" s="1213"/>
    </row>
    <row r="801" spans="1:16" s="1219" customFormat="1" ht="18" customHeight="1" x14ac:dyDescent="0.35">
      <c r="A801" s="590">
        <v>792</v>
      </c>
      <c r="B801" s="1208"/>
      <c r="C801" s="1240"/>
      <c r="D801" s="1338" t="s">
        <v>963</v>
      </c>
      <c r="E801" s="1211"/>
      <c r="F801" s="1211"/>
      <c r="G801" s="1787"/>
      <c r="H801" s="1212"/>
      <c r="I801" s="1341">
        <f t="shared" si="192"/>
        <v>0</v>
      </c>
      <c r="J801" s="1347"/>
      <c r="K801" s="1347"/>
      <c r="L801" s="1347"/>
      <c r="M801" s="1207"/>
      <c r="N801" s="1242"/>
      <c r="O801" s="1213"/>
      <c r="P801" s="1213"/>
    </row>
    <row r="802" spans="1:16" s="1219" customFormat="1" ht="18" customHeight="1" x14ac:dyDescent="0.35">
      <c r="A802" s="590">
        <v>793</v>
      </c>
      <c r="B802" s="1208"/>
      <c r="C802" s="1240"/>
      <c r="D802" s="583" t="s">
        <v>1151</v>
      </c>
      <c r="E802" s="1211"/>
      <c r="F802" s="1211"/>
      <c r="G802" s="1787"/>
      <c r="H802" s="1212"/>
      <c r="I802" s="573">
        <f t="shared" si="192"/>
        <v>259</v>
      </c>
      <c r="J802" s="1347"/>
      <c r="K802" s="1347"/>
      <c r="L802" s="1347">
        <f>SUM(L800:L801)</f>
        <v>259</v>
      </c>
      <c r="M802" s="1207"/>
      <c r="N802" s="1242"/>
      <c r="O802" s="1213"/>
      <c r="P802" s="1213"/>
    </row>
    <row r="803" spans="1:16" s="3" customFormat="1" ht="22.5" customHeight="1" x14ac:dyDescent="0.3">
      <c r="A803" s="590">
        <v>794</v>
      </c>
      <c r="B803" s="165"/>
      <c r="C803" s="162">
        <v>136</v>
      </c>
      <c r="D803" s="583" t="s">
        <v>721</v>
      </c>
      <c r="E803" s="164"/>
      <c r="F803" s="164"/>
      <c r="G803" s="1787"/>
      <c r="H803" s="605" t="s">
        <v>24</v>
      </c>
      <c r="I803" s="573"/>
      <c r="J803" s="171"/>
      <c r="K803" s="171"/>
      <c r="L803" s="171"/>
      <c r="M803" s="171"/>
      <c r="N803" s="172"/>
      <c r="O803" s="8"/>
      <c r="P803" s="8"/>
    </row>
    <row r="804" spans="1:16" s="1219" customFormat="1" ht="18" customHeight="1" x14ac:dyDescent="0.35">
      <c r="A804" s="590">
        <v>795</v>
      </c>
      <c r="B804" s="1208"/>
      <c r="C804" s="1240"/>
      <c r="D804" s="1241" t="s">
        <v>311</v>
      </c>
      <c r="E804" s="1211"/>
      <c r="F804" s="1211"/>
      <c r="G804" s="1787"/>
      <c r="H804" s="1212"/>
      <c r="I804" s="1203">
        <f>SUM(J804:N804)</f>
        <v>480</v>
      </c>
      <c r="J804" s="1207"/>
      <c r="K804" s="1207"/>
      <c r="L804" s="1207">
        <v>480</v>
      </c>
      <c r="M804" s="1207"/>
      <c r="N804" s="1242"/>
      <c r="O804" s="1213"/>
      <c r="P804" s="1213"/>
    </row>
    <row r="805" spans="1:16" s="1219" customFormat="1" ht="18" customHeight="1" x14ac:dyDescent="0.35">
      <c r="A805" s="590">
        <v>796</v>
      </c>
      <c r="B805" s="1208"/>
      <c r="C805" s="1240"/>
      <c r="D805" s="583" t="s">
        <v>1072</v>
      </c>
      <c r="E805" s="1211"/>
      <c r="F805" s="1211"/>
      <c r="G805" s="1787"/>
      <c r="H805" s="1212"/>
      <c r="I805" s="573">
        <f t="shared" ref="I805" si="193">SUM(J805:N805)</f>
        <v>0</v>
      </c>
      <c r="J805" s="1207"/>
      <c r="K805" s="1207"/>
      <c r="L805" s="1347">
        <v>0</v>
      </c>
      <c r="M805" s="1207"/>
      <c r="N805" s="1242"/>
      <c r="O805" s="1213"/>
      <c r="P805" s="1213"/>
    </row>
    <row r="806" spans="1:16" s="1219" customFormat="1" ht="18" customHeight="1" x14ac:dyDescent="0.35">
      <c r="A806" s="590">
        <v>797</v>
      </c>
      <c r="B806" s="1208"/>
      <c r="C806" s="1240"/>
      <c r="D806" s="1338" t="s">
        <v>986</v>
      </c>
      <c r="E806" s="1211"/>
      <c r="F806" s="1211"/>
      <c r="G806" s="1787"/>
      <c r="H806" s="1212"/>
      <c r="I806" s="1341">
        <f t="shared" ref="I806:I807" si="194">SUM(J806:N806)</f>
        <v>0</v>
      </c>
      <c r="J806" s="1347"/>
      <c r="K806" s="1347"/>
      <c r="L806" s="175"/>
      <c r="M806" s="1207"/>
      <c r="N806" s="1242"/>
      <c r="O806" s="1213"/>
      <c r="P806" s="1213"/>
    </row>
    <row r="807" spans="1:16" s="1219" customFormat="1" ht="18" customHeight="1" x14ac:dyDescent="0.35">
      <c r="A807" s="590">
        <v>798</v>
      </c>
      <c r="B807" s="1208"/>
      <c r="C807" s="1240"/>
      <c r="D807" s="583" t="s">
        <v>1151</v>
      </c>
      <c r="E807" s="1211"/>
      <c r="F807" s="1211"/>
      <c r="G807" s="1787"/>
      <c r="H807" s="1212"/>
      <c r="I807" s="573">
        <f t="shared" si="194"/>
        <v>0</v>
      </c>
      <c r="J807" s="1347"/>
      <c r="K807" s="1347"/>
      <c r="L807" s="1347">
        <f>SUM(L805:L806)</f>
        <v>0</v>
      </c>
      <c r="M807" s="1207"/>
      <c r="N807" s="1242"/>
      <c r="O807" s="1213"/>
      <c r="P807" s="1213"/>
    </row>
    <row r="808" spans="1:16" s="3" customFormat="1" ht="22.5" customHeight="1" x14ac:dyDescent="0.3">
      <c r="A808" s="590">
        <v>799</v>
      </c>
      <c r="B808" s="165"/>
      <c r="C808" s="162">
        <v>137</v>
      </c>
      <c r="D808" s="583" t="s">
        <v>946</v>
      </c>
      <c r="E808" s="164"/>
      <c r="F808" s="164"/>
      <c r="G808" s="1787"/>
      <c r="H808" s="605" t="s">
        <v>24</v>
      </c>
      <c r="I808" s="573"/>
      <c r="J808" s="171"/>
      <c r="K808" s="171"/>
      <c r="L808" s="171"/>
      <c r="M808" s="171"/>
      <c r="N808" s="172"/>
      <c r="O808" s="8"/>
      <c r="P808" s="8"/>
    </row>
    <row r="809" spans="1:16" s="1219" customFormat="1" ht="18" customHeight="1" x14ac:dyDescent="0.35">
      <c r="A809" s="590">
        <v>800</v>
      </c>
      <c r="B809" s="1208"/>
      <c r="C809" s="1240"/>
      <c r="D809" s="1241" t="s">
        <v>311</v>
      </c>
      <c r="E809" s="1211"/>
      <c r="F809" s="1211"/>
      <c r="G809" s="1787"/>
      <c r="H809" s="1212"/>
      <c r="I809" s="1203">
        <f>SUM(J809:N809)</f>
        <v>362</v>
      </c>
      <c r="J809" s="1207"/>
      <c r="K809" s="1207"/>
      <c r="L809" s="1207">
        <v>362</v>
      </c>
      <c r="M809" s="1207"/>
      <c r="N809" s="1242"/>
      <c r="O809" s="1213"/>
      <c r="P809" s="1213"/>
    </row>
    <row r="810" spans="1:16" s="1219" customFormat="1" ht="18" customHeight="1" x14ac:dyDescent="0.35">
      <c r="A810" s="590">
        <v>801</v>
      </c>
      <c r="B810" s="1208"/>
      <c r="C810" s="1240"/>
      <c r="D810" s="583" t="s">
        <v>1072</v>
      </c>
      <c r="E810" s="1211"/>
      <c r="F810" s="1211"/>
      <c r="G810" s="1787"/>
      <c r="H810" s="1212"/>
      <c r="I810" s="573">
        <f t="shared" ref="I810:I812" si="195">SUM(J810:N810)</f>
        <v>362</v>
      </c>
      <c r="J810" s="1207"/>
      <c r="K810" s="1207"/>
      <c r="L810" s="1207">
        <v>362</v>
      </c>
      <c r="M810" s="1207"/>
      <c r="N810" s="1242"/>
      <c r="O810" s="1213"/>
      <c r="P810" s="1213"/>
    </row>
    <row r="811" spans="1:16" s="1219" customFormat="1" ht="18" customHeight="1" x14ac:dyDescent="0.35">
      <c r="A811" s="590">
        <v>802</v>
      </c>
      <c r="B811" s="1208"/>
      <c r="C811" s="1240"/>
      <c r="D811" s="1338" t="s">
        <v>963</v>
      </c>
      <c r="E811" s="1211"/>
      <c r="F811" s="1211"/>
      <c r="G811" s="1787"/>
      <c r="H811" s="1212"/>
      <c r="I811" s="1341">
        <f t="shared" si="195"/>
        <v>0</v>
      </c>
      <c r="J811" s="1347"/>
      <c r="K811" s="1347"/>
      <c r="L811" s="1347"/>
      <c r="M811" s="1207"/>
      <c r="N811" s="1242"/>
      <c r="O811" s="1213"/>
      <c r="P811" s="1213"/>
    </row>
    <row r="812" spans="1:16" s="1219" customFormat="1" ht="18" customHeight="1" x14ac:dyDescent="0.35">
      <c r="A812" s="590">
        <v>803</v>
      </c>
      <c r="B812" s="1208"/>
      <c r="C812" s="1240"/>
      <c r="D812" s="583" t="s">
        <v>1151</v>
      </c>
      <c r="E812" s="1211"/>
      <c r="F812" s="1211"/>
      <c r="G812" s="1787"/>
      <c r="H812" s="1212"/>
      <c r="I812" s="573">
        <f t="shared" si="195"/>
        <v>362</v>
      </c>
      <c r="J812" s="1347"/>
      <c r="K812" s="1347"/>
      <c r="L812" s="1347">
        <f>SUM(L810:L811)</f>
        <v>362</v>
      </c>
      <c r="M812" s="1207"/>
      <c r="N812" s="1242"/>
      <c r="O812" s="1213"/>
      <c r="P812" s="1213"/>
    </row>
    <row r="813" spans="1:16" s="3" customFormat="1" ht="22.5" customHeight="1" x14ac:dyDescent="0.3">
      <c r="A813" s="590">
        <v>804</v>
      </c>
      <c r="B813" s="165"/>
      <c r="C813" s="162">
        <v>138</v>
      </c>
      <c r="D813" s="583" t="s">
        <v>722</v>
      </c>
      <c r="E813" s="164"/>
      <c r="F813" s="164"/>
      <c r="G813" s="1787"/>
      <c r="H813" s="605" t="s">
        <v>24</v>
      </c>
      <c r="I813" s="573"/>
      <c r="J813" s="171"/>
      <c r="K813" s="171"/>
      <c r="L813" s="171"/>
      <c r="M813" s="171"/>
      <c r="N813" s="172"/>
      <c r="O813" s="8"/>
      <c r="P813" s="8"/>
    </row>
    <row r="814" spans="1:16" s="1219" customFormat="1" ht="18" customHeight="1" x14ac:dyDescent="0.35">
      <c r="A814" s="590">
        <v>805</v>
      </c>
      <c r="B814" s="1208"/>
      <c r="C814" s="1240"/>
      <c r="D814" s="1241" t="s">
        <v>311</v>
      </c>
      <c r="E814" s="1211"/>
      <c r="F814" s="1211"/>
      <c r="G814" s="1787"/>
      <c r="H814" s="1212"/>
      <c r="I814" s="1203">
        <f>SUM(J814:N814)</f>
        <v>400</v>
      </c>
      <c r="J814" s="1207"/>
      <c r="K814" s="1207"/>
      <c r="L814" s="1207">
        <v>400</v>
      </c>
      <c r="M814" s="1207"/>
      <c r="N814" s="1242"/>
      <c r="O814" s="1213"/>
      <c r="P814" s="1213"/>
    </row>
    <row r="815" spans="1:16" s="1219" customFormat="1" ht="18" customHeight="1" x14ac:dyDescent="0.35">
      <c r="A815" s="590">
        <v>806</v>
      </c>
      <c r="B815" s="1208"/>
      <c r="C815" s="1240"/>
      <c r="D815" s="583" t="s">
        <v>1072</v>
      </c>
      <c r="E815" s="1211"/>
      <c r="F815" s="1211"/>
      <c r="G815" s="1787"/>
      <c r="H815" s="1212"/>
      <c r="I815" s="573">
        <f t="shared" ref="I815:I817" si="196">SUM(J815:N815)</f>
        <v>400</v>
      </c>
      <c r="J815" s="1207"/>
      <c r="K815" s="1207"/>
      <c r="L815" s="1347">
        <v>400</v>
      </c>
      <c r="M815" s="1207"/>
      <c r="N815" s="1242"/>
      <c r="O815" s="1213"/>
      <c r="P815" s="1213"/>
    </row>
    <row r="816" spans="1:16" s="1219" customFormat="1" ht="18" customHeight="1" x14ac:dyDescent="0.35">
      <c r="A816" s="590">
        <v>807</v>
      </c>
      <c r="B816" s="1208"/>
      <c r="C816" s="1240"/>
      <c r="D816" s="1338" t="s">
        <v>963</v>
      </c>
      <c r="E816" s="1211"/>
      <c r="F816" s="1211"/>
      <c r="G816" s="1787"/>
      <c r="H816" s="1212"/>
      <c r="I816" s="1341">
        <f t="shared" si="196"/>
        <v>0</v>
      </c>
      <c r="J816" s="1347"/>
      <c r="K816" s="1347"/>
      <c r="L816" s="1347"/>
      <c r="M816" s="1207"/>
      <c r="N816" s="1242"/>
      <c r="O816" s="1213"/>
      <c r="P816" s="1213"/>
    </row>
    <row r="817" spans="1:16" s="1219" customFormat="1" ht="18" customHeight="1" x14ac:dyDescent="0.35">
      <c r="A817" s="590">
        <v>808</v>
      </c>
      <c r="B817" s="1208"/>
      <c r="C817" s="1240"/>
      <c r="D817" s="583" t="s">
        <v>1151</v>
      </c>
      <c r="E817" s="1211"/>
      <c r="F817" s="1211"/>
      <c r="G817" s="1787"/>
      <c r="H817" s="1212"/>
      <c r="I817" s="573">
        <f t="shared" si="196"/>
        <v>400</v>
      </c>
      <c r="J817" s="1347"/>
      <c r="K817" s="1347"/>
      <c r="L817" s="1347">
        <f>SUM(L815:L816)</f>
        <v>400</v>
      </c>
      <c r="M817" s="1207"/>
      <c r="N817" s="1242"/>
      <c r="O817" s="1213"/>
      <c r="P817" s="1213"/>
    </row>
    <row r="818" spans="1:16" s="3" customFormat="1" ht="22.5" customHeight="1" x14ac:dyDescent="0.3">
      <c r="A818" s="590">
        <v>809</v>
      </c>
      <c r="B818" s="165"/>
      <c r="C818" s="162">
        <v>139</v>
      </c>
      <c r="D818" s="583" t="s">
        <v>723</v>
      </c>
      <c r="E818" s="164"/>
      <c r="F818" s="164"/>
      <c r="G818" s="1787"/>
      <c r="H818" s="605" t="s">
        <v>24</v>
      </c>
      <c r="I818" s="573"/>
      <c r="J818" s="171"/>
      <c r="K818" s="171"/>
      <c r="L818" s="171"/>
      <c r="M818" s="171"/>
      <c r="N818" s="172"/>
      <c r="O818" s="8"/>
      <c r="P818" s="8"/>
    </row>
    <row r="819" spans="1:16" s="1219" customFormat="1" ht="18" customHeight="1" x14ac:dyDescent="0.35">
      <c r="A819" s="590">
        <v>810</v>
      </c>
      <c r="B819" s="1208"/>
      <c r="C819" s="1240"/>
      <c r="D819" s="1241" t="s">
        <v>311</v>
      </c>
      <c r="E819" s="1211"/>
      <c r="F819" s="1211"/>
      <c r="G819" s="1787"/>
      <c r="H819" s="1212"/>
      <c r="I819" s="1203">
        <f>SUM(J819:N819)</f>
        <v>738</v>
      </c>
      <c r="J819" s="1207"/>
      <c r="K819" s="1207"/>
      <c r="L819" s="1207">
        <v>738</v>
      </c>
      <c r="M819" s="1207"/>
      <c r="N819" s="1242"/>
      <c r="O819" s="1213"/>
      <c r="P819" s="1213"/>
    </row>
    <row r="820" spans="1:16" s="1219" customFormat="1" ht="18" customHeight="1" x14ac:dyDescent="0.35">
      <c r="A820" s="590">
        <v>811</v>
      </c>
      <c r="B820" s="1208"/>
      <c r="C820" s="1240"/>
      <c r="D820" s="583" t="s">
        <v>1072</v>
      </c>
      <c r="E820" s="1211"/>
      <c r="F820" s="1211"/>
      <c r="G820" s="1787"/>
      <c r="H820" s="1212"/>
      <c r="I820" s="573">
        <f t="shared" ref="I820:I822" si="197">SUM(J820:N820)</f>
        <v>738</v>
      </c>
      <c r="J820" s="1207"/>
      <c r="K820" s="1207"/>
      <c r="L820" s="1347">
        <v>738</v>
      </c>
      <c r="M820" s="1207"/>
      <c r="N820" s="1242"/>
      <c r="O820" s="1213"/>
      <c r="P820" s="1213"/>
    </row>
    <row r="821" spans="1:16" s="1219" customFormat="1" ht="18" customHeight="1" x14ac:dyDescent="0.35">
      <c r="A821" s="590">
        <v>812</v>
      </c>
      <c r="B821" s="1208"/>
      <c r="C821" s="1240"/>
      <c r="D821" s="1338" t="s">
        <v>963</v>
      </c>
      <c r="E821" s="1211"/>
      <c r="F821" s="1211"/>
      <c r="G821" s="1787"/>
      <c r="H821" s="1212"/>
      <c r="I821" s="1341">
        <f t="shared" si="197"/>
        <v>0</v>
      </c>
      <c r="J821" s="1347"/>
      <c r="K821" s="1347"/>
      <c r="L821" s="1347"/>
      <c r="M821" s="1207"/>
      <c r="N821" s="1242"/>
      <c r="O821" s="1213"/>
      <c r="P821" s="1213"/>
    </row>
    <row r="822" spans="1:16" s="1219" customFormat="1" ht="18" customHeight="1" x14ac:dyDescent="0.35">
      <c r="A822" s="590">
        <v>813</v>
      </c>
      <c r="B822" s="1208"/>
      <c r="C822" s="1240"/>
      <c r="D822" s="583" t="s">
        <v>1151</v>
      </c>
      <c r="E822" s="1211"/>
      <c r="F822" s="1211"/>
      <c r="G822" s="1787"/>
      <c r="H822" s="1212"/>
      <c r="I822" s="573">
        <f t="shared" si="197"/>
        <v>738</v>
      </c>
      <c r="J822" s="1347"/>
      <c r="K822" s="1347"/>
      <c r="L822" s="1347">
        <f>SUM(L820:L821)</f>
        <v>738</v>
      </c>
      <c r="M822" s="1207"/>
      <c r="N822" s="1242"/>
      <c r="O822" s="1213"/>
      <c r="P822" s="1213"/>
    </row>
    <row r="823" spans="1:16" s="3" customFormat="1" ht="22.5" customHeight="1" x14ac:dyDescent="0.3">
      <c r="A823" s="590">
        <v>814</v>
      </c>
      <c r="B823" s="165"/>
      <c r="C823" s="162">
        <v>140</v>
      </c>
      <c r="D823" s="583" t="s">
        <v>588</v>
      </c>
      <c r="E823" s="164"/>
      <c r="F823" s="164"/>
      <c r="G823" s="1787"/>
      <c r="H823" s="605" t="s">
        <v>24</v>
      </c>
      <c r="I823" s="574"/>
      <c r="J823" s="171"/>
      <c r="K823" s="171"/>
      <c r="L823" s="171"/>
      <c r="M823" s="171"/>
      <c r="N823" s="172"/>
      <c r="O823" s="8"/>
      <c r="P823" s="8"/>
    </row>
    <row r="824" spans="1:16" s="3" customFormat="1" ht="18" customHeight="1" x14ac:dyDescent="0.3">
      <c r="A824" s="590">
        <v>815</v>
      </c>
      <c r="B824" s="1352"/>
      <c r="C824" s="1353"/>
      <c r="D824" s="1241" t="s">
        <v>311</v>
      </c>
      <c r="E824" s="164"/>
      <c r="F824" s="164"/>
      <c r="G824" s="1787"/>
      <c r="H824" s="1354"/>
      <c r="I824" s="1203">
        <f>SUM(J824:N824)</f>
        <v>100</v>
      </c>
      <c r="J824" s="1355"/>
      <c r="K824" s="1355"/>
      <c r="L824" s="1207">
        <v>100</v>
      </c>
      <c r="M824" s="1355"/>
      <c r="N824" s="1356"/>
      <c r="O824" s="8"/>
      <c r="P824" s="8"/>
    </row>
    <row r="825" spans="1:16" s="3" customFormat="1" ht="18" customHeight="1" x14ac:dyDescent="0.3">
      <c r="A825" s="590">
        <v>816</v>
      </c>
      <c r="B825" s="1352"/>
      <c r="C825" s="1353"/>
      <c r="D825" s="583" t="s">
        <v>1072</v>
      </c>
      <c r="E825" s="164"/>
      <c r="F825" s="164"/>
      <c r="G825" s="1787"/>
      <c r="H825" s="1354"/>
      <c r="I825" s="573">
        <f t="shared" ref="I825:I839" si="198">SUM(J825:N825)</f>
        <v>0</v>
      </c>
      <c r="J825" s="1355"/>
      <c r="K825" s="1355"/>
      <c r="L825" s="1359">
        <v>0</v>
      </c>
      <c r="M825" s="1355"/>
      <c r="N825" s="1356"/>
      <c r="O825" s="8"/>
      <c r="P825" s="8"/>
    </row>
    <row r="826" spans="1:16" s="3" customFormat="1" ht="18" customHeight="1" x14ac:dyDescent="0.3">
      <c r="A826" s="590">
        <v>817</v>
      </c>
      <c r="B826" s="1352"/>
      <c r="C826" s="1353"/>
      <c r="D826" s="1338" t="s">
        <v>986</v>
      </c>
      <c r="E826" s="164"/>
      <c r="F826" s="164"/>
      <c r="G826" s="1787"/>
      <c r="H826" s="1354"/>
      <c r="I826" s="1341">
        <f t="shared" si="198"/>
        <v>0</v>
      </c>
      <c r="J826" s="1355"/>
      <c r="K826" s="1355"/>
      <c r="L826" s="1702"/>
      <c r="M826" s="1355"/>
      <c r="N826" s="1356"/>
      <c r="O826" s="8"/>
      <c r="P826" s="8"/>
    </row>
    <row r="827" spans="1:16" s="3" customFormat="1" ht="18" customHeight="1" x14ac:dyDescent="0.3">
      <c r="A827" s="590">
        <v>818</v>
      </c>
      <c r="B827" s="1352"/>
      <c r="C827" s="1353"/>
      <c r="D827" s="583" t="s">
        <v>1151</v>
      </c>
      <c r="E827" s="164"/>
      <c r="F827" s="164"/>
      <c r="G827" s="1787"/>
      <c r="H827" s="1354"/>
      <c r="I827" s="573">
        <f t="shared" si="198"/>
        <v>0</v>
      </c>
      <c r="J827" s="1355"/>
      <c r="K827" s="1355"/>
      <c r="L827" s="1359">
        <f>SUM(L825:L826)</f>
        <v>0</v>
      </c>
      <c r="M827" s="1355"/>
      <c r="N827" s="1356"/>
      <c r="O827" s="8"/>
      <c r="P827" s="8"/>
    </row>
    <row r="828" spans="1:16" s="3" customFormat="1" ht="22.5" customHeight="1" x14ac:dyDescent="0.3">
      <c r="A828" s="590">
        <v>819</v>
      </c>
      <c r="B828" s="1352"/>
      <c r="C828" s="1353">
        <v>141</v>
      </c>
      <c r="D828" s="584" t="s">
        <v>556</v>
      </c>
      <c r="E828" s="164"/>
      <c r="F828" s="164"/>
      <c r="G828" s="1787">
        <v>1956</v>
      </c>
      <c r="H828" s="1354" t="s">
        <v>23</v>
      </c>
      <c r="I828" s="1357"/>
      <c r="J828" s="1355"/>
      <c r="K828" s="1355"/>
      <c r="L828" s="1358"/>
      <c r="M828" s="1355"/>
      <c r="N828" s="1356"/>
      <c r="O828" s="8"/>
      <c r="P828" s="8"/>
    </row>
    <row r="829" spans="1:16" s="3" customFormat="1" ht="18" customHeight="1" x14ac:dyDescent="0.3">
      <c r="A829" s="590">
        <v>820</v>
      </c>
      <c r="B829" s="1352"/>
      <c r="C829" s="1353"/>
      <c r="D829" s="583" t="s">
        <v>1072</v>
      </c>
      <c r="E829" s="1705"/>
      <c r="F829" s="1706"/>
      <c r="G829" s="1881"/>
      <c r="H829" s="1354"/>
      <c r="I829" s="573">
        <f>SUM(J829:N829)</f>
        <v>159</v>
      </c>
      <c r="J829" s="1355"/>
      <c r="K829" s="1355"/>
      <c r="L829" s="1358">
        <v>3</v>
      </c>
      <c r="M829" s="1355"/>
      <c r="N829" s="1356">
        <v>156</v>
      </c>
      <c r="O829" s="8"/>
      <c r="P829" s="8"/>
    </row>
    <row r="830" spans="1:16" s="3" customFormat="1" ht="18" customHeight="1" x14ac:dyDescent="0.3">
      <c r="A830" s="590">
        <v>821</v>
      </c>
      <c r="B830" s="1352"/>
      <c r="C830" s="1353"/>
      <c r="D830" s="1338" t="s">
        <v>985</v>
      </c>
      <c r="E830" s="1705"/>
      <c r="F830" s="1706"/>
      <c r="G830" s="1795"/>
      <c r="H830" s="1354"/>
      <c r="I830" s="1341">
        <f>SUM(J830:N830)</f>
        <v>0</v>
      </c>
      <c r="J830" s="1355"/>
      <c r="K830" s="1355"/>
      <c r="L830" s="1702"/>
      <c r="M830" s="1702"/>
      <c r="N830" s="1708"/>
      <c r="O830" s="8"/>
      <c r="P830" s="8"/>
    </row>
    <row r="831" spans="1:16" s="3" customFormat="1" ht="18" customHeight="1" x14ac:dyDescent="0.3">
      <c r="A831" s="590">
        <v>822</v>
      </c>
      <c r="B831" s="1352"/>
      <c r="C831" s="1353"/>
      <c r="D831" s="583" t="s">
        <v>1151</v>
      </c>
      <c r="E831" s="1705"/>
      <c r="F831" s="1706"/>
      <c r="G831" s="1795"/>
      <c r="H831" s="1354"/>
      <c r="I831" s="573">
        <f>SUM(J831:N831)</f>
        <v>159</v>
      </c>
      <c r="J831" s="1355"/>
      <c r="K831" s="1355"/>
      <c r="L831" s="1359">
        <f>SUM(L829:L830)</f>
        <v>3</v>
      </c>
      <c r="M831" s="1359"/>
      <c r="N831" s="1707">
        <f>SUM(N829:N830)</f>
        <v>156</v>
      </c>
      <c r="O831" s="8"/>
      <c r="P831" s="8"/>
    </row>
    <row r="832" spans="1:16" s="3" customFormat="1" ht="22.5" customHeight="1" x14ac:dyDescent="0.3">
      <c r="A832" s="590">
        <v>823</v>
      </c>
      <c r="B832" s="1352"/>
      <c r="C832" s="1353">
        <v>142</v>
      </c>
      <c r="D832" s="583" t="s">
        <v>1001</v>
      </c>
      <c r="E832" s="1705"/>
      <c r="F832" s="1706"/>
      <c r="G832" s="1795">
        <v>12653</v>
      </c>
      <c r="H832" s="1354" t="s">
        <v>24</v>
      </c>
      <c r="I832" s="1701"/>
      <c r="J832" s="1355"/>
      <c r="K832" s="1355"/>
      <c r="L832" s="1359"/>
      <c r="M832" s="1359"/>
      <c r="N832" s="1707"/>
      <c r="O832" s="8"/>
      <c r="P832" s="8"/>
    </row>
    <row r="833" spans="1:16" s="3" customFormat="1" ht="18" customHeight="1" x14ac:dyDescent="0.3">
      <c r="A833" s="590">
        <v>824</v>
      </c>
      <c r="B833" s="1352"/>
      <c r="C833" s="1353"/>
      <c r="D833" s="583" t="s">
        <v>1072</v>
      </c>
      <c r="E833" s="1705"/>
      <c r="F833" s="1706"/>
      <c r="G833" s="1795"/>
      <c r="H833" s="1354"/>
      <c r="I833" s="573">
        <f>SUM(J833:N833)</f>
        <v>50</v>
      </c>
      <c r="J833" s="1355"/>
      <c r="K833" s="1355"/>
      <c r="L833" s="1359"/>
      <c r="M833" s="1359"/>
      <c r="N833" s="1707">
        <v>50</v>
      </c>
      <c r="O833" s="8"/>
      <c r="P833" s="8"/>
    </row>
    <row r="834" spans="1:16" s="3" customFormat="1" ht="18" customHeight="1" x14ac:dyDescent="0.3">
      <c r="A834" s="590">
        <v>825</v>
      </c>
      <c r="B834" s="1352"/>
      <c r="C834" s="1353"/>
      <c r="D834" s="1338" t="s">
        <v>986</v>
      </c>
      <c r="E834" s="1705"/>
      <c r="F834" s="1706"/>
      <c r="G834" s="1795"/>
      <c r="H834" s="1354"/>
      <c r="I834" s="1341">
        <f>SUM(J834:N834)</f>
        <v>0</v>
      </c>
      <c r="J834" s="1355"/>
      <c r="K834" s="1355"/>
      <c r="L834" s="1359"/>
      <c r="M834" s="1359"/>
      <c r="N834" s="1708"/>
      <c r="O834" s="8"/>
      <c r="P834" s="8"/>
    </row>
    <row r="835" spans="1:16" s="3" customFormat="1" ht="18" customHeight="1" x14ac:dyDescent="0.3">
      <c r="A835" s="590">
        <v>826</v>
      </c>
      <c r="B835" s="1352"/>
      <c r="C835" s="1353"/>
      <c r="D835" s="583" t="s">
        <v>1151</v>
      </c>
      <c r="E835" s="1784"/>
      <c r="F835" s="164"/>
      <c r="G835" s="1795"/>
      <c r="H835" s="1354"/>
      <c r="I835" s="573">
        <f>SUM(J835:N835)</f>
        <v>50</v>
      </c>
      <c r="J835" s="1355"/>
      <c r="K835" s="1355"/>
      <c r="L835" s="1359"/>
      <c r="M835" s="1359"/>
      <c r="N835" s="1707">
        <f>SUM(N833:N834)</f>
        <v>50</v>
      </c>
      <c r="O835" s="8"/>
      <c r="P835" s="8"/>
    </row>
    <row r="836" spans="1:16" s="3" customFormat="1" ht="22.5" customHeight="1" x14ac:dyDescent="0.3">
      <c r="A836" s="590">
        <v>827</v>
      </c>
      <c r="B836" s="1352"/>
      <c r="C836" s="1353">
        <v>143</v>
      </c>
      <c r="D836" s="583" t="s">
        <v>998</v>
      </c>
      <c r="E836" s="583"/>
      <c r="F836" s="583"/>
      <c r="G836" s="1787"/>
      <c r="H836" s="1354" t="s">
        <v>24</v>
      </c>
      <c r="I836" s="1701"/>
      <c r="J836" s="1355"/>
      <c r="K836" s="1355"/>
      <c r="L836" s="1359"/>
      <c r="M836" s="1355"/>
      <c r="N836" s="1356"/>
      <c r="O836" s="8"/>
      <c r="P836" s="8"/>
    </row>
    <row r="837" spans="1:16" s="3" customFormat="1" ht="18" customHeight="1" x14ac:dyDescent="0.3">
      <c r="A837" s="590">
        <v>828</v>
      </c>
      <c r="B837" s="1352"/>
      <c r="C837" s="1353"/>
      <c r="D837" s="1241" t="s">
        <v>311</v>
      </c>
      <c r="E837" s="583"/>
      <c r="F837" s="583"/>
      <c r="G837" s="1787"/>
      <c r="H837" s="1354"/>
      <c r="I837" s="1203">
        <f>SUM(J837:N837)</f>
        <v>32172</v>
      </c>
      <c r="J837" s="1355"/>
      <c r="K837" s="1355"/>
      <c r="L837" s="1358">
        <v>32172</v>
      </c>
      <c r="M837" s="1355"/>
      <c r="N837" s="1356"/>
      <c r="O837" s="8"/>
      <c r="P837" s="8"/>
    </row>
    <row r="838" spans="1:16" s="3" customFormat="1" ht="18" customHeight="1" x14ac:dyDescent="0.3">
      <c r="A838" s="590">
        <v>829</v>
      </c>
      <c r="B838" s="1352"/>
      <c r="C838" s="1353"/>
      <c r="D838" s="583" t="s">
        <v>1072</v>
      </c>
      <c r="E838" s="583"/>
      <c r="F838" s="583"/>
      <c r="G838" s="1787"/>
      <c r="H838" s="1354"/>
      <c r="I838" s="573">
        <f>SUM(J838:N838)</f>
        <v>30170</v>
      </c>
      <c r="J838" s="1359">
        <v>19</v>
      </c>
      <c r="K838" s="1359">
        <v>10</v>
      </c>
      <c r="L838" s="1359">
        <v>30141</v>
      </c>
      <c r="M838" s="1355"/>
      <c r="N838" s="1356"/>
      <c r="O838" s="8"/>
      <c r="P838" s="8"/>
    </row>
    <row r="839" spans="1:16" s="3" customFormat="1" ht="18" customHeight="1" x14ac:dyDescent="0.3">
      <c r="A839" s="590">
        <v>830</v>
      </c>
      <c r="B839" s="1352"/>
      <c r="C839" s="1353"/>
      <c r="D839" s="1338" t="s">
        <v>986</v>
      </c>
      <c r="E839" s="164"/>
      <c r="F839" s="164"/>
      <c r="G839" s="1787"/>
      <c r="H839" s="1354"/>
      <c r="I839" s="1341">
        <f t="shared" si="198"/>
        <v>0</v>
      </c>
      <c r="J839" s="1355"/>
      <c r="K839" s="1355"/>
      <c r="L839" s="1702"/>
      <c r="M839" s="1355"/>
      <c r="N839" s="1356"/>
      <c r="O839" s="8"/>
      <c r="P839" s="8"/>
    </row>
    <row r="840" spans="1:16" s="3" customFormat="1" ht="18" customHeight="1" thickBot="1" x14ac:dyDescent="0.35">
      <c r="A840" s="590">
        <v>831</v>
      </c>
      <c r="B840" s="165"/>
      <c r="C840" s="162"/>
      <c r="D840" s="584" t="s">
        <v>1151</v>
      </c>
      <c r="E840" s="164"/>
      <c r="F840" s="164"/>
      <c r="G840" s="1787"/>
      <c r="H840" s="605"/>
      <c r="I840" s="573">
        <f>SUM(J840:N840)</f>
        <v>30170</v>
      </c>
      <c r="J840" s="1347">
        <f>SUM(J838:J839)</f>
        <v>19</v>
      </c>
      <c r="K840" s="1347">
        <f>SUM(K838:K839)</f>
        <v>10</v>
      </c>
      <c r="L840" s="1347">
        <f>SUM(L838:L839)</f>
        <v>30141</v>
      </c>
      <c r="M840" s="171"/>
      <c r="N840" s="172"/>
      <c r="O840" s="8"/>
      <c r="P840" s="8"/>
    </row>
    <row r="841" spans="1:16" s="1219" customFormat="1" ht="18" hidden="1" customHeight="1" thickBot="1" x14ac:dyDescent="0.4">
      <c r="A841" s="590">
        <v>832</v>
      </c>
      <c r="B841" s="1243"/>
      <c r="C841" s="1244"/>
      <c r="D841" s="1368"/>
      <c r="E841" s="1369"/>
      <c r="F841" s="1370"/>
      <c r="G841" s="1824"/>
      <c r="H841" s="1245"/>
      <c r="I841" s="1246"/>
      <c r="J841" s="1247"/>
      <c r="K841" s="1247"/>
      <c r="L841" s="1247"/>
      <c r="M841" s="1247"/>
      <c r="N841" s="1248"/>
      <c r="O841" s="1213"/>
      <c r="P841" s="1213"/>
    </row>
    <row r="842" spans="1:16" s="1821" customFormat="1" ht="22.5" hidden="1" customHeight="1" thickTop="1" x14ac:dyDescent="0.35">
      <c r="A842" s="590">
        <v>833</v>
      </c>
      <c r="B842" s="1110"/>
      <c r="C842" s="933"/>
      <c r="D842" s="583" t="s">
        <v>77</v>
      </c>
      <c r="E842" s="196">
        <v>8674</v>
      </c>
      <c r="F842" s="196">
        <v>650</v>
      </c>
      <c r="G842" s="1783">
        <v>650</v>
      </c>
      <c r="H842" s="607" t="s">
        <v>24</v>
      </c>
      <c r="I842" s="572"/>
      <c r="J842" s="195"/>
      <c r="K842" s="195"/>
      <c r="L842" s="195"/>
      <c r="M842" s="195"/>
      <c r="N842" s="201"/>
      <c r="P842" s="1822"/>
    </row>
    <row r="843" spans="1:16" s="8" customFormat="1" ht="18" hidden="1" customHeight="1" x14ac:dyDescent="0.3">
      <c r="A843" s="590">
        <v>834</v>
      </c>
      <c r="B843" s="165"/>
      <c r="C843" s="166"/>
      <c r="D843" s="167" t="s">
        <v>311</v>
      </c>
      <c r="E843" s="164"/>
      <c r="F843" s="164"/>
      <c r="G843" s="1784"/>
      <c r="H843" s="605"/>
      <c r="I843" s="573">
        <f>SUM(J843:N843)</f>
        <v>0</v>
      </c>
      <c r="J843" s="168"/>
      <c r="K843" s="168"/>
      <c r="L843" s="168"/>
      <c r="M843" s="168"/>
      <c r="N843" s="169"/>
    </row>
    <row r="844" spans="1:16" s="8" customFormat="1" ht="22.5" hidden="1" customHeight="1" x14ac:dyDescent="0.3">
      <c r="A844" s="590">
        <v>835</v>
      </c>
      <c r="B844" s="165"/>
      <c r="C844" s="162"/>
      <c r="D844" s="584" t="s">
        <v>556</v>
      </c>
      <c r="E844" s="164"/>
      <c r="F844" s="164">
        <v>2112</v>
      </c>
      <c r="G844" s="1784">
        <v>2112</v>
      </c>
      <c r="H844" s="605" t="s">
        <v>23</v>
      </c>
      <c r="I844" s="573"/>
      <c r="J844" s="168"/>
      <c r="K844" s="168"/>
      <c r="L844" s="168"/>
      <c r="M844" s="168"/>
      <c r="N844" s="169"/>
    </row>
    <row r="845" spans="1:16" s="8" customFormat="1" ht="18" hidden="1" customHeight="1" x14ac:dyDescent="0.3">
      <c r="A845" s="590">
        <v>836</v>
      </c>
      <c r="B845" s="165"/>
      <c r="C845" s="166"/>
      <c r="D845" s="167" t="s">
        <v>311</v>
      </c>
      <c r="E845" s="164"/>
      <c r="F845" s="164"/>
      <c r="G845" s="1784"/>
      <c r="H845" s="605"/>
      <c r="I845" s="573">
        <f>SUM(J845:N845)</f>
        <v>0</v>
      </c>
      <c r="J845" s="168"/>
      <c r="K845" s="168"/>
      <c r="L845" s="168"/>
      <c r="M845" s="168"/>
      <c r="N845" s="169"/>
    </row>
    <row r="846" spans="1:16" s="8" customFormat="1" ht="22.5" hidden="1" customHeight="1" x14ac:dyDescent="0.3">
      <c r="A846" s="590">
        <v>837</v>
      </c>
      <c r="B846" s="165"/>
      <c r="C846" s="162"/>
      <c r="D846" s="583" t="s">
        <v>486</v>
      </c>
      <c r="E846" s="164">
        <v>31491</v>
      </c>
      <c r="F846" s="164">
        <v>7868</v>
      </c>
      <c r="G846" s="1784">
        <v>7868</v>
      </c>
      <c r="H846" s="605" t="s">
        <v>24</v>
      </c>
      <c r="I846" s="573"/>
      <c r="J846" s="168"/>
      <c r="K846" s="168"/>
      <c r="L846" s="168"/>
      <c r="M846" s="168"/>
      <c r="N846" s="169"/>
    </row>
    <row r="847" spans="1:16" s="8" customFormat="1" ht="18" hidden="1" customHeight="1" x14ac:dyDescent="0.3">
      <c r="A847" s="590">
        <v>838</v>
      </c>
      <c r="B847" s="165"/>
      <c r="C847" s="166"/>
      <c r="D847" s="167" t="s">
        <v>311</v>
      </c>
      <c r="E847" s="164"/>
      <c r="F847" s="164"/>
      <c r="G847" s="1784"/>
      <c r="H847" s="605"/>
      <c r="I847" s="573">
        <f>SUM(J847:N847)</f>
        <v>0</v>
      </c>
      <c r="J847" s="168"/>
      <c r="K847" s="168"/>
      <c r="L847" s="168"/>
      <c r="M847" s="168"/>
      <c r="N847" s="169"/>
    </row>
    <row r="848" spans="1:16" s="3" customFormat="1" ht="22.5" hidden="1" customHeight="1" x14ac:dyDescent="0.3">
      <c r="A848" s="590">
        <v>839</v>
      </c>
      <c r="B848" s="161"/>
      <c r="C848" s="162"/>
      <c r="D848" s="584" t="s">
        <v>100</v>
      </c>
      <c r="E848" s="164"/>
      <c r="F848" s="164">
        <v>1500</v>
      </c>
      <c r="G848" s="1784">
        <v>1500</v>
      </c>
      <c r="H848" s="605" t="s">
        <v>24</v>
      </c>
      <c r="I848" s="573"/>
      <c r="J848" s="168"/>
      <c r="K848" s="168"/>
      <c r="L848" s="168"/>
      <c r="M848" s="168"/>
      <c r="N848" s="169"/>
      <c r="P848" s="8"/>
    </row>
    <row r="849" spans="1:16" s="8" customFormat="1" ht="18" hidden="1" customHeight="1" thickBot="1" x14ac:dyDescent="0.35">
      <c r="A849" s="590">
        <v>840</v>
      </c>
      <c r="B849" s="674"/>
      <c r="C849" s="1111"/>
      <c r="D849" s="1112" t="s">
        <v>311</v>
      </c>
      <c r="E849" s="685"/>
      <c r="F849" s="685"/>
      <c r="G849" s="686"/>
      <c r="H849" s="675"/>
      <c r="I849" s="1113">
        <f>SUM(J849:N849)</f>
        <v>0</v>
      </c>
      <c r="J849" s="1114"/>
      <c r="K849" s="1114"/>
      <c r="L849" s="1114"/>
      <c r="M849" s="1114"/>
      <c r="N849" s="1115"/>
    </row>
    <row r="850" spans="1:16" s="1821" customFormat="1" ht="22.5" hidden="1" customHeight="1" thickTop="1" x14ac:dyDescent="0.35">
      <c r="A850" s="590">
        <v>841</v>
      </c>
      <c r="B850" s="1110"/>
      <c r="C850" s="933"/>
      <c r="D850" s="167" t="s">
        <v>79</v>
      </c>
      <c r="E850" s="196"/>
      <c r="F850" s="196"/>
      <c r="G850" s="1783"/>
      <c r="H850" s="607" t="s">
        <v>23</v>
      </c>
      <c r="I850" s="572"/>
      <c r="J850" s="195"/>
      <c r="K850" s="195"/>
      <c r="L850" s="195"/>
      <c r="M850" s="195"/>
      <c r="N850" s="201"/>
      <c r="P850" s="1822"/>
    </row>
    <row r="851" spans="1:16" s="8" customFormat="1" ht="18" hidden="1" customHeight="1" x14ac:dyDescent="0.3">
      <c r="A851" s="590">
        <v>842</v>
      </c>
      <c r="B851" s="165"/>
      <c r="C851" s="166"/>
      <c r="D851" s="167" t="s">
        <v>311</v>
      </c>
      <c r="E851" s="164"/>
      <c r="F851" s="164"/>
      <c r="G851" s="1784"/>
      <c r="H851" s="605"/>
      <c r="I851" s="573">
        <f>SUM(J851:N851)</f>
        <v>0</v>
      </c>
      <c r="J851" s="168"/>
      <c r="K851" s="168"/>
      <c r="L851" s="168"/>
      <c r="M851" s="168"/>
      <c r="N851" s="169"/>
    </row>
    <row r="852" spans="1:16" s="3" customFormat="1" ht="22.5" hidden="1" customHeight="1" x14ac:dyDescent="0.3">
      <c r="A852" s="590">
        <v>843</v>
      </c>
      <c r="B852" s="161"/>
      <c r="C852" s="162"/>
      <c r="D852" s="163" t="s">
        <v>89</v>
      </c>
      <c r="E852" s="164"/>
      <c r="F852" s="164"/>
      <c r="G852" s="1784"/>
      <c r="H852" s="605" t="s">
        <v>23</v>
      </c>
      <c r="I852" s="573"/>
      <c r="J852" s="168"/>
      <c r="K852" s="168"/>
      <c r="L852" s="168"/>
      <c r="M852" s="168"/>
      <c r="N852" s="169"/>
      <c r="P852" s="8"/>
    </row>
    <row r="853" spans="1:16" s="8" customFormat="1" ht="18" hidden="1" customHeight="1" x14ac:dyDescent="0.3">
      <c r="A853" s="590">
        <v>844</v>
      </c>
      <c r="B853" s="165"/>
      <c r="C853" s="166"/>
      <c r="D853" s="167" t="s">
        <v>311</v>
      </c>
      <c r="E853" s="164"/>
      <c r="F853" s="164"/>
      <c r="G853" s="1784"/>
      <c r="H853" s="605"/>
      <c r="I853" s="573">
        <f>SUM(J853:N853)</f>
        <v>0</v>
      </c>
      <c r="J853" s="168"/>
      <c r="K853" s="168"/>
      <c r="L853" s="168"/>
      <c r="M853" s="168"/>
      <c r="N853" s="169"/>
    </row>
    <row r="854" spans="1:16" s="8" customFormat="1" ht="30" hidden="1" x14ac:dyDescent="0.3">
      <c r="A854" s="590">
        <v>845</v>
      </c>
      <c r="B854" s="165"/>
      <c r="C854" s="561"/>
      <c r="D854" s="167" t="s">
        <v>541</v>
      </c>
      <c r="E854" s="164"/>
      <c r="F854" s="164"/>
      <c r="G854" s="1784"/>
      <c r="H854" s="605" t="s">
        <v>24</v>
      </c>
      <c r="I854" s="573"/>
      <c r="J854" s="168"/>
      <c r="K854" s="168"/>
      <c r="L854" s="168"/>
      <c r="M854" s="168"/>
      <c r="N854" s="169"/>
    </row>
    <row r="855" spans="1:16" s="8" customFormat="1" ht="18" hidden="1" customHeight="1" x14ac:dyDescent="0.3">
      <c r="A855" s="590">
        <v>846</v>
      </c>
      <c r="B855" s="165"/>
      <c r="C855" s="166"/>
      <c r="D855" s="167" t="s">
        <v>311</v>
      </c>
      <c r="E855" s="164"/>
      <c r="F855" s="164"/>
      <c r="G855" s="1784"/>
      <c r="H855" s="605"/>
      <c r="I855" s="573">
        <f>SUM(J855:N855)</f>
        <v>0</v>
      </c>
      <c r="J855" s="168"/>
      <c r="K855" s="168"/>
      <c r="L855" s="168"/>
      <c r="M855" s="168"/>
      <c r="N855" s="169"/>
    </row>
    <row r="856" spans="1:16" s="8" customFormat="1" ht="22.5" hidden="1" customHeight="1" x14ac:dyDescent="0.3">
      <c r="A856" s="590">
        <v>847</v>
      </c>
      <c r="B856" s="165"/>
      <c r="C856" s="162"/>
      <c r="D856" s="167" t="s">
        <v>482</v>
      </c>
      <c r="E856" s="164"/>
      <c r="F856" s="164"/>
      <c r="G856" s="1784"/>
      <c r="H856" s="605" t="s">
        <v>24</v>
      </c>
      <c r="I856" s="573"/>
      <c r="J856" s="168"/>
      <c r="K856" s="168"/>
      <c r="L856" s="168"/>
      <c r="M856" s="168"/>
      <c r="N856" s="169"/>
    </row>
    <row r="857" spans="1:16" s="8" customFormat="1" ht="18" hidden="1" customHeight="1" x14ac:dyDescent="0.3">
      <c r="A857" s="590">
        <v>848</v>
      </c>
      <c r="B857" s="165"/>
      <c r="C857" s="166"/>
      <c r="D857" s="167" t="s">
        <v>311</v>
      </c>
      <c r="E857" s="164"/>
      <c r="F857" s="164"/>
      <c r="G857" s="1784"/>
      <c r="H857" s="605"/>
      <c r="I857" s="573">
        <f>SUM(J857:N857)</f>
        <v>0</v>
      </c>
      <c r="J857" s="168"/>
      <c r="K857" s="168"/>
      <c r="L857" s="168"/>
      <c r="M857" s="168"/>
      <c r="N857" s="169"/>
    </row>
    <row r="858" spans="1:16" s="8" customFormat="1" ht="22.5" hidden="1" customHeight="1" x14ac:dyDescent="0.3">
      <c r="A858" s="590">
        <v>849</v>
      </c>
      <c r="B858" s="165"/>
      <c r="C858" s="162"/>
      <c r="D858" s="163" t="s">
        <v>510</v>
      </c>
      <c r="E858" s="164"/>
      <c r="F858" s="164"/>
      <c r="G858" s="1784"/>
      <c r="H858" s="605" t="s">
        <v>24</v>
      </c>
      <c r="I858" s="573"/>
      <c r="J858" s="168"/>
      <c r="K858" s="168"/>
      <c r="L858" s="168"/>
      <c r="M858" s="168"/>
      <c r="N858" s="169"/>
    </row>
    <row r="859" spans="1:16" s="8" customFormat="1" ht="18" hidden="1" customHeight="1" x14ac:dyDescent="0.3">
      <c r="A859" s="590">
        <v>850</v>
      </c>
      <c r="B859" s="165"/>
      <c r="C859" s="166"/>
      <c r="D859" s="167" t="s">
        <v>311</v>
      </c>
      <c r="E859" s="164"/>
      <c r="F859" s="164"/>
      <c r="G859" s="1784"/>
      <c r="H859" s="605"/>
      <c r="I859" s="573">
        <f>SUM(J859:N859)</f>
        <v>0</v>
      </c>
      <c r="J859" s="168"/>
      <c r="K859" s="168"/>
      <c r="L859" s="168"/>
      <c r="M859" s="168"/>
      <c r="N859" s="169"/>
    </row>
    <row r="860" spans="1:16" s="8" customFormat="1" ht="22.5" hidden="1" customHeight="1" x14ac:dyDescent="0.3">
      <c r="A860" s="590">
        <v>851</v>
      </c>
      <c r="B860" s="179"/>
      <c r="C860" s="162"/>
      <c r="D860" s="163" t="s">
        <v>112</v>
      </c>
      <c r="E860" s="164"/>
      <c r="F860" s="164"/>
      <c r="G860" s="1784"/>
      <c r="H860" s="605" t="s">
        <v>24</v>
      </c>
      <c r="I860" s="574"/>
      <c r="J860" s="171"/>
      <c r="K860" s="171"/>
      <c r="L860" s="171"/>
      <c r="M860" s="171"/>
      <c r="N860" s="172"/>
    </row>
    <row r="861" spans="1:16" s="8" customFormat="1" ht="18" hidden="1" customHeight="1" x14ac:dyDescent="0.3">
      <c r="A861" s="590">
        <v>852</v>
      </c>
      <c r="B861" s="165"/>
      <c r="C861" s="166"/>
      <c r="D861" s="167" t="s">
        <v>311</v>
      </c>
      <c r="E861" s="164"/>
      <c r="F861" s="164"/>
      <c r="G861" s="1784"/>
      <c r="H861" s="605"/>
      <c r="I861" s="573">
        <f>SUM(J861:N861)</f>
        <v>0</v>
      </c>
      <c r="J861" s="168"/>
      <c r="K861" s="168"/>
      <c r="L861" s="168"/>
      <c r="M861" s="168"/>
      <c r="N861" s="169"/>
    </row>
    <row r="862" spans="1:16" s="8" customFormat="1" ht="22.5" hidden="1" customHeight="1" x14ac:dyDescent="0.3">
      <c r="A862" s="590">
        <v>853</v>
      </c>
      <c r="B862" s="179"/>
      <c r="C862" s="162"/>
      <c r="D862" s="163" t="s">
        <v>455</v>
      </c>
      <c r="E862" s="164"/>
      <c r="F862" s="164"/>
      <c r="G862" s="1784"/>
      <c r="H862" s="605" t="s">
        <v>24</v>
      </c>
      <c r="I862" s="574"/>
      <c r="J862" s="171"/>
      <c r="K862" s="171"/>
      <c r="L862" s="171"/>
      <c r="M862" s="171"/>
      <c r="N862" s="172"/>
    </row>
    <row r="863" spans="1:16" s="8" customFormat="1" ht="18" hidden="1" customHeight="1" x14ac:dyDescent="0.3">
      <c r="A863" s="590">
        <v>854</v>
      </c>
      <c r="B863" s="165"/>
      <c r="C863" s="166"/>
      <c r="D863" s="167" t="s">
        <v>311</v>
      </c>
      <c r="E863" s="164"/>
      <c r="F863" s="164"/>
      <c r="G863" s="1784"/>
      <c r="H863" s="605"/>
      <c r="I863" s="573">
        <f>SUM(J863:N863)</f>
        <v>0</v>
      </c>
      <c r="J863" s="168"/>
      <c r="K863" s="168"/>
      <c r="L863" s="168"/>
      <c r="M863" s="168"/>
      <c r="N863" s="169"/>
    </row>
    <row r="864" spans="1:16" s="8" customFormat="1" ht="22.5" hidden="1" customHeight="1" x14ac:dyDescent="0.3">
      <c r="A864" s="590">
        <v>855</v>
      </c>
      <c r="B864" s="179"/>
      <c r="C864" s="162"/>
      <c r="D864" s="163" t="s">
        <v>456</v>
      </c>
      <c r="E864" s="164"/>
      <c r="F864" s="164"/>
      <c r="G864" s="1784"/>
      <c r="H864" s="605" t="s">
        <v>24</v>
      </c>
      <c r="I864" s="574"/>
      <c r="J864" s="171"/>
      <c r="K864" s="171"/>
      <c r="L864" s="171"/>
      <c r="M864" s="171"/>
      <c r="N864" s="172"/>
    </row>
    <row r="865" spans="1:16" s="8" customFormat="1" ht="18" hidden="1" customHeight="1" x14ac:dyDescent="0.3">
      <c r="A865" s="590">
        <v>856</v>
      </c>
      <c r="B865" s="165"/>
      <c r="C865" s="166"/>
      <c r="D865" s="167" t="s">
        <v>311</v>
      </c>
      <c r="E865" s="164"/>
      <c r="F865" s="164"/>
      <c r="G865" s="1784"/>
      <c r="H865" s="605"/>
      <c r="I865" s="573">
        <f>SUM(J865:N865)</f>
        <v>0</v>
      </c>
      <c r="J865" s="168"/>
      <c r="K865" s="168"/>
      <c r="L865" s="168"/>
      <c r="M865" s="168"/>
      <c r="N865" s="169"/>
    </row>
    <row r="866" spans="1:16" s="8" customFormat="1" ht="22.5" hidden="1" customHeight="1" x14ac:dyDescent="0.3">
      <c r="A866" s="590">
        <v>857</v>
      </c>
      <c r="B866" s="165"/>
      <c r="C866" s="162"/>
      <c r="D866" s="167" t="s">
        <v>463</v>
      </c>
      <c r="E866" s="164"/>
      <c r="F866" s="164"/>
      <c r="G866" s="1784"/>
      <c r="H866" s="605" t="s">
        <v>24</v>
      </c>
      <c r="I866" s="573"/>
      <c r="J866" s="168"/>
      <c r="K866" s="168"/>
      <c r="L866" s="168"/>
      <c r="M866" s="168"/>
      <c r="N866" s="169"/>
    </row>
    <row r="867" spans="1:16" s="8" customFormat="1" ht="18" hidden="1" customHeight="1" x14ac:dyDescent="0.3">
      <c r="A867" s="590">
        <v>858</v>
      </c>
      <c r="B867" s="165"/>
      <c r="C867" s="166"/>
      <c r="D867" s="167" t="s">
        <v>311</v>
      </c>
      <c r="E867" s="164"/>
      <c r="F867" s="164"/>
      <c r="G867" s="1784"/>
      <c r="H867" s="605"/>
      <c r="I867" s="573">
        <f>SUM(J867:N867)</f>
        <v>0</v>
      </c>
      <c r="J867" s="168"/>
      <c r="K867" s="168"/>
      <c r="L867" s="168"/>
      <c r="M867" s="168"/>
      <c r="N867" s="169"/>
    </row>
    <row r="868" spans="1:16" s="3" customFormat="1" ht="22.5" hidden="1" customHeight="1" x14ac:dyDescent="0.3">
      <c r="A868" s="590">
        <v>859</v>
      </c>
      <c r="B868" s="161"/>
      <c r="C868" s="162"/>
      <c r="D868" s="163" t="s">
        <v>564</v>
      </c>
      <c r="E868" s="164"/>
      <c r="F868" s="164"/>
      <c r="G868" s="1784"/>
      <c r="H868" s="605" t="s">
        <v>23</v>
      </c>
      <c r="I868" s="573"/>
      <c r="J868" s="168"/>
      <c r="K868" s="168"/>
      <c r="L868" s="168"/>
      <c r="M868" s="168"/>
      <c r="N868" s="169"/>
    </row>
    <row r="869" spans="1:16" s="8" customFormat="1" ht="18" hidden="1" customHeight="1" x14ac:dyDescent="0.3">
      <c r="A869" s="590">
        <v>860</v>
      </c>
      <c r="B869" s="165"/>
      <c r="C869" s="166"/>
      <c r="D869" s="167" t="s">
        <v>311</v>
      </c>
      <c r="E869" s="164"/>
      <c r="F869" s="164"/>
      <c r="G869" s="1784"/>
      <c r="H869" s="605"/>
      <c r="I869" s="573">
        <f>SUM(J869:N869)</f>
        <v>0</v>
      </c>
      <c r="J869" s="168"/>
      <c r="K869" s="168"/>
      <c r="L869" s="168"/>
      <c r="M869" s="168"/>
      <c r="N869" s="169"/>
    </row>
    <row r="870" spans="1:16" s="8" customFormat="1" ht="31.5" hidden="1" customHeight="1" x14ac:dyDescent="0.3">
      <c r="A870" s="590">
        <v>861</v>
      </c>
      <c r="B870" s="165"/>
      <c r="C870" s="561"/>
      <c r="D870" s="167" t="s">
        <v>487</v>
      </c>
      <c r="E870" s="164"/>
      <c r="F870" s="164"/>
      <c r="G870" s="1784"/>
      <c r="H870" s="605" t="s">
        <v>24</v>
      </c>
      <c r="I870" s="573"/>
      <c r="J870" s="168"/>
      <c r="K870" s="168"/>
      <c r="L870" s="168"/>
      <c r="M870" s="168"/>
      <c r="N870" s="169"/>
    </row>
    <row r="871" spans="1:16" s="8" customFormat="1" ht="18" hidden="1" customHeight="1" x14ac:dyDescent="0.3">
      <c r="A871" s="590">
        <v>862</v>
      </c>
      <c r="B871" s="165"/>
      <c r="C871" s="166"/>
      <c r="D871" s="167" t="s">
        <v>311</v>
      </c>
      <c r="E871" s="164"/>
      <c r="F871" s="164"/>
      <c r="G871" s="1784"/>
      <c r="H871" s="605"/>
      <c r="I871" s="573">
        <f>SUM(J871:N871)</f>
        <v>0</v>
      </c>
      <c r="J871" s="168"/>
      <c r="K871" s="168"/>
      <c r="L871" s="168"/>
      <c r="M871" s="168"/>
      <c r="N871" s="169"/>
    </row>
    <row r="872" spans="1:16" s="9" customFormat="1" ht="30" hidden="1" customHeight="1" x14ac:dyDescent="0.3">
      <c r="A872" s="590">
        <v>863</v>
      </c>
      <c r="B872" s="626"/>
      <c r="C872" s="561"/>
      <c r="D872" s="163" t="s">
        <v>540</v>
      </c>
      <c r="E872" s="196"/>
      <c r="F872" s="170"/>
      <c r="G872" s="1794"/>
      <c r="H872" s="607" t="s">
        <v>24</v>
      </c>
      <c r="I872" s="573"/>
      <c r="J872" s="628"/>
      <c r="K872" s="628"/>
      <c r="L872" s="195"/>
      <c r="M872" s="628"/>
      <c r="N872" s="629"/>
      <c r="P872" s="8"/>
    </row>
    <row r="873" spans="1:16" s="9" customFormat="1" ht="18" hidden="1" customHeight="1" x14ac:dyDescent="0.3">
      <c r="A873" s="590">
        <v>864</v>
      </c>
      <c r="B873" s="626"/>
      <c r="C873" s="166"/>
      <c r="D873" s="167" t="s">
        <v>311</v>
      </c>
      <c r="E873" s="196"/>
      <c r="F873" s="170"/>
      <c r="G873" s="1794"/>
      <c r="H873" s="607"/>
      <c r="I873" s="573">
        <f>SUM(J873:N873)</f>
        <v>0</v>
      </c>
      <c r="J873" s="628"/>
      <c r="K873" s="628"/>
      <c r="L873" s="195"/>
      <c r="M873" s="628"/>
      <c r="N873" s="629"/>
      <c r="P873" s="8"/>
    </row>
    <row r="874" spans="1:16" s="673" customFormat="1" ht="22.5" hidden="1" customHeight="1" x14ac:dyDescent="0.35">
      <c r="A874" s="590">
        <v>865</v>
      </c>
      <c r="B874" s="672"/>
      <c r="C874" s="162"/>
      <c r="D874" s="163" t="s">
        <v>563</v>
      </c>
      <c r="E874" s="196"/>
      <c r="F874" s="170"/>
      <c r="G874" s="1794"/>
      <c r="H874" s="607" t="s">
        <v>24</v>
      </c>
      <c r="I874" s="573"/>
      <c r="J874" s="628"/>
      <c r="K874" s="628"/>
      <c r="L874" s="195"/>
      <c r="M874" s="628"/>
      <c r="N874" s="629"/>
      <c r="P874" s="3"/>
    </row>
    <row r="875" spans="1:16" s="9" customFormat="1" ht="18" hidden="1" customHeight="1" x14ac:dyDescent="0.3">
      <c r="A875" s="590">
        <v>866</v>
      </c>
      <c r="B875" s="626"/>
      <c r="C875" s="166"/>
      <c r="D875" s="167" t="s">
        <v>311</v>
      </c>
      <c r="E875" s="196"/>
      <c r="F875" s="170"/>
      <c r="G875" s="1794"/>
      <c r="H875" s="627"/>
      <c r="I875" s="573">
        <f>SUM(J875:N875)</f>
        <v>0</v>
      </c>
      <c r="J875" s="628"/>
      <c r="K875" s="628"/>
      <c r="L875" s="195"/>
      <c r="M875" s="628"/>
      <c r="N875" s="629"/>
      <c r="P875" s="8"/>
    </row>
    <row r="876" spans="1:16" s="673" customFormat="1" ht="22.5" hidden="1" customHeight="1" x14ac:dyDescent="0.35">
      <c r="A876" s="590">
        <v>867</v>
      </c>
      <c r="B876" s="672"/>
      <c r="C876" s="162"/>
      <c r="D876" s="163" t="s">
        <v>392</v>
      </c>
      <c r="E876" s="196"/>
      <c r="F876" s="170"/>
      <c r="G876" s="1794"/>
      <c r="H876" s="607" t="s">
        <v>24</v>
      </c>
      <c r="I876" s="573"/>
      <c r="J876" s="628"/>
      <c r="K876" s="628"/>
      <c r="L876" s="195"/>
      <c r="M876" s="628"/>
      <c r="N876" s="629"/>
      <c r="P876" s="3"/>
    </row>
    <row r="877" spans="1:16" s="9" customFormat="1" ht="18" hidden="1" customHeight="1" x14ac:dyDescent="0.3">
      <c r="A877" s="590">
        <v>868</v>
      </c>
      <c r="B877" s="626"/>
      <c r="C877" s="166"/>
      <c r="D877" s="167" t="s">
        <v>311</v>
      </c>
      <c r="E877" s="196"/>
      <c r="F877" s="170"/>
      <c r="G877" s="1794"/>
      <c r="H877" s="627"/>
      <c r="I877" s="573">
        <f>SUM(J877:N877)</f>
        <v>0</v>
      </c>
      <c r="J877" s="628"/>
      <c r="K877" s="628"/>
      <c r="L877" s="195"/>
      <c r="M877" s="628"/>
      <c r="N877" s="629"/>
      <c r="P877" s="8"/>
    </row>
    <row r="878" spans="1:16" s="8" customFormat="1" ht="22.5" hidden="1" customHeight="1" x14ac:dyDescent="0.3">
      <c r="A878" s="590">
        <v>869</v>
      </c>
      <c r="B878" s="183"/>
      <c r="C878" s="162"/>
      <c r="D878" s="167" t="s">
        <v>614</v>
      </c>
      <c r="E878" s="196"/>
      <c r="F878" s="170"/>
      <c r="G878" s="1783"/>
      <c r="H878" s="607" t="s">
        <v>24</v>
      </c>
      <c r="I878" s="573"/>
      <c r="J878" s="195"/>
      <c r="K878" s="195"/>
      <c r="L878" s="195"/>
      <c r="M878" s="195"/>
      <c r="N878" s="201"/>
    </row>
    <row r="879" spans="1:16" s="8" customFormat="1" ht="18" hidden="1" customHeight="1" x14ac:dyDescent="0.3">
      <c r="A879" s="590">
        <v>870</v>
      </c>
      <c r="B879" s="183"/>
      <c r="C879" s="162"/>
      <c r="D879" s="167" t="s">
        <v>311</v>
      </c>
      <c r="E879" s="196"/>
      <c r="F879" s="170"/>
      <c r="G879" s="1783"/>
      <c r="H879" s="607"/>
      <c r="I879" s="573">
        <f>SUM(J879:N879)</f>
        <v>0</v>
      </c>
      <c r="J879" s="195"/>
      <c r="K879" s="195"/>
      <c r="L879" s="195"/>
      <c r="M879" s="195"/>
      <c r="N879" s="201"/>
    </row>
    <row r="880" spans="1:16" s="8" customFormat="1" ht="22.5" hidden="1" customHeight="1" x14ac:dyDescent="0.3">
      <c r="A880" s="590">
        <v>871</v>
      </c>
      <c r="B880" s="183"/>
      <c r="C880" s="162"/>
      <c r="D880" s="167" t="s">
        <v>615</v>
      </c>
      <c r="E880" s="196"/>
      <c r="F880" s="170"/>
      <c r="G880" s="1783"/>
      <c r="H880" s="607" t="s">
        <v>24</v>
      </c>
      <c r="I880" s="573"/>
      <c r="J880" s="195"/>
      <c r="K880" s="195"/>
      <c r="L880" s="195"/>
      <c r="M880" s="195"/>
      <c r="N880" s="201"/>
    </row>
    <row r="881" spans="1:16" s="8" customFormat="1" ht="18" hidden="1" customHeight="1" x14ac:dyDescent="0.3">
      <c r="A881" s="590">
        <v>872</v>
      </c>
      <c r="B881" s="183"/>
      <c r="C881" s="162"/>
      <c r="D881" s="167" t="s">
        <v>311</v>
      </c>
      <c r="E881" s="196"/>
      <c r="F881" s="170"/>
      <c r="G881" s="1783"/>
      <c r="H881" s="607"/>
      <c r="I881" s="573">
        <f>SUM(J881:N881)</f>
        <v>0</v>
      </c>
      <c r="J881" s="195"/>
      <c r="K881" s="195"/>
      <c r="L881" s="195"/>
      <c r="M881" s="195"/>
      <c r="N881" s="201"/>
    </row>
    <row r="882" spans="1:16" s="8" customFormat="1" ht="33.75" hidden="1" customHeight="1" x14ac:dyDescent="0.3">
      <c r="A882" s="590">
        <v>873</v>
      </c>
      <c r="B882" s="183"/>
      <c r="C882" s="162"/>
      <c r="D882" s="167" t="s">
        <v>617</v>
      </c>
      <c r="E882" s="196"/>
      <c r="F882" s="170"/>
      <c r="G882" s="1783"/>
      <c r="H882" s="607" t="s">
        <v>24</v>
      </c>
      <c r="I882" s="573"/>
      <c r="J882" s="195"/>
      <c r="K882" s="195"/>
      <c r="L882" s="195"/>
      <c r="M882" s="195"/>
      <c r="N882" s="201"/>
    </row>
    <row r="883" spans="1:16" s="8" customFormat="1" ht="18" hidden="1" customHeight="1" x14ac:dyDescent="0.3">
      <c r="A883" s="590">
        <v>874</v>
      </c>
      <c r="B883" s="183"/>
      <c r="C883" s="162"/>
      <c r="D883" s="167" t="s">
        <v>311</v>
      </c>
      <c r="E883" s="196"/>
      <c r="F883" s="170"/>
      <c r="G883" s="1783"/>
      <c r="H883" s="607"/>
      <c r="I883" s="573">
        <f>SUM(J883:N883)</f>
        <v>0</v>
      </c>
      <c r="J883" s="195"/>
      <c r="K883" s="195"/>
      <c r="L883" s="195"/>
      <c r="M883" s="195"/>
      <c r="N883" s="201"/>
    </row>
    <row r="884" spans="1:16" s="8" customFormat="1" ht="22.5" hidden="1" customHeight="1" x14ac:dyDescent="0.3">
      <c r="A884" s="590">
        <v>875</v>
      </c>
      <c r="B884" s="183"/>
      <c r="C884" s="162"/>
      <c r="D884" s="167" t="s">
        <v>616</v>
      </c>
      <c r="E884" s="196"/>
      <c r="F884" s="170"/>
      <c r="G884" s="1783"/>
      <c r="H884" s="607" t="s">
        <v>24</v>
      </c>
      <c r="I884" s="573"/>
      <c r="J884" s="195"/>
      <c r="K884" s="195"/>
      <c r="L884" s="195"/>
      <c r="M884" s="195"/>
      <c r="N884" s="201"/>
    </row>
    <row r="885" spans="1:16" s="8" customFormat="1" ht="18" hidden="1" customHeight="1" x14ac:dyDescent="0.3">
      <c r="A885" s="590">
        <v>876</v>
      </c>
      <c r="B885" s="183"/>
      <c r="C885" s="162"/>
      <c r="D885" s="167" t="s">
        <v>311</v>
      </c>
      <c r="E885" s="196"/>
      <c r="F885" s="170"/>
      <c r="G885" s="1783"/>
      <c r="H885" s="607"/>
      <c r="I885" s="573">
        <f>SUM(J885:N885)</f>
        <v>0</v>
      </c>
      <c r="J885" s="195"/>
      <c r="K885" s="195"/>
      <c r="L885" s="195"/>
      <c r="M885" s="195"/>
      <c r="N885" s="201"/>
    </row>
    <row r="886" spans="1:16" s="8" customFormat="1" ht="22.5" hidden="1" customHeight="1" x14ac:dyDescent="0.3">
      <c r="A886" s="590">
        <v>877</v>
      </c>
      <c r="B886" s="183"/>
      <c r="C886" s="162"/>
      <c r="D886" s="167" t="s">
        <v>609</v>
      </c>
      <c r="E886" s="196"/>
      <c r="F886" s="170"/>
      <c r="G886" s="1783"/>
      <c r="H886" s="607" t="s">
        <v>24</v>
      </c>
      <c r="I886" s="573"/>
      <c r="J886" s="195"/>
      <c r="K886" s="195"/>
      <c r="L886" s="195"/>
      <c r="M886" s="195"/>
      <c r="N886" s="201"/>
    </row>
    <row r="887" spans="1:16" s="8" customFormat="1" ht="18" hidden="1" customHeight="1" x14ac:dyDescent="0.3">
      <c r="A887" s="590">
        <v>878</v>
      </c>
      <c r="B887" s="183"/>
      <c r="C887" s="162"/>
      <c r="D887" s="167" t="s">
        <v>311</v>
      </c>
      <c r="E887" s="196"/>
      <c r="F887" s="170"/>
      <c r="G887" s="1783"/>
      <c r="H887" s="607"/>
      <c r="I887" s="573">
        <f>SUM(J887:N887)</f>
        <v>0</v>
      </c>
      <c r="J887" s="195"/>
      <c r="K887" s="195"/>
      <c r="L887" s="195"/>
      <c r="M887" s="195"/>
      <c r="N887" s="201"/>
    </row>
    <row r="888" spans="1:16" s="8" customFormat="1" ht="22.5" hidden="1" customHeight="1" x14ac:dyDescent="0.3">
      <c r="A888" s="590">
        <v>879</v>
      </c>
      <c r="B888" s="183"/>
      <c r="C888" s="162"/>
      <c r="D888" s="167" t="s">
        <v>608</v>
      </c>
      <c r="E888" s="196"/>
      <c r="F888" s="170"/>
      <c r="G888" s="1783"/>
      <c r="H888" s="607" t="s">
        <v>24</v>
      </c>
      <c r="I888" s="573"/>
      <c r="J888" s="195"/>
      <c r="K888" s="195"/>
      <c r="L888" s="195"/>
      <c r="M888" s="195"/>
      <c r="N888" s="201"/>
    </row>
    <row r="889" spans="1:16" s="8" customFormat="1" ht="18" hidden="1" customHeight="1" x14ac:dyDescent="0.3">
      <c r="A889" s="590">
        <v>880</v>
      </c>
      <c r="B889" s="183"/>
      <c r="C889" s="162"/>
      <c r="D889" s="167" t="s">
        <v>311</v>
      </c>
      <c r="E889" s="196"/>
      <c r="F889" s="170"/>
      <c r="G889" s="1783"/>
      <c r="H889" s="607"/>
      <c r="I889" s="573">
        <f>SUM(J889:N889)</f>
        <v>0</v>
      </c>
      <c r="J889" s="195"/>
      <c r="K889" s="195"/>
      <c r="L889" s="195"/>
      <c r="M889" s="195"/>
      <c r="N889" s="201"/>
    </row>
    <row r="890" spans="1:16" s="9" customFormat="1" ht="18" hidden="1" customHeight="1" x14ac:dyDescent="0.3">
      <c r="A890" s="590">
        <v>881</v>
      </c>
      <c r="B890" s="173"/>
      <c r="C890" s="162"/>
      <c r="D890" s="163" t="s">
        <v>523</v>
      </c>
      <c r="E890" s="164"/>
      <c r="F890" s="174"/>
      <c r="G890" s="1787"/>
      <c r="H890" s="605" t="s">
        <v>24</v>
      </c>
      <c r="I890" s="575"/>
      <c r="J890" s="185"/>
      <c r="K890" s="185"/>
      <c r="L890" s="185"/>
      <c r="M890" s="185"/>
      <c r="N890" s="186"/>
      <c r="P890" s="8"/>
    </row>
    <row r="891" spans="1:16" s="9" customFormat="1" ht="18" hidden="1" customHeight="1" x14ac:dyDescent="0.3">
      <c r="A891" s="590">
        <v>882</v>
      </c>
      <c r="B891" s="173"/>
      <c r="C891" s="162"/>
      <c r="D891" s="163" t="s">
        <v>565</v>
      </c>
      <c r="E891" s="164"/>
      <c r="F891" s="174"/>
      <c r="G891" s="1787"/>
      <c r="H891" s="605" t="s">
        <v>24</v>
      </c>
      <c r="I891" s="575"/>
      <c r="J891" s="185"/>
      <c r="K891" s="185"/>
      <c r="L891" s="185"/>
      <c r="M891" s="185"/>
      <c r="N891" s="186"/>
      <c r="P891" s="8"/>
    </row>
    <row r="892" spans="1:16" s="9" customFormat="1" ht="18" hidden="1" customHeight="1" x14ac:dyDescent="0.3">
      <c r="A892" s="590">
        <v>883</v>
      </c>
      <c r="B892" s="173"/>
      <c r="C892" s="162"/>
      <c r="D892" s="163" t="s">
        <v>488</v>
      </c>
      <c r="E892" s="164"/>
      <c r="F892" s="174"/>
      <c r="G892" s="1787"/>
      <c r="H892" s="605" t="s">
        <v>24</v>
      </c>
      <c r="I892" s="575"/>
      <c r="J892" s="185"/>
      <c r="K892" s="185"/>
      <c r="L892" s="185"/>
      <c r="M892" s="185"/>
      <c r="N892" s="186"/>
      <c r="P892" s="8"/>
    </row>
    <row r="893" spans="1:16" s="8" customFormat="1" ht="18" hidden="1" customHeight="1" x14ac:dyDescent="0.3">
      <c r="A893" s="590">
        <v>884</v>
      </c>
      <c r="B893" s="183"/>
      <c r="C893" s="162"/>
      <c r="D893" s="167" t="s">
        <v>566</v>
      </c>
      <c r="E893" s="196"/>
      <c r="F893" s="170"/>
      <c r="G893" s="1783"/>
      <c r="H893" s="605" t="s">
        <v>24</v>
      </c>
      <c r="I893" s="573"/>
      <c r="J893" s="195"/>
      <c r="K893" s="195"/>
      <c r="L893" s="195"/>
      <c r="M893" s="195"/>
      <c r="N893" s="201"/>
    </row>
    <row r="894" spans="1:16" s="8" customFormat="1" ht="17.25" hidden="1" customHeight="1" x14ac:dyDescent="0.3">
      <c r="A894" s="590">
        <v>885</v>
      </c>
      <c r="B894" s="183"/>
      <c r="C894" s="162"/>
      <c r="D894" s="167" t="s">
        <v>567</v>
      </c>
      <c r="E894" s="196"/>
      <c r="F894" s="170"/>
      <c r="G894" s="1783"/>
      <c r="H894" s="605" t="s">
        <v>24</v>
      </c>
      <c r="I894" s="573"/>
      <c r="J894" s="195"/>
      <c r="K894" s="195"/>
      <c r="L894" s="195"/>
      <c r="M894" s="195"/>
      <c r="N894" s="201"/>
    </row>
    <row r="895" spans="1:16" s="8" customFormat="1" ht="18" hidden="1" customHeight="1" x14ac:dyDescent="0.3">
      <c r="A895" s="590">
        <v>886</v>
      </c>
      <c r="B895" s="183"/>
      <c r="C895" s="162"/>
      <c r="D895" s="167" t="s">
        <v>568</v>
      </c>
      <c r="E895" s="196"/>
      <c r="F895" s="170"/>
      <c r="G895" s="1783"/>
      <c r="H895" s="605" t="s">
        <v>24</v>
      </c>
      <c r="I895" s="573"/>
      <c r="J895" s="195"/>
      <c r="K895" s="195"/>
      <c r="L895" s="195"/>
      <c r="M895" s="195"/>
      <c r="N895" s="201"/>
    </row>
    <row r="896" spans="1:16" s="3" customFormat="1" ht="18" hidden="1" customHeight="1" x14ac:dyDescent="0.3">
      <c r="A896" s="590">
        <v>887</v>
      </c>
      <c r="B896" s="182"/>
      <c r="C896" s="162"/>
      <c r="D896" s="167" t="s">
        <v>493</v>
      </c>
      <c r="E896" s="196"/>
      <c r="F896" s="196"/>
      <c r="G896" s="1783"/>
      <c r="H896" s="607" t="s">
        <v>24</v>
      </c>
      <c r="I896" s="573"/>
      <c r="J896" s="195"/>
      <c r="K896" s="195"/>
      <c r="L896" s="195"/>
      <c r="M896" s="195"/>
      <c r="N896" s="201"/>
      <c r="O896" s="8"/>
      <c r="P896" s="8"/>
    </row>
    <row r="897" spans="1:16" s="8" customFormat="1" ht="30" hidden="1" customHeight="1" x14ac:dyDescent="0.3">
      <c r="A897" s="590">
        <v>888</v>
      </c>
      <c r="B897" s="183"/>
      <c r="C897" s="561"/>
      <c r="D897" s="167" t="s">
        <v>536</v>
      </c>
      <c r="E897" s="196"/>
      <c r="F897" s="170"/>
      <c r="G897" s="1783"/>
      <c r="H897" s="605" t="s">
        <v>24</v>
      </c>
      <c r="I897" s="573"/>
      <c r="J897" s="195"/>
      <c r="K897" s="195"/>
      <c r="L897" s="195"/>
      <c r="M897" s="195"/>
      <c r="N897" s="201"/>
    </row>
    <row r="898" spans="1:16" s="8" customFormat="1" ht="18" hidden="1" customHeight="1" x14ac:dyDescent="0.3">
      <c r="A898" s="590">
        <v>889</v>
      </c>
      <c r="B898" s="183"/>
      <c r="C898" s="162"/>
      <c r="D898" s="167" t="s">
        <v>504</v>
      </c>
      <c r="E898" s="196"/>
      <c r="F898" s="170"/>
      <c r="G898" s="1783"/>
      <c r="H898" s="605" t="s">
        <v>24</v>
      </c>
      <c r="I898" s="573"/>
      <c r="J898" s="195"/>
      <c r="K898" s="195"/>
      <c r="L898" s="195"/>
      <c r="M898" s="195"/>
      <c r="N898" s="201"/>
    </row>
    <row r="899" spans="1:16" s="8" customFormat="1" ht="18" hidden="1" customHeight="1" x14ac:dyDescent="0.3">
      <c r="A899" s="590">
        <v>890</v>
      </c>
      <c r="B899" s="183"/>
      <c r="C899" s="162"/>
      <c r="D899" s="167" t="s">
        <v>569</v>
      </c>
      <c r="E899" s="196"/>
      <c r="F899" s="170"/>
      <c r="G899" s="1783"/>
      <c r="H899" s="605" t="s">
        <v>24</v>
      </c>
      <c r="I899" s="573"/>
      <c r="J899" s="195"/>
      <c r="K899" s="195"/>
      <c r="L899" s="195"/>
      <c r="M899" s="195"/>
      <c r="N899" s="201"/>
    </row>
    <row r="900" spans="1:16" s="8" customFormat="1" ht="18" hidden="1" customHeight="1" x14ac:dyDescent="0.3">
      <c r="A900" s="590">
        <v>891</v>
      </c>
      <c r="B900" s="183"/>
      <c r="C900" s="162"/>
      <c r="D900" s="167" t="s">
        <v>539</v>
      </c>
      <c r="E900" s="196"/>
      <c r="F900" s="170"/>
      <c r="G900" s="1783"/>
      <c r="H900" s="605" t="s">
        <v>24</v>
      </c>
      <c r="I900" s="573"/>
      <c r="J900" s="195"/>
      <c r="K900" s="195"/>
      <c r="L900" s="195"/>
      <c r="M900" s="195"/>
      <c r="N900" s="201"/>
    </row>
    <row r="901" spans="1:16" s="8" customFormat="1" ht="18" hidden="1" customHeight="1" x14ac:dyDescent="0.3">
      <c r="A901" s="590">
        <v>892</v>
      </c>
      <c r="B901" s="183"/>
      <c r="C901" s="162"/>
      <c r="D901" s="167" t="s">
        <v>570</v>
      </c>
      <c r="E901" s="196"/>
      <c r="F901" s="170"/>
      <c r="G901" s="1783"/>
      <c r="H901" s="605" t="s">
        <v>24</v>
      </c>
      <c r="I901" s="573"/>
      <c r="J901" s="195"/>
      <c r="K901" s="195"/>
      <c r="L901" s="195"/>
      <c r="M901" s="195"/>
      <c r="N901" s="201"/>
    </row>
    <row r="902" spans="1:16" s="8" customFormat="1" ht="18" hidden="1" customHeight="1" x14ac:dyDescent="0.3">
      <c r="A902" s="590">
        <v>893</v>
      </c>
      <c r="B902" s="183"/>
      <c r="C902" s="162"/>
      <c r="D902" s="167" t="s">
        <v>503</v>
      </c>
      <c r="E902" s="196"/>
      <c r="F902" s="170"/>
      <c r="G902" s="1783"/>
      <c r="H902" s="605" t="s">
        <v>24</v>
      </c>
      <c r="I902" s="573"/>
      <c r="J902" s="195"/>
      <c r="K902" s="195"/>
      <c r="L902" s="195"/>
      <c r="M902" s="195"/>
      <c r="N902" s="201"/>
    </row>
    <row r="903" spans="1:16" s="8" customFormat="1" ht="18" hidden="1" customHeight="1" x14ac:dyDescent="0.3">
      <c r="A903" s="590">
        <v>894</v>
      </c>
      <c r="B903" s="183"/>
      <c r="C903" s="162"/>
      <c r="D903" s="167" t="s">
        <v>535</v>
      </c>
      <c r="E903" s="196"/>
      <c r="F903" s="170"/>
      <c r="G903" s="1783"/>
      <c r="H903" s="605" t="s">
        <v>24</v>
      </c>
      <c r="I903" s="573"/>
      <c r="J903" s="195"/>
      <c r="K903" s="195"/>
      <c r="L903" s="195"/>
      <c r="M903" s="195"/>
      <c r="N903" s="201"/>
    </row>
    <row r="904" spans="1:16" s="8" customFormat="1" ht="18" hidden="1" customHeight="1" x14ac:dyDescent="0.3">
      <c r="A904" s="590">
        <v>895</v>
      </c>
      <c r="B904" s="183"/>
      <c r="C904" s="162"/>
      <c r="D904" s="167" t="s">
        <v>537</v>
      </c>
      <c r="E904" s="196"/>
      <c r="F904" s="170"/>
      <c r="G904" s="1783"/>
      <c r="H904" s="605" t="s">
        <v>24</v>
      </c>
      <c r="I904" s="573"/>
      <c r="J904" s="195"/>
      <c r="K904" s="195"/>
      <c r="L904" s="195"/>
      <c r="M904" s="195"/>
      <c r="N904" s="201"/>
    </row>
    <row r="905" spans="1:16" s="8" customFormat="1" ht="18" hidden="1" customHeight="1" x14ac:dyDescent="0.3">
      <c r="A905" s="590">
        <v>896</v>
      </c>
      <c r="B905" s="183"/>
      <c r="C905" s="162"/>
      <c r="D905" s="167" t="s">
        <v>458</v>
      </c>
      <c r="E905" s="196"/>
      <c r="F905" s="170"/>
      <c r="G905" s="1783"/>
      <c r="H905" s="605" t="s">
        <v>23</v>
      </c>
      <c r="I905" s="573"/>
      <c r="J905" s="195"/>
      <c r="K905" s="195"/>
      <c r="L905" s="195"/>
      <c r="M905" s="195"/>
      <c r="N905" s="201"/>
    </row>
    <row r="906" spans="1:16" s="184" customFormat="1" ht="18" hidden="1" customHeight="1" x14ac:dyDescent="0.3">
      <c r="A906" s="590">
        <v>897</v>
      </c>
      <c r="B906" s="183"/>
      <c r="C906" s="162"/>
      <c r="D906" s="167" t="s">
        <v>315</v>
      </c>
      <c r="E906" s="196"/>
      <c r="F906" s="170"/>
      <c r="G906" s="1783"/>
      <c r="H906" s="607" t="s">
        <v>24</v>
      </c>
      <c r="I906" s="573"/>
      <c r="J906" s="195"/>
      <c r="K906" s="195"/>
      <c r="L906" s="195"/>
      <c r="M906" s="195"/>
      <c r="N906" s="201"/>
      <c r="O906" s="157"/>
      <c r="P906" s="8"/>
    </row>
    <row r="907" spans="1:16" s="184" customFormat="1" ht="29.25" hidden="1" customHeight="1" x14ac:dyDescent="0.3">
      <c r="A907" s="590">
        <v>898</v>
      </c>
      <c r="B907" s="183"/>
      <c r="C907" s="561"/>
      <c r="D907" s="163" t="s">
        <v>459</v>
      </c>
      <c r="E907" s="196"/>
      <c r="F907" s="196"/>
      <c r="G907" s="1783"/>
      <c r="H907" s="607" t="s">
        <v>24</v>
      </c>
      <c r="I907" s="573"/>
      <c r="J907" s="195"/>
      <c r="K907" s="195"/>
      <c r="L907" s="195"/>
      <c r="M907" s="195"/>
      <c r="N907" s="201"/>
      <c r="O907" s="157"/>
      <c r="P907" s="8"/>
    </row>
    <row r="908" spans="1:16" s="184" customFormat="1" ht="29.25" hidden="1" customHeight="1" x14ac:dyDescent="0.3">
      <c r="A908" s="590">
        <v>899</v>
      </c>
      <c r="B908" s="183"/>
      <c r="C908" s="561"/>
      <c r="D908" s="163" t="s">
        <v>572</v>
      </c>
      <c r="E908" s="196"/>
      <c r="F908" s="196"/>
      <c r="G908" s="1783"/>
      <c r="H908" s="607" t="s">
        <v>24</v>
      </c>
      <c r="I908" s="573"/>
      <c r="J908" s="195"/>
      <c r="K908" s="195"/>
      <c r="L908" s="195"/>
      <c r="M908" s="195"/>
      <c r="N908" s="201"/>
      <c r="O908" s="157"/>
      <c r="P908" s="8"/>
    </row>
    <row r="909" spans="1:16" s="3" customFormat="1" ht="29.45" hidden="1" customHeight="1" x14ac:dyDescent="0.3">
      <c r="A909" s="590">
        <v>900</v>
      </c>
      <c r="B909" s="165"/>
      <c r="C909" s="561"/>
      <c r="D909" s="167" t="s">
        <v>460</v>
      </c>
      <c r="E909" s="164"/>
      <c r="F909" s="164"/>
      <c r="G909" s="1784"/>
      <c r="H909" s="607" t="s">
        <v>24</v>
      </c>
      <c r="I909" s="573"/>
      <c r="J909" s="195"/>
      <c r="K909" s="195"/>
      <c r="L909" s="195"/>
      <c r="M909" s="195"/>
      <c r="N909" s="201"/>
      <c r="O909" s="8"/>
      <c r="P909" s="8"/>
    </row>
    <row r="910" spans="1:16" s="3" customFormat="1" ht="18" hidden="1" customHeight="1" x14ac:dyDescent="0.3">
      <c r="A910" s="590">
        <v>901</v>
      </c>
      <c r="B910" s="182"/>
      <c r="C910" s="162"/>
      <c r="D910" s="167" t="s">
        <v>552</v>
      </c>
      <c r="E910" s="196"/>
      <c r="F910" s="196"/>
      <c r="G910" s="1783"/>
      <c r="H910" s="607" t="s">
        <v>24</v>
      </c>
      <c r="I910" s="573"/>
      <c r="J910" s="195"/>
      <c r="K910" s="195"/>
      <c r="L910" s="195"/>
      <c r="M910" s="195"/>
      <c r="N910" s="201"/>
      <c r="O910" s="8"/>
      <c r="P910" s="8"/>
    </row>
    <row r="911" spans="1:16" s="184" customFormat="1" ht="18" hidden="1" customHeight="1" x14ac:dyDescent="0.3">
      <c r="A911" s="590">
        <v>902</v>
      </c>
      <c r="B911" s="183"/>
      <c r="C911" s="162"/>
      <c r="D911" s="163" t="s">
        <v>394</v>
      </c>
      <c r="E911" s="196"/>
      <c r="F911" s="196"/>
      <c r="G911" s="1783"/>
      <c r="H911" s="607" t="s">
        <v>24</v>
      </c>
      <c r="I911" s="573"/>
      <c r="J911" s="195"/>
      <c r="K911" s="195"/>
      <c r="L911" s="195"/>
      <c r="M911" s="195"/>
      <c r="N911" s="201"/>
      <c r="P911" s="8"/>
    </row>
    <row r="912" spans="1:16" s="3" customFormat="1" ht="18" hidden="1" customHeight="1" x14ac:dyDescent="0.3">
      <c r="A912" s="590">
        <v>903</v>
      </c>
      <c r="B912" s="182"/>
      <c r="C912" s="162"/>
      <c r="D912" s="163" t="s">
        <v>395</v>
      </c>
      <c r="E912" s="196"/>
      <c r="F912" s="196"/>
      <c r="G912" s="1783"/>
      <c r="H912" s="607" t="s">
        <v>24</v>
      </c>
      <c r="I912" s="573"/>
      <c r="J912" s="195"/>
      <c r="K912" s="195"/>
      <c r="L912" s="195"/>
      <c r="M912" s="195"/>
      <c r="N912" s="201"/>
      <c r="O912" s="8"/>
      <c r="P912" s="8"/>
    </row>
    <row r="913" spans="1:16" s="8" customFormat="1" ht="18" hidden="1" customHeight="1" x14ac:dyDescent="0.3">
      <c r="A913" s="590">
        <v>904</v>
      </c>
      <c r="B913" s="165"/>
      <c r="C913" s="162"/>
      <c r="D913" s="167" t="s">
        <v>406</v>
      </c>
      <c r="E913" s="164"/>
      <c r="F913" s="164"/>
      <c r="G913" s="1784"/>
      <c r="H913" s="607" t="s">
        <v>24</v>
      </c>
      <c r="I913" s="573"/>
      <c r="J913" s="195"/>
      <c r="K913" s="195"/>
      <c r="L913" s="195"/>
      <c r="M913" s="195"/>
      <c r="N913" s="201"/>
    </row>
    <row r="914" spans="1:16" s="3" customFormat="1" ht="18" hidden="1" customHeight="1" x14ac:dyDescent="0.3">
      <c r="A914" s="590">
        <v>905</v>
      </c>
      <c r="B914" s="165"/>
      <c r="C914" s="162"/>
      <c r="D914" s="167" t="s">
        <v>405</v>
      </c>
      <c r="E914" s="164"/>
      <c r="F914" s="164"/>
      <c r="G914" s="1784"/>
      <c r="H914" s="607" t="s">
        <v>24</v>
      </c>
      <c r="I914" s="573"/>
      <c r="J914" s="195"/>
      <c r="K914" s="195"/>
      <c r="L914" s="195"/>
      <c r="M914" s="195"/>
      <c r="N914" s="201"/>
      <c r="O914" s="8"/>
      <c r="P914" s="8"/>
    </row>
    <row r="915" spans="1:16" s="3" customFormat="1" ht="18" hidden="1" customHeight="1" x14ac:dyDescent="0.3">
      <c r="A915" s="590">
        <v>906</v>
      </c>
      <c r="B915" s="165"/>
      <c r="C915" s="162"/>
      <c r="D915" s="167" t="s">
        <v>573</v>
      </c>
      <c r="E915" s="164"/>
      <c r="F915" s="164"/>
      <c r="G915" s="1784"/>
      <c r="H915" s="607" t="s">
        <v>24</v>
      </c>
      <c r="I915" s="573"/>
      <c r="J915" s="195"/>
      <c r="K915" s="195"/>
      <c r="L915" s="195"/>
      <c r="M915" s="195"/>
      <c r="N915" s="201"/>
      <c r="O915" s="8"/>
      <c r="P915" s="8"/>
    </row>
    <row r="916" spans="1:16" s="3" customFormat="1" ht="18" hidden="1" customHeight="1" x14ac:dyDescent="0.3">
      <c r="A916" s="590">
        <v>907</v>
      </c>
      <c r="B916" s="182"/>
      <c r="C916" s="162"/>
      <c r="D916" s="167" t="s">
        <v>494</v>
      </c>
      <c r="E916" s="196"/>
      <c r="F916" s="196"/>
      <c r="G916" s="1783"/>
      <c r="H916" s="607" t="s">
        <v>24</v>
      </c>
      <c r="I916" s="573"/>
      <c r="J916" s="195"/>
      <c r="K916" s="195"/>
      <c r="L916" s="195"/>
      <c r="M916" s="195"/>
      <c r="N916" s="201"/>
      <c r="O916" s="8"/>
      <c r="P916" s="8"/>
    </row>
    <row r="917" spans="1:16" s="3" customFormat="1" ht="29.45" hidden="1" customHeight="1" x14ac:dyDescent="0.3">
      <c r="A917" s="590">
        <v>908</v>
      </c>
      <c r="B917" s="182"/>
      <c r="C917" s="561"/>
      <c r="D917" s="167" t="s">
        <v>468</v>
      </c>
      <c r="E917" s="196"/>
      <c r="F917" s="196"/>
      <c r="G917" s="1783"/>
      <c r="H917" s="630" t="s">
        <v>24</v>
      </c>
      <c r="I917" s="573"/>
      <c r="J917" s="195"/>
      <c r="K917" s="195"/>
      <c r="L917" s="195"/>
      <c r="M917" s="195"/>
      <c r="N917" s="201"/>
      <c r="O917" s="8"/>
      <c r="P917" s="8"/>
    </row>
    <row r="918" spans="1:16" s="3" customFormat="1" ht="29.45" hidden="1" customHeight="1" x14ac:dyDescent="0.3">
      <c r="A918" s="590">
        <v>909</v>
      </c>
      <c r="B918" s="182"/>
      <c r="C918" s="561"/>
      <c r="D918" s="167" t="s">
        <v>574</v>
      </c>
      <c r="E918" s="196"/>
      <c r="F918" s="196"/>
      <c r="G918" s="1783"/>
      <c r="H918" s="630" t="s">
        <v>24</v>
      </c>
      <c r="I918" s="573"/>
      <c r="J918" s="195"/>
      <c r="K918" s="195"/>
      <c r="L918" s="195"/>
      <c r="M918" s="195"/>
      <c r="N918" s="201"/>
      <c r="O918" s="8"/>
      <c r="P918" s="8"/>
    </row>
    <row r="919" spans="1:16" s="3" customFormat="1" ht="18" hidden="1" customHeight="1" x14ac:dyDescent="0.3">
      <c r="A919" s="590">
        <v>910</v>
      </c>
      <c r="B919" s="182"/>
      <c r="C919" s="162"/>
      <c r="D919" s="167" t="s">
        <v>575</v>
      </c>
      <c r="E919" s="196"/>
      <c r="F919" s="196"/>
      <c r="G919" s="1783"/>
      <c r="H919" s="630" t="s">
        <v>24</v>
      </c>
      <c r="I919" s="573"/>
      <c r="J919" s="195"/>
      <c r="K919" s="195"/>
      <c r="L919" s="195"/>
      <c r="M919" s="195"/>
      <c r="N919" s="201"/>
      <c r="O919" s="8"/>
      <c r="P919" s="8"/>
    </row>
    <row r="920" spans="1:16" s="3" customFormat="1" ht="18" hidden="1" customHeight="1" x14ac:dyDescent="0.3">
      <c r="A920" s="590">
        <v>911</v>
      </c>
      <c r="B920" s="182"/>
      <c r="C920" s="162"/>
      <c r="D920" s="167" t="s">
        <v>576</v>
      </c>
      <c r="E920" s="196"/>
      <c r="F920" s="196"/>
      <c r="G920" s="1783"/>
      <c r="H920" s="630" t="s">
        <v>24</v>
      </c>
      <c r="I920" s="573"/>
      <c r="J920" s="195"/>
      <c r="K920" s="195"/>
      <c r="L920" s="195"/>
      <c r="M920" s="195"/>
      <c r="N920" s="201"/>
      <c r="O920" s="8"/>
      <c r="P920" s="8"/>
    </row>
    <row r="921" spans="1:16" s="3" customFormat="1" ht="18" hidden="1" customHeight="1" x14ac:dyDescent="0.3">
      <c r="A921" s="590">
        <v>912</v>
      </c>
      <c r="B921" s="182"/>
      <c r="C921" s="162"/>
      <c r="D921" s="167" t="s">
        <v>577</v>
      </c>
      <c r="E921" s="196"/>
      <c r="F921" s="196"/>
      <c r="G921" s="1783"/>
      <c r="H921" s="630" t="s">
        <v>24</v>
      </c>
      <c r="I921" s="573"/>
      <c r="J921" s="195"/>
      <c r="K921" s="195"/>
      <c r="L921" s="195"/>
      <c r="M921" s="195"/>
      <c r="N921" s="201"/>
      <c r="O921" s="8"/>
      <c r="P921" s="8"/>
    </row>
    <row r="922" spans="1:16" s="3" customFormat="1" ht="18" hidden="1" customHeight="1" x14ac:dyDescent="0.3">
      <c r="A922" s="590">
        <v>913</v>
      </c>
      <c r="B922" s="182"/>
      <c r="C922" s="162"/>
      <c r="D922" s="167" t="s">
        <v>495</v>
      </c>
      <c r="E922" s="196"/>
      <c r="F922" s="196"/>
      <c r="G922" s="1783"/>
      <c r="H922" s="607" t="s">
        <v>24</v>
      </c>
      <c r="I922" s="573"/>
      <c r="J922" s="195"/>
      <c r="K922" s="195"/>
      <c r="L922" s="195"/>
      <c r="M922" s="195"/>
      <c r="N922" s="201"/>
      <c r="O922" s="8"/>
      <c r="P922" s="8"/>
    </row>
    <row r="923" spans="1:16" s="3" customFormat="1" ht="18" hidden="1" customHeight="1" x14ac:dyDescent="0.3">
      <c r="A923" s="590">
        <v>914</v>
      </c>
      <c r="B923" s="182"/>
      <c r="C923" s="162"/>
      <c r="D923" s="167" t="s">
        <v>578</v>
      </c>
      <c r="E923" s="196"/>
      <c r="F923" s="196"/>
      <c r="G923" s="1783"/>
      <c r="H923" s="607" t="s">
        <v>24</v>
      </c>
      <c r="I923" s="573"/>
      <c r="J923" s="195"/>
      <c r="K923" s="195"/>
      <c r="L923" s="195"/>
      <c r="M923" s="195"/>
      <c r="N923" s="201"/>
      <c r="O923" s="8"/>
      <c r="P923" s="8"/>
    </row>
    <row r="924" spans="1:16" s="3" customFormat="1" ht="29.45" hidden="1" customHeight="1" x14ac:dyDescent="0.3">
      <c r="A924" s="590">
        <v>915</v>
      </c>
      <c r="B924" s="182"/>
      <c r="C924" s="561"/>
      <c r="D924" s="167" t="s">
        <v>509</v>
      </c>
      <c r="E924" s="196"/>
      <c r="F924" s="196"/>
      <c r="G924" s="1783"/>
      <c r="H924" s="630" t="s">
        <v>24</v>
      </c>
      <c r="I924" s="573"/>
      <c r="J924" s="195"/>
      <c r="K924" s="195"/>
      <c r="L924" s="195"/>
      <c r="M924" s="195"/>
      <c r="N924" s="201"/>
      <c r="O924" s="8"/>
      <c r="P924" s="8"/>
    </row>
    <row r="925" spans="1:16" s="3" customFormat="1" ht="18" hidden="1" customHeight="1" x14ac:dyDescent="0.3">
      <c r="A925" s="590">
        <v>916</v>
      </c>
      <c r="B925" s="182"/>
      <c r="C925" s="162"/>
      <c r="D925" s="167" t="s">
        <v>508</v>
      </c>
      <c r="E925" s="196"/>
      <c r="F925" s="196"/>
      <c r="G925" s="1783"/>
      <c r="H925" s="607" t="s">
        <v>24</v>
      </c>
      <c r="I925" s="573"/>
      <c r="J925" s="195"/>
      <c r="K925" s="195"/>
      <c r="L925" s="195"/>
      <c r="M925" s="195"/>
      <c r="N925" s="201"/>
      <c r="O925" s="8"/>
      <c r="P925" s="8"/>
    </row>
    <row r="926" spans="1:16" s="3" customFormat="1" ht="18" hidden="1" customHeight="1" x14ac:dyDescent="0.3">
      <c r="A926" s="590">
        <v>917</v>
      </c>
      <c r="B926" s="182"/>
      <c r="C926" s="162"/>
      <c r="D926" s="167" t="s">
        <v>511</v>
      </c>
      <c r="E926" s="196"/>
      <c r="F926" s="196"/>
      <c r="G926" s="1783"/>
      <c r="H926" s="607" t="s">
        <v>24</v>
      </c>
      <c r="I926" s="573"/>
      <c r="J926" s="195"/>
      <c r="K926" s="195"/>
      <c r="L926" s="195"/>
      <c r="M926" s="195"/>
      <c r="N926" s="201"/>
      <c r="O926" s="8"/>
      <c r="P926" s="8"/>
    </row>
    <row r="927" spans="1:16" s="3" customFormat="1" ht="18" hidden="1" customHeight="1" x14ac:dyDescent="0.3">
      <c r="A927" s="590">
        <v>918</v>
      </c>
      <c r="B927" s="182"/>
      <c r="C927" s="162"/>
      <c r="D927" s="167" t="s">
        <v>579</v>
      </c>
      <c r="E927" s="196"/>
      <c r="F927" s="196"/>
      <c r="G927" s="1783"/>
      <c r="H927" s="607" t="s">
        <v>24</v>
      </c>
      <c r="I927" s="573"/>
      <c r="J927" s="195"/>
      <c r="K927" s="195"/>
      <c r="L927" s="195"/>
      <c r="M927" s="195"/>
      <c r="N927" s="201"/>
      <c r="O927" s="8"/>
      <c r="P927" s="8"/>
    </row>
    <row r="928" spans="1:16" s="3" customFormat="1" ht="18" hidden="1" customHeight="1" x14ac:dyDescent="0.3">
      <c r="A928" s="590">
        <v>919</v>
      </c>
      <c r="B928" s="182"/>
      <c r="C928" s="162"/>
      <c r="D928" s="167" t="s">
        <v>580</v>
      </c>
      <c r="E928" s="196"/>
      <c r="F928" s="196"/>
      <c r="G928" s="1783"/>
      <c r="H928" s="607" t="s">
        <v>24</v>
      </c>
      <c r="I928" s="573"/>
      <c r="J928" s="195"/>
      <c r="K928" s="195"/>
      <c r="L928" s="195"/>
      <c r="M928" s="195"/>
      <c r="N928" s="201"/>
      <c r="O928" s="8"/>
      <c r="P928" s="8"/>
    </row>
    <row r="929" spans="1:16" s="3" customFormat="1" ht="18" hidden="1" customHeight="1" x14ac:dyDescent="0.3">
      <c r="A929" s="590">
        <v>920</v>
      </c>
      <c r="B929" s="182"/>
      <c r="C929" s="162"/>
      <c r="D929" s="167" t="s">
        <v>581</v>
      </c>
      <c r="E929" s="196"/>
      <c r="F929" s="196"/>
      <c r="G929" s="1783"/>
      <c r="H929" s="607" t="s">
        <v>24</v>
      </c>
      <c r="I929" s="573"/>
      <c r="J929" s="195"/>
      <c r="K929" s="195"/>
      <c r="L929" s="195"/>
      <c r="M929" s="195"/>
      <c r="N929" s="201"/>
      <c r="O929" s="8"/>
      <c r="P929" s="8"/>
    </row>
    <row r="930" spans="1:16" s="3" customFormat="1" ht="18" hidden="1" customHeight="1" x14ac:dyDescent="0.3">
      <c r="A930" s="590">
        <v>921</v>
      </c>
      <c r="B930" s="182"/>
      <c r="C930" s="162"/>
      <c r="D930" s="167" t="s">
        <v>582</v>
      </c>
      <c r="E930" s="196"/>
      <c r="F930" s="196"/>
      <c r="G930" s="1783"/>
      <c r="H930" s="607" t="s">
        <v>24</v>
      </c>
      <c r="I930" s="573"/>
      <c r="J930" s="195"/>
      <c r="K930" s="195"/>
      <c r="L930" s="195"/>
      <c r="M930" s="195"/>
      <c r="N930" s="201"/>
      <c r="O930" s="8"/>
      <c r="P930" s="8"/>
    </row>
    <row r="931" spans="1:16" s="3" customFormat="1" ht="18" hidden="1" customHeight="1" x14ac:dyDescent="0.3">
      <c r="A931" s="590">
        <v>922</v>
      </c>
      <c r="B931" s="182"/>
      <c r="C931" s="162"/>
      <c r="D931" s="167" t="s">
        <v>583</v>
      </c>
      <c r="E931" s="196"/>
      <c r="F931" s="196"/>
      <c r="G931" s="1783"/>
      <c r="H931" s="607" t="s">
        <v>24</v>
      </c>
      <c r="I931" s="573"/>
      <c r="J931" s="195"/>
      <c r="K931" s="195"/>
      <c r="L931" s="195"/>
      <c r="M931" s="195"/>
      <c r="N931" s="201"/>
      <c r="O931" s="8"/>
      <c r="P931" s="8"/>
    </row>
    <row r="932" spans="1:16" s="3" customFormat="1" ht="18" hidden="1" customHeight="1" x14ac:dyDescent="0.3">
      <c r="A932" s="590">
        <v>923</v>
      </c>
      <c r="B932" s="182"/>
      <c r="C932" s="162"/>
      <c r="D932" s="167" t="s">
        <v>584</v>
      </c>
      <c r="E932" s="196"/>
      <c r="F932" s="196"/>
      <c r="G932" s="1783"/>
      <c r="H932" s="607" t="s">
        <v>24</v>
      </c>
      <c r="I932" s="573"/>
      <c r="J932" s="195"/>
      <c r="K932" s="195"/>
      <c r="L932" s="195"/>
      <c r="M932" s="195"/>
      <c r="N932" s="201"/>
      <c r="O932" s="8"/>
      <c r="P932" s="8"/>
    </row>
    <row r="933" spans="1:16" s="3" customFormat="1" ht="29.45" hidden="1" customHeight="1" x14ac:dyDescent="0.3">
      <c r="A933" s="590">
        <v>924</v>
      </c>
      <c r="B933" s="182"/>
      <c r="C933" s="561"/>
      <c r="D933" s="167" t="s">
        <v>505</v>
      </c>
      <c r="E933" s="196"/>
      <c r="F933" s="196"/>
      <c r="G933" s="1783"/>
      <c r="H933" s="630" t="s">
        <v>24</v>
      </c>
      <c r="I933" s="573"/>
      <c r="J933" s="195"/>
      <c r="K933" s="195"/>
      <c r="L933" s="195"/>
      <c r="M933" s="195"/>
      <c r="N933" s="201"/>
      <c r="O933" s="8"/>
      <c r="P933" s="8"/>
    </row>
    <row r="934" spans="1:16" s="184" customFormat="1" ht="18" hidden="1" customHeight="1" x14ac:dyDescent="0.3">
      <c r="A934" s="590">
        <v>925</v>
      </c>
      <c r="B934" s="183"/>
      <c r="C934" s="162"/>
      <c r="D934" s="163" t="s">
        <v>119</v>
      </c>
      <c r="E934" s="196"/>
      <c r="F934" s="196"/>
      <c r="G934" s="1783"/>
      <c r="H934" s="607" t="s">
        <v>24</v>
      </c>
      <c r="I934" s="573"/>
      <c r="J934" s="195"/>
      <c r="K934" s="195"/>
      <c r="L934" s="195"/>
      <c r="M934" s="195"/>
      <c r="N934" s="201"/>
      <c r="O934" s="157"/>
      <c r="P934" s="8"/>
    </row>
    <row r="935" spans="1:16" s="184" customFormat="1" ht="18" hidden="1" customHeight="1" x14ac:dyDescent="0.3">
      <c r="A935" s="590">
        <v>926</v>
      </c>
      <c r="B935" s="183"/>
      <c r="C935" s="162"/>
      <c r="D935" s="167" t="s">
        <v>491</v>
      </c>
      <c r="E935" s="196"/>
      <c r="F935" s="196"/>
      <c r="G935" s="1783"/>
      <c r="H935" s="607" t="s">
        <v>24</v>
      </c>
      <c r="I935" s="573"/>
      <c r="J935" s="195"/>
      <c r="K935" s="195"/>
      <c r="L935" s="195"/>
      <c r="M935" s="195"/>
      <c r="N935" s="201"/>
      <c r="O935" s="157"/>
      <c r="P935" s="8"/>
    </row>
    <row r="936" spans="1:16" s="184" customFormat="1" ht="18" hidden="1" customHeight="1" x14ac:dyDescent="0.3">
      <c r="A936" s="590">
        <v>927</v>
      </c>
      <c r="B936" s="183"/>
      <c r="C936" s="162"/>
      <c r="D936" s="167" t="s">
        <v>592</v>
      </c>
      <c r="E936" s="196"/>
      <c r="F936" s="196"/>
      <c r="G936" s="1783"/>
      <c r="H936" s="607" t="s">
        <v>24</v>
      </c>
      <c r="I936" s="573"/>
      <c r="J936" s="195"/>
      <c r="K936" s="195"/>
      <c r="L936" s="195"/>
      <c r="M936" s="195"/>
      <c r="N936" s="201"/>
      <c r="O936" s="157"/>
      <c r="P936" s="8"/>
    </row>
    <row r="937" spans="1:16" s="184" customFormat="1" ht="18" hidden="1" customHeight="1" x14ac:dyDescent="0.3">
      <c r="A937" s="590">
        <v>928</v>
      </c>
      <c r="B937" s="183"/>
      <c r="C937" s="162"/>
      <c r="D937" s="167" t="s">
        <v>593</v>
      </c>
      <c r="E937" s="196"/>
      <c r="F937" s="196"/>
      <c r="G937" s="1783"/>
      <c r="H937" s="607" t="s">
        <v>24</v>
      </c>
      <c r="I937" s="573"/>
      <c r="J937" s="195"/>
      <c r="K937" s="195"/>
      <c r="L937" s="195"/>
      <c r="M937" s="195"/>
      <c r="N937" s="201"/>
      <c r="O937" s="157"/>
      <c r="P937" s="8"/>
    </row>
    <row r="938" spans="1:16" s="3" customFormat="1" ht="29.45" hidden="1" customHeight="1" x14ac:dyDescent="0.3">
      <c r="A938" s="590">
        <v>929</v>
      </c>
      <c r="B938" s="182"/>
      <c r="C938" s="561"/>
      <c r="D938" s="167" t="s">
        <v>596</v>
      </c>
      <c r="E938" s="196"/>
      <c r="F938" s="196"/>
      <c r="G938" s="1783"/>
      <c r="H938" s="630" t="s">
        <v>23</v>
      </c>
      <c r="I938" s="573"/>
      <c r="J938" s="195"/>
      <c r="K938" s="195"/>
      <c r="L938" s="195"/>
      <c r="M938" s="195"/>
      <c r="N938" s="201"/>
      <c r="O938" s="8"/>
      <c r="P938" s="8"/>
    </row>
    <row r="939" spans="1:16" s="8" customFormat="1" ht="22.5" hidden="1" customHeight="1" x14ac:dyDescent="0.3">
      <c r="A939" s="590">
        <v>930</v>
      </c>
      <c r="B939" s="165"/>
      <c r="C939" s="162"/>
      <c r="D939" s="181" t="s">
        <v>274</v>
      </c>
      <c r="E939" s="164"/>
      <c r="F939" s="164"/>
      <c r="G939" s="1784"/>
      <c r="H939" s="607"/>
      <c r="I939" s="573"/>
      <c r="J939" s="195"/>
      <c r="K939" s="195"/>
      <c r="L939" s="195"/>
      <c r="M939" s="195"/>
      <c r="N939" s="201"/>
    </row>
    <row r="940" spans="1:16" s="3" customFormat="1" ht="18" hidden="1" customHeight="1" x14ac:dyDescent="0.3">
      <c r="A940" s="590">
        <v>931</v>
      </c>
      <c r="B940" s="165"/>
      <c r="C940" s="162"/>
      <c r="D940" s="163" t="s">
        <v>585</v>
      </c>
      <c r="E940" s="164"/>
      <c r="F940" s="164"/>
      <c r="G940" s="1784"/>
      <c r="H940" s="605" t="s">
        <v>24</v>
      </c>
      <c r="I940" s="574"/>
      <c r="J940" s="171"/>
      <c r="K940" s="171"/>
      <c r="L940" s="171"/>
      <c r="M940" s="171"/>
      <c r="N940" s="172"/>
      <c r="O940" s="8"/>
      <c r="P940" s="8"/>
    </row>
    <row r="941" spans="1:16" s="3" customFormat="1" ht="18" hidden="1" customHeight="1" x14ac:dyDescent="0.3">
      <c r="A941" s="590">
        <v>932</v>
      </c>
      <c r="B941" s="165"/>
      <c r="C941" s="162"/>
      <c r="D941" s="163" t="s">
        <v>277</v>
      </c>
      <c r="E941" s="164"/>
      <c r="F941" s="164"/>
      <c r="G941" s="1784"/>
      <c r="H941" s="605" t="s">
        <v>24</v>
      </c>
      <c r="I941" s="574"/>
      <c r="J941" s="171"/>
      <c r="K941" s="171"/>
      <c r="L941" s="171"/>
      <c r="M941" s="171"/>
      <c r="N941" s="172"/>
      <c r="O941" s="8"/>
      <c r="P941" s="8"/>
    </row>
    <row r="942" spans="1:16" s="3" customFormat="1" ht="18" hidden="1" customHeight="1" x14ac:dyDescent="0.3">
      <c r="A942" s="590">
        <v>933</v>
      </c>
      <c r="B942" s="165"/>
      <c r="C942" s="162"/>
      <c r="D942" s="163" t="s">
        <v>586</v>
      </c>
      <c r="E942" s="164"/>
      <c r="F942" s="164"/>
      <c r="G942" s="1784"/>
      <c r="H942" s="605" t="s">
        <v>24</v>
      </c>
      <c r="I942" s="574"/>
      <c r="J942" s="171"/>
      <c r="K942" s="171"/>
      <c r="L942" s="171"/>
      <c r="M942" s="171"/>
      <c r="N942" s="172"/>
      <c r="O942" s="8"/>
      <c r="P942" s="8"/>
    </row>
    <row r="943" spans="1:16" s="3" customFormat="1" ht="18" hidden="1" customHeight="1" x14ac:dyDescent="0.3">
      <c r="A943" s="590">
        <v>934</v>
      </c>
      <c r="B943" s="165"/>
      <c r="C943" s="162"/>
      <c r="D943" s="163" t="s">
        <v>32</v>
      </c>
      <c r="E943" s="164"/>
      <c r="F943" s="164"/>
      <c r="G943" s="1784"/>
      <c r="H943" s="605" t="s">
        <v>24</v>
      </c>
      <c r="I943" s="574"/>
      <c r="J943" s="171"/>
      <c r="K943" s="171"/>
      <c r="L943" s="171"/>
      <c r="M943" s="171"/>
      <c r="N943" s="172"/>
      <c r="O943" s="8"/>
      <c r="P943" s="8"/>
    </row>
    <row r="944" spans="1:16" s="3" customFormat="1" ht="18" hidden="1" customHeight="1" x14ac:dyDescent="0.3">
      <c r="A944" s="590">
        <v>935</v>
      </c>
      <c r="B944" s="165"/>
      <c r="C944" s="162"/>
      <c r="D944" s="163" t="s">
        <v>498</v>
      </c>
      <c r="E944" s="164"/>
      <c r="F944" s="164"/>
      <c r="G944" s="1784"/>
      <c r="H944" s="605" t="s">
        <v>24</v>
      </c>
      <c r="I944" s="574"/>
      <c r="J944" s="171"/>
      <c r="K944" s="171"/>
      <c r="L944" s="171"/>
      <c r="M944" s="171"/>
      <c r="N944" s="172"/>
      <c r="O944" s="8"/>
      <c r="P944" s="8"/>
    </row>
    <row r="945" spans="1:16" s="3" customFormat="1" ht="18" hidden="1" customHeight="1" x14ac:dyDescent="0.3">
      <c r="A945" s="590">
        <v>936</v>
      </c>
      <c r="B945" s="165"/>
      <c r="C945" s="162"/>
      <c r="D945" s="163" t="s">
        <v>499</v>
      </c>
      <c r="E945" s="164"/>
      <c r="F945" s="164"/>
      <c r="G945" s="1784"/>
      <c r="H945" s="605" t="s">
        <v>24</v>
      </c>
      <c r="I945" s="574"/>
      <c r="J945" s="171"/>
      <c r="K945" s="171"/>
      <c r="L945" s="171"/>
      <c r="M945" s="171"/>
      <c r="N945" s="172"/>
      <c r="O945" s="8"/>
      <c r="P945" s="8"/>
    </row>
    <row r="946" spans="1:16" s="3" customFormat="1" ht="18" hidden="1" customHeight="1" x14ac:dyDescent="0.3">
      <c r="A946" s="590">
        <v>937</v>
      </c>
      <c r="B946" s="165"/>
      <c r="C946" s="162"/>
      <c r="D946" s="163" t="s">
        <v>500</v>
      </c>
      <c r="E946" s="164"/>
      <c r="F946" s="164"/>
      <c r="G946" s="1784"/>
      <c r="H946" s="605" t="s">
        <v>24</v>
      </c>
      <c r="I946" s="574"/>
      <c r="J946" s="171"/>
      <c r="K946" s="171"/>
      <c r="L946" s="171"/>
      <c r="M946" s="171"/>
      <c r="N946" s="172"/>
      <c r="O946" s="8"/>
      <c r="P946" s="8"/>
    </row>
    <row r="947" spans="1:16" s="3" customFormat="1" ht="18" hidden="1" customHeight="1" x14ac:dyDescent="0.3">
      <c r="A947" s="590">
        <v>938</v>
      </c>
      <c r="B947" s="165"/>
      <c r="C947" s="162"/>
      <c r="D947" s="163" t="s">
        <v>501</v>
      </c>
      <c r="E947" s="164"/>
      <c r="F947" s="164"/>
      <c r="G947" s="1784"/>
      <c r="H947" s="605" t="s">
        <v>24</v>
      </c>
      <c r="I947" s="574"/>
      <c r="J947" s="171"/>
      <c r="K947" s="171"/>
      <c r="L947" s="171"/>
      <c r="M947" s="171"/>
      <c r="N947" s="172"/>
      <c r="O947" s="8"/>
      <c r="P947" s="8"/>
    </row>
    <row r="948" spans="1:16" s="3" customFormat="1" ht="18" hidden="1" customHeight="1" x14ac:dyDescent="0.3">
      <c r="A948" s="590">
        <v>939</v>
      </c>
      <c r="B948" s="165"/>
      <c r="C948" s="162"/>
      <c r="D948" s="163" t="s">
        <v>719</v>
      </c>
      <c r="E948" s="164"/>
      <c r="F948" s="164"/>
      <c r="G948" s="1784"/>
      <c r="H948" s="605" t="s">
        <v>24</v>
      </c>
      <c r="I948" s="573"/>
      <c r="J948" s="171"/>
      <c r="K948" s="171"/>
      <c r="L948" s="171"/>
      <c r="M948" s="171"/>
      <c r="N948" s="172"/>
      <c r="O948" s="8"/>
      <c r="P948" s="8"/>
    </row>
    <row r="949" spans="1:16" s="3" customFormat="1" ht="18" hidden="1" customHeight="1" x14ac:dyDescent="0.3">
      <c r="A949" s="590">
        <v>940</v>
      </c>
      <c r="B949" s="165"/>
      <c r="C949" s="162"/>
      <c r="D949" s="163" t="s">
        <v>720</v>
      </c>
      <c r="E949" s="164"/>
      <c r="F949" s="164"/>
      <c r="G949" s="1784"/>
      <c r="H949" s="605" t="s">
        <v>24</v>
      </c>
      <c r="I949" s="574"/>
      <c r="J949" s="171"/>
      <c r="K949" s="171"/>
      <c r="L949" s="171"/>
      <c r="M949" s="171"/>
      <c r="N949" s="172"/>
      <c r="O949" s="8"/>
      <c r="P949" s="8"/>
    </row>
    <row r="950" spans="1:16" s="3" customFormat="1" ht="18" hidden="1" customHeight="1" x14ac:dyDescent="0.3">
      <c r="A950" s="590">
        <v>941</v>
      </c>
      <c r="B950" s="165"/>
      <c r="C950" s="162"/>
      <c r="D950" s="163" t="s">
        <v>587</v>
      </c>
      <c r="E950" s="164"/>
      <c r="F950" s="164"/>
      <c r="G950" s="1784"/>
      <c r="H950" s="605" t="s">
        <v>24</v>
      </c>
      <c r="I950" s="574"/>
      <c r="J950" s="171"/>
      <c r="K950" s="171"/>
      <c r="L950" s="171"/>
      <c r="M950" s="171"/>
      <c r="N950" s="172"/>
      <c r="O950" s="8"/>
      <c r="P950" s="8"/>
    </row>
    <row r="951" spans="1:16" s="3" customFormat="1" ht="22.5" hidden="1" customHeight="1" x14ac:dyDescent="0.3">
      <c r="A951" s="590">
        <v>942</v>
      </c>
      <c r="B951" s="165"/>
      <c r="C951" s="162"/>
      <c r="D951" s="181" t="s">
        <v>279</v>
      </c>
      <c r="E951" s="164"/>
      <c r="F951" s="164"/>
      <c r="G951" s="1784"/>
      <c r="H951" s="605"/>
      <c r="I951" s="574"/>
      <c r="J951" s="171"/>
      <c r="K951" s="171"/>
      <c r="L951" s="171"/>
      <c r="M951" s="171"/>
      <c r="N951" s="172"/>
      <c r="O951" s="8"/>
      <c r="P951" s="8"/>
    </row>
    <row r="952" spans="1:16" s="3" customFormat="1" ht="18" hidden="1" customHeight="1" x14ac:dyDescent="0.3">
      <c r="A952" s="590">
        <v>943</v>
      </c>
      <c r="B952" s="165"/>
      <c r="C952" s="162"/>
      <c r="D952" s="163" t="s">
        <v>589</v>
      </c>
      <c r="E952" s="164"/>
      <c r="F952" s="164"/>
      <c r="G952" s="1784"/>
      <c r="H952" s="605" t="s">
        <v>24</v>
      </c>
      <c r="I952" s="574"/>
      <c r="J952" s="171"/>
      <c r="K952" s="171"/>
      <c r="L952" s="171"/>
      <c r="M952" s="171"/>
      <c r="N952" s="172"/>
      <c r="O952" s="8"/>
      <c r="P952" s="8"/>
    </row>
    <row r="953" spans="1:16" s="3" customFormat="1" ht="18" hidden="1" customHeight="1" x14ac:dyDescent="0.3">
      <c r="A953" s="590">
        <v>944</v>
      </c>
      <c r="B953" s="165"/>
      <c r="C953" s="162"/>
      <c r="D953" s="163" t="s">
        <v>291</v>
      </c>
      <c r="E953" s="164"/>
      <c r="F953" s="164"/>
      <c r="G953" s="1784"/>
      <c r="H953" s="605" t="s">
        <v>24</v>
      </c>
      <c r="I953" s="574"/>
      <c r="J953" s="171"/>
      <c r="K953" s="171"/>
      <c r="L953" s="171"/>
      <c r="M953" s="171"/>
      <c r="N953" s="172"/>
      <c r="O953" s="8"/>
      <c r="P953" s="8"/>
    </row>
    <row r="954" spans="1:16" s="3" customFormat="1" ht="18" hidden="1" customHeight="1" x14ac:dyDescent="0.3">
      <c r="A954" s="590">
        <v>945</v>
      </c>
      <c r="B954" s="165"/>
      <c r="C954" s="162"/>
      <c r="D954" s="163" t="s">
        <v>316</v>
      </c>
      <c r="E954" s="164"/>
      <c r="F954" s="164"/>
      <c r="G954" s="1784"/>
      <c r="H954" s="605" t="s">
        <v>24</v>
      </c>
      <c r="I954" s="574"/>
      <c r="J954" s="171"/>
      <c r="K954" s="171"/>
      <c r="L954" s="171"/>
      <c r="M954" s="171"/>
      <c r="N954" s="172"/>
      <c r="O954" s="8"/>
      <c r="P954" s="8"/>
    </row>
    <row r="955" spans="1:16" s="3" customFormat="1" ht="18" hidden="1" customHeight="1" x14ac:dyDescent="0.3">
      <c r="A955" s="590">
        <v>946</v>
      </c>
      <c r="B955" s="165"/>
      <c r="C955" s="162"/>
      <c r="D955" s="163" t="s">
        <v>590</v>
      </c>
      <c r="E955" s="164"/>
      <c r="F955" s="164"/>
      <c r="G955" s="1784"/>
      <c r="H955" s="605" t="s">
        <v>24</v>
      </c>
      <c r="I955" s="574"/>
      <c r="J955" s="171"/>
      <c r="K955" s="171"/>
      <c r="L955" s="171"/>
      <c r="M955" s="171"/>
      <c r="N955" s="172"/>
      <c r="O955" s="8"/>
      <c r="P955" s="8"/>
    </row>
    <row r="956" spans="1:16" s="3" customFormat="1" ht="18" hidden="1" customHeight="1" x14ac:dyDescent="0.3">
      <c r="A956" s="590">
        <v>947</v>
      </c>
      <c r="B956" s="165"/>
      <c r="C956" s="162"/>
      <c r="D956" s="163" t="s">
        <v>591</v>
      </c>
      <c r="E956" s="164"/>
      <c r="F956" s="164"/>
      <c r="G956" s="1784"/>
      <c r="H956" s="605" t="s">
        <v>24</v>
      </c>
      <c r="I956" s="574"/>
      <c r="J956" s="171"/>
      <c r="K956" s="171"/>
      <c r="L956" s="171"/>
      <c r="M956" s="171"/>
      <c r="N956" s="172"/>
      <c r="O956" s="8"/>
      <c r="P956" s="8"/>
    </row>
    <row r="957" spans="1:16" s="8" customFormat="1" ht="19.5" hidden="1" customHeight="1" x14ac:dyDescent="0.3">
      <c r="A957" s="590">
        <v>948</v>
      </c>
      <c r="B957" s="446"/>
      <c r="C957" s="162"/>
      <c r="D957" s="447"/>
      <c r="E957" s="684"/>
      <c r="F957" s="684"/>
      <c r="G957" s="1825"/>
      <c r="H957" s="605" t="s">
        <v>24</v>
      </c>
      <c r="I957" s="448"/>
      <c r="J957" s="449"/>
      <c r="K957" s="449"/>
      <c r="L957" s="449"/>
      <c r="M957" s="449"/>
      <c r="N957" s="531"/>
    </row>
    <row r="958" spans="1:16" s="8" customFormat="1" ht="20.100000000000001" hidden="1" customHeight="1" x14ac:dyDescent="0.3">
      <c r="A958" s="590">
        <v>949</v>
      </c>
      <c r="B958" s="182"/>
      <c r="C958" s="162"/>
      <c r="D958" s="562" t="s">
        <v>461</v>
      </c>
      <c r="E958" s="196"/>
      <c r="F958" s="196"/>
      <c r="G958" s="1783"/>
      <c r="H958" s="605" t="s">
        <v>24</v>
      </c>
      <c r="I958" s="589"/>
      <c r="J958" s="631"/>
      <c r="K958" s="631"/>
      <c r="L958" s="631"/>
      <c r="M958" s="631"/>
      <c r="N958" s="635"/>
    </row>
    <row r="959" spans="1:16" s="8" customFormat="1" ht="19.5" hidden="1" customHeight="1" x14ac:dyDescent="0.3">
      <c r="A959" s="590">
        <v>950</v>
      </c>
      <c r="B959" s="165"/>
      <c r="C959" s="162"/>
      <c r="D959" s="163" t="s">
        <v>489</v>
      </c>
      <c r="E959" s="164"/>
      <c r="F959" s="164"/>
      <c r="G959" s="1784"/>
      <c r="H959" s="605" t="s">
        <v>24</v>
      </c>
      <c r="I959" s="632"/>
      <c r="J959" s="171"/>
      <c r="K959" s="171"/>
      <c r="L959" s="171"/>
      <c r="M959" s="171"/>
      <c r="N959" s="172"/>
    </row>
    <row r="960" spans="1:16" s="8" customFormat="1" ht="19.5" hidden="1" customHeight="1" x14ac:dyDescent="0.3">
      <c r="A960" s="590">
        <v>951</v>
      </c>
      <c r="B960" s="165"/>
      <c r="C960" s="162"/>
      <c r="D960" s="163" t="s">
        <v>490</v>
      </c>
      <c r="E960" s="164"/>
      <c r="F960" s="164"/>
      <c r="G960" s="1784"/>
      <c r="H960" s="605" t="s">
        <v>24</v>
      </c>
      <c r="I960" s="632"/>
      <c r="J960" s="171"/>
      <c r="K960" s="171"/>
      <c r="L960" s="171"/>
      <c r="M960" s="171"/>
      <c r="N960" s="172"/>
    </row>
    <row r="961" spans="1:14" s="8" customFormat="1" ht="19.5" hidden="1" customHeight="1" x14ac:dyDescent="0.3">
      <c r="A961" s="590">
        <v>952</v>
      </c>
      <c r="B961" s="165"/>
      <c r="C961" s="162"/>
      <c r="D961" s="163" t="s">
        <v>492</v>
      </c>
      <c r="E961" s="164"/>
      <c r="F961" s="164"/>
      <c r="G961" s="1784"/>
      <c r="H961" s="605" t="s">
        <v>24</v>
      </c>
      <c r="I961" s="632"/>
      <c r="J961" s="171"/>
      <c r="K961" s="171"/>
      <c r="L961" s="171"/>
      <c r="M961" s="171"/>
      <c r="N961" s="172"/>
    </row>
    <row r="962" spans="1:14" s="8" customFormat="1" ht="19.5" hidden="1" customHeight="1" x14ac:dyDescent="0.3">
      <c r="A962" s="590">
        <v>953</v>
      </c>
      <c r="B962" s="165"/>
      <c r="C962" s="162"/>
      <c r="D962" s="163" t="s">
        <v>396</v>
      </c>
      <c r="E962" s="164"/>
      <c r="F962" s="164"/>
      <c r="G962" s="1784"/>
      <c r="H962" s="605" t="s">
        <v>24</v>
      </c>
      <c r="I962" s="632"/>
      <c r="J962" s="171"/>
      <c r="K962" s="171"/>
      <c r="L962" s="171"/>
      <c r="M962" s="171"/>
      <c r="N962" s="172"/>
    </row>
    <row r="963" spans="1:14" s="8" customFormat="1" ht="19.5" hidden="1" customHeight="1" x14ac:dyDescent="0.3">
      <c r="A963" s="590">
        <v>954</v>
      </c>
      <c r="B963" s="165"/>
      <c r="C963" s="162"/>
      <c r="D963" s="163" t="s">
        <v>304</v>
      </c>
      <c r="E963" s="164"/>
      <c r="F963" s="164"/>
      <c r="G963" s="1784"/>
      <c r="H963" s="605" t="s">
        <v>24</v>
      </c>
      <c r="I963" s="632"/>
      <c r="J963" s="171"/>
      <c r="K963" s="171"/>
      <c r="L963" s="171"/>
      <c r="M963" s="171"/>
      <c r="N963" s="172"/>
    </row>
    <row r="964" spans="1:14" s="8" customFormat="1" ht="29.45" hidden="1" customHeight="1" x14ac:dyDescent="0.3">
      <c r="A964" s="590">
        <v>955</v>
      </c>
      <c r="B964" s="165"/>
      <c r="C964" s="561"/>
      <c r="D964" s="163" t="s">
        <v>407</v>
      </c>
      <c r="E964" s="164"/>
      <c r="F964" s="164"/>
      <c r="G964" s="1784"/>
      <c r="H964" s="605" t="s">
        <v>24</v>
      </c>
      <c r="I964" s="632"/>
      <c r="J964" s="171"/>
      <c r="K964" s="171"/>
      <c r="L964" s="171"/>
      <c r="M964" s="171"/>
      <c r="N964" s="172"/>
    </row>
    <row r="965" spans="1:14" s="8" customFormat="1" ht="29.45" hidden="1" customHeight="1" x14ac:dyDescent="0.3">
      <c r="A965" s="590">
        <v>956</v>
      </c>
      <c r="B965" s="165"/>
      <c r="C965" s="561"/>
      <c r="D965" s="163" t="s">
        <v>496</v>
      </c>
      <c r="E965" s="164"/>
      <c r="F965" s="164"/>
      <c r="G965" s="1784"/>
      <c r="H965" s="605" t="s">
        <v>24</v>
      </c>
      <c r="I965" s="632"/>
      <c r="J965" s="171"/>
      <c r="K965" s="171"/>
      <c r="L965" s="171"/>
      <c r="M965" s="171"/>
      <c r="N965" s="172"/>
    </row>
    <row r="966" spans="1:14" s="8" customFormat="1" ht="19.5" hidden="1" customHeight="1" x14ac:dyDescent="0.3">
      <c r="A966" s="590">
        <v>957</v>
      </c>
      <c r="B966" s="165"/>
      <c r="C966" s="162"/>
      <c r="D966" s="163" t="s">
        <v>276</v>
      </c>
      <c r="E966" s="164"/>
      <c r="F966" s="164"/>
      <c r="G966" s="1784"/>
      <c r="H966" s="605" t="s">
        <v>24</v>
      </c>
      <c r="I966" s="632"/>
      <c r="J966" s="171"/>
      <c r="K966" s="171"/>
      <c r="L966" s="171"/>
      <c r="M966" s="171"/>
      <c r="N966" s="172"/>
    </row>
    <row r="967" spans="1:14" s="8" customFormat="1" ht="19.5" hidden="1" customHeight="1" x14ac:dyDescent="0.3">
      <c r="A967" s="590">
        <v>958</v>
      </c>
      <c r="B967" s="165"/>
      <c r="C967" s="162"/>
      <c r="D967" s="163" t="s">
        <v>278</v>
      </c>
      <c r="E967" s="164"/>
      <c r="F967" s="164"/>
      <c r="G967" s="1784"/>
      <c r="H967" s="605" t="s">
        <v>24</v>
      </c>
      <c r="I967" s="632"/>
      <c r="J967" s="171"/>
      <c r="K967" s="171"/>
      <c r="L967" s="171"/>
      <c r="M967" s="171"/>
      <c r="N967" s="172"/>
    </row>
    <row r="968" spans="1:14" s="8" customFormat="1" ht="19.5" hidden="1" customHeight="1" x14ac:dyDescent="0.3">
      <c r="A968" s="590">
        <v>959</v>
      </c>
      <c r="B968" s="165"/>
      <c r="C968" s="162"/>
      <c r="D968" s="163" t="s">
        <v>594</v>
      </c>
      <c r="E968" s="164"/>
      <c r="F968" s="164"/>
      <c r="G968" s="1784"/>
      <c r="H968" s="605" t="s">
        <v>24</v>
      </c>
      <c r="I968" s="632"/>
      <c r="J968" s="171"/>
      <c r="K968" s="171"/>
      <c r="L968" s="171"/>
      <c r="M968" s="171"/>
      <c r="N968" s="172"/>
    </row>
    <row r="969" spans="1:14" s="8" customFormat="1" ht="19.5" hidden="1" customHeight="1" x14ac:dyDescent="0.3">
      <c r="A969" s="590">
        <v>960</v>
      </c>
      <c r="B969" s="165"/>
      <c r="C969" s="162"/>
      <c r="D969" s="163" t="s">
        <v>303</v>
      </c>
      <c r="E969" s="164"/>
      <c r="F969" s="164"/>
      <c r="G969" s="1784"/>
      <c r="H969" s="605" t="s">
        <v>24</v>
      </c>
      <c r="I969" s="632"/>
      <c r="J969" s="171"/>
      <c r="K969" s="171"/>
      <c r="L969" s="171"/>
      <c r="M969" s="171"/>
      <c r="N969" s="172"/>
    </row>
    <row r="970" spans="1:14" s="8" customFormat="1" ht="19.5" hidden="1" customHeight="1" x14ac:dyDescent="0.3">
      <c r="A970" s="590">
        <v>961</v>
      </c>
      <c r="B970" s="165"/>
      <c r="C970" s="162"/>
      <c r="D970" s="163" t="s">
        <v>432</v>
      </c>
      <c r="E970" s="164"/>
      <c r="F970" s="164"/>
      <c r="G970" s="1784"/>
      <c r="H970" s="605" t="s">
        <v>24</v>
      </c>
      <c r="I970" s="632"/>
      <c r="J970" s="171"/>
      <c r="K970" s="171"/>
      <c r="L970" s="171"/>
      <c r="M970" s="171"/>
      <c r="N970" s="172"/>
    </row>
    <row r="971" spans="1:14" s="8" customFormat="1" ht="19.5" hidden="1" customHeight="1" x14ac:dyDescent="0.3">
      <c r="A971" s="590">
        <v>962</v>
      </c>
      <c r="B971" s="165"/>
      <c r="C971" s="162"/>
      <c r="D971" s="163" t="s">
        <v>33</v>
      </c>
      <c r="E971" s="164"/>
      <c r="F971" s="164"/>
      <c r="G971" s="1784"/>
      <c r="H971" s="605" t="s">
        <v>24</v>
      </c>
      <c r="I971" s="632"/>
      <c r="J971" s="171"/>
      <c r="K971" s="171"/>
      <c r="L971" s="171"/>
      <c r="M971" s="171"/>
      <c r="N971" s="172"/>
    </row>
    <row r="972" spans="1:14" s="8" customFormat="1" ht="19.5" hidden="1" customHeight="1" x14ac:dyDescent="0.3">
      <c r="A972" s="590">
        <v>963</v>
      </c>
      <c r="B972" s="165"/>
      <c r="C972" s="162"/>
      <c r="D972" s="163" t="s">
        <v>497</v>
      </c>
      <c r="E972" s="164"/>
      <c r="F972" s="164"/>
      <c r="G972" s="1784"/>
      <c r="H972" s="605" t="s">
        <v>24</v>
      </c>
      <c r="I972" s="632"/>
      <c r="J972" s="171"/>
      <c r="K972" s="171"/>
      <c r="L972" s="171"/>
      <c r="M972" s="171"/>
      <c r="N972" s="172"/>
    </row>
    <row r="973" spans="1:14" s="8" customFormat="1" ht="19.5" hidden="1" customHeight="1" x14ac:dyDescent="0.3">
      <c r="A973" s="590">
        <v>964</v>
      </c>
      <c r="B973" s="165"/>
      <c r="C973" s="162"/>
      <c r="D973" s="163" t="s">
        <v>434</v>
      </c>
      <c r="E973" s="164"/>
      <c r="F973" s="164"/>
      <c r="G973" s="1784"/>
      <c r="H973" s="605" t="s">
        <v>24</v>
      </c>
      <c r="I973" s="632"/>
      <c r="J973" s="171"/>
      <c r="K973" s="171"/>
      <c r="L973" s="171"/>
      <c r="M973" s="171"/>
      <c r="N973" s="172"/>
    </row>
    <row r="974" spans="1:14" s="8" customFormat="1" ht="19.5" hidden="1" customHeight="1" x14ac:dyDescent="0.3">
      <c r="A974" s="590">
        <v>965</v>
      </c>
      <c r="B974" s="165"/>
      <c r="C974" s="162"/>
      <c r="D974" s="163" t="s">
        <v>433</v>
      </c>
      <c r="E974" s="164"/>
      <c r="F974" s="164"/>
      <c r="G974" s="1784"/>
      <c r="H974" s="605" t="s">
        <v>24</v>
      </c>
      <c r="I974" s="632"/>
      <c r="J974" s="171"/>
      <c r="K974" s="171"/>
      <c r="L974" s="171"/>
      <c r="M974" s="171"/>
      <c r="N974" s="172"/>
    </row>
    <row r="975" spans="1:14" s="8" customFormat="1" ht="19.5" hidden="1" customHeight="1" x14ac:dyDescent="0.3">
      <c r="A975" s="590">
        <v>966</v>
      </c>
      <c r="B975" s="165"/>
      <c r="C975" s="162"/>
      <c r="D975" s="163" t="s">
        <v>435</v>
      </c>
      <c r="E975" s="164"/>
      <c r="F975" s="164"/>
      <c r="G975" s="1784"/>
      <c r="H975" s="605" t="s">
        <v>24</v>
      </c>
      <c r="I975" s="632"/>
      <c r="J975" s="171"/>
      <c r="K975" s="171"/>
      <c r="L975" s="171"/>
      <c r="M975" s="171"/>
      <c r="N975" s="172"/>
    </row>
    <row r="976" spans="1:14" s="8" customFormat="1" ht="29.45" hidden="1" customHeight="1" x14ac:dyDescent="0.3">
      <c r="A976" s="590">
        <v>967</v>
      </c>
      <c r="B976" s="165"/>
      <c r="C976" s="561"/>
      <c r="D976" s="163" t="s">
        <v>502</v>
      </c>
      <c r="E976" s="164"/>
      <c r="F976" s="164"/>
      <c r="G976" s="1784"/>
      <c r="H976" s="633" t="s">
        <v>24</v>
      </c>
      <c r="I976" s="632"/>
      <c r="J976" s="171"/>
      <c r="K976" s="171"/>
      <c r="L976" s="171"/>
      <c r="M976" s="171"/>
      <c r="N976" s="172"/>
    </row>
    <row r="977" spans="1:16" s="8" customFormat="1" ht="19.5" hidden="1" customHeight="1" x14ac:dyDescent="0.3">
      <c r="A977" s="590">
        <v>968</v>
      </c>
      <c r="B977" s="165"/>
      <c r="C977" s="162"/>
      <c r="D977" s="163" t="s">
        <v>590</v>
      </c>
      <c r="E977" s="164"/>
      <c r="F977" s="164"/>
      <c r="G977" s="1784"/>
      <c r="H977" s="605" t="s">
        <v>24</v>
      </c>
      <c r="I977" s="632"/>
      <c r="J977" s="171"/>
      <c r="K977" s="171"/>
      <c r="L977" s="171"/>
      <c r="M977" s="171"/>
      <c r="N977" s="172"/>
    </row>
    <row r="978" spans="1:16" s="8" customFormat="1" ht="19.5" hidden="1" customHeight="1" thickBot="1" x14ac:dyDescent="0.35">
      <c r="A978" s="590">
        <v>969</v>
      </c>
      <c r="B978" s="1352"/>
      <c r="C978" s="1353"/>
      <c r="D978" s="2032" t="s">
        <v>595</v>
      </c>
      <c r="E978" s="1706"/>
      <c r="F978" s="1705"/>
      <c r="G978" s="1705"/>
      <c r="H978" s="1354"/>
      <c r="I978" s="2033"/>
      <c r="J978" s="2034"/>
      <c r="K978" s="2034"/>
      <c r="L978" s="2034"/>
      <c r="M978" s="2034"/>
      <c r="N978" s="2035"/>
    </row>
    <row r="979" spans="1:16" s="1821" customFormat="1" ht="20.100000000000001" customHeight="1" thickTop="1" x14ac:dyDescent="0.35">
      <c r="A979" s="590">
        <v>832</v>
      </c>
      <c r="B979" s="2244" t="s">
        <v>1076</v>
      </c>
      <c r="C979" s="2245"/>
      <c r="D979" s="2245"/>
      <c r="E979" s="2245"/>
      <c r="F979" s="2245"/>
      <c r="G979" s="2246"/>
      <c r="H979" s="1709"/>
      <c r="I979" s="1710"/>
      <c r="J979" s="1710"/>
      <c r="K979" s="1710"/>
      <c r="L979" s="1710"/>
      <c r="M979" s="1710"/>
      <c r="N979" s="1711"/>
      <c r="O979" s="1822"/>
      <c r="P979" s="8"/>
    </row>
    <row r="980" spans="1:16" s="1821" customFormat="1" ht="20.100000000000001" customHeight="1" x14ac:dyDescent="0.35">
      <c r="A980" s="590">
        <v>833</v>
      </c>
      <c r="B980" s="582"/>
      <c r="C980" s="1361"/>
      <c r="D980" s="2228" t="s">
        <v>311</v>
      </c>
      <c r="E980" s="2247"/>
      <c r="F980" s="2247"/>
      <c r="G980" s="2248"/>
      <c r="H980" s="605"/>
      <c r="I980" s="1203">
        <f>SUM(J980:N980)</f>
        <v>5630577</v>
      </c>
      <c r="J980" s="1926">
        <f>J824+J819+J814+J809+J804+J799+J794+J789+J784+J779+J774+J769+J764+J759+J754+J749+J744+J739+J734+J729+J724+J694+J685+J680+J675+J670+J665+J660+J655+J650+J645+J640+J635+J630+J625+J620+J615+J610+J605+J600+J595+J589+J584+J579+J574+J568+J563+J558+J553+J548+J543+J538+J533+J527+J522+J517+J512+J496+J491+J486+J481+J476+J471+J466+J461+J456+J451+J446+J441+J436+J431+J426+J421+J416+J411+J406+J401+J396+J391+J384+J379+J374+J369+J364+J359+J354+J349+J295+J290+J285+J280+J275+J250+J225+J220+J215+J210+J205+J200+J195+J190+J185+J179+J173+J168+J163+J156+J151+J146+J141+J111+J105+J100+J95+J90+J85+J61+J56+J51+J30+J21+J503+J837</f>
        <v>165592</v>
      </c>
      <c r="K980" s="1926">
        <f>K824+K819+K814+K809+K804+K799+K794+K789+K784+K779+K774+K769+K764+K759+K754+K749+K744+K739+K734+K729+K724+K694+K685+K680+K675+K670+K665+K660+K655+K650+K645+K640+K635+K630+K625+K620+K615+K610+K605+K600+K595+K589+K584+K579+K574+K568+K563+K558+K553+K548+K543+K538+K533+K527+K522+K517+K512+K496+K491+K486+K481+K476+K471+K466+K461+K456+K451+K446+K441+K436+K431+K426+K421+K416+K411+K406+K401+K396+K391+K384+K379+K374+K369+K364+K359+K354+K349+K295+K290+K285+K280+K275+K250+K225+K220+K215+K210+K205+K200+K195+K190+K185+K179+K173+K168+K163+K156+K151+K146+K141+K111+K105+K100+K95+K90+K85+K61+K56+K51+K30+K21+K503+K837</f>
        <v>28844</v>
      </c>
      <c r="L980" s="1926">
        <f>L824+L819+L814+L809+L804+L799+L794+L789+L784+L779+L774+L769+L764+L759+L754+L749+L744+L739+L734+L729+L724+L694+L685+L680+L675+L670+L665+L660+L655+L650+L645+L640+L635+L630+L625+L620+L615+L610+L605+L600+L595+L589+L584+L579+L574+L568+L563+L558+L553+L548+L543+L538+L533+L527+L522+L517+L512+L496+L491+L486+L481+L476+L471+L466+L461+L456+L451+L446+L441+L436+L431+L426+L421+L416+L411+L406+L401+L396+L391+L384+L379+L374+L369+L364+L359+L354+L349+L295+L290+L285+L280+L275+L250+L225+L220+L215+L210+L205+L200+L195+L190+L185+L179+L173+L168+L163+L156+L151+L146+L141+L111+L105+L100+L95+L90+L85+L61+L56+L51+L30+L21+L503+L837</f>
        <v>1972869</v>
      </c>
      <c r="M980" s="1926">
        <f>M824+M819+M814+M809+M804+M799+M794+M789+M784+M779+M774+M769+M764+M759+M754+M749+M744+M739+M734+M729+M724+M694+M685+M680+M675+M670+M665+M660+M655+M650+M645+M640+M635+M630+M625+M620+M615+M610+M605+M600+M595+M589+M584+M579+M574+M568+M563+M558+M553+M548+M543+M538+M533+M527+M522+M517+M512+M496+M491+M486+M481+M476+M471+M466+M461+M456+M451+M446+M441+M436+M431+M426+M421+M416+M411+M406+M401+M396+M391+M384+M379+M374+M369+M364+M359+M354+M349+M295+M290+M285+M280+M275+M250+M225+M220+M215+M210+M205+M200+M195+M190+M185+M179+M173+M168+M163+M156+M151+M146+M141+M111+M105+M100+M95+M90+M85+M61+M56+M51+M30+M21+M503+M837</f>
        <v>23248</v>
      </c>
      <c r="N980" s="1927">
        <f>N824+N819+N814+N809+N804+N799+N794+N789+N784+N779+N774+N769+N764+N759+N754+N749+N744+N739+N734+N729+N724+N694+N685+N680+N675+N670+N665+N660+N655+N650+N645+N640+N635+N630+N625+N620+N615+N610+N605+N600+N595+N589+N584+N579+N574+N568+N563+N558+N553+N548+N543+N538+N533+N527+N522+N517+N512+N496+N491+N486+N481+N476+N471+N466+N461+N456+N451+N446+N441+N436+N431+N426+N421+N416+N411+N406+N401+N396+N391+N384+N379+N374+N369+N364+N359+N354+N349+N295+N290+N285+N280+N275+N250+N225+N220+N215+N210+N205+N200+N195+N190+N185+N179+N173+N168+N163+N156+N151+N146+N141+N111+N105+N100+N95+N90+N85+N61+N56+N51+N30+N21+N503+N837</f>
        <v>3440024</v>
      </c>
      <c r="O980" s="1822"/>
      <c r="P980" s="8"/>
    </row>
    <row r="981" spans="1:16" s="1878" customFormat="1" ht="20.100000000000001" customHeight="1" x14ac:dyDescent="0.35">
      <c r="A981" s="590">
        <v>834</v>
      </c>
      <c r="B981" s="582"/>
      <c r="C981" s="1361"/>
      <c r="D981" s="1875" t="s">
        <v>1072</v>
      </c>
      <c r="E981" s="2050"/>
      <c r="F981" s="2050"/>
      <c r="G981" s="2051"/>
      <c r="H981" s="607"/>
      <c r="I981" s="573">
        <f>SUM(J981:N981)</f>
        <v>5516660</v>
      </c>
      <c r="J981" s="1362">
        <f>J825+J820+J815+J810+J805+J800+J795+J790+J785+J780+J775+J770+J765+J760+J755+J750+J745+J740+J735+J730+J725+J695+J686+J681+J676+J671+J666+J661+J656+J651+J646+J641+J636+J631+J626+J621+J616+J611+J606+J601+J596+J590+J585+J580+J575+J569+J564+J559+J554+J549+J544+J539+J534+J528+J523+J518+J513+J497+J492+J487+J482+J477+J472+J467+J462+J457+J452+J447+J442+J437+J432+J427+J422+J417+J412+J407+J402+J397+J392+J385+J380+J375+J370+J365+J360+J355+J350+J296+J291+J286+J281+J276+J251+J226+J221+J216+J211+J206+J201+J196+J191+J186+J180+J174+J169+J164+J157+J152+J147+J142+J112+J106+J101+J96+J91+J86+J62+J57+J52+J31+J22+J504+J838+J833+J829+J690+J508+J47+J43+J26+J17+J12</f>
        <v>170057</v>
      </c>
      <c r="K981" s="1362">
        <f>K825+K820+K815+K810+K805+K800+K795+K790+K785+K780+K775+K770+K765+K760+K755+K750+K745+K740+K735+K730+K725+K695+K686+K681+K676+K671+K666+K661+K656+K651+K646+K641+K636+K631+K626+K621+K616+K611+K606+K601+K596+K590+K585+K580+K575+K569+K564+K559+K554+K549+K544+K539+K534+K528+K523+K518+K513+K497+K492+K487+K482+K477+K472+K467+K462+K457+K452+K447+K442+K437+K432+K427+K422+K417+K412+K407+K402+K397+K392+K385+K380+K375+K370+K365+K360+K355+K350+K296+K291+K286+K281+K276+K251+K226+K221+K216+K211+K206+K201+K196+K191+K186+K180+K174+K169+K164+K157+K152+K147+K142+K112+K106+K101+K96+K91+K86+K62+K57+K52+K31+K22+K504+K838+K833+K829+K690+K508+K47+K43+K26+K17+K12</f>
        <v>33195</v>
      </c>
      <c r="L981" s="1362">
        <f>L825+L820+L815+L810+L805+L800+L795+L790+L785+L780+L775+L770+L765+L760+L755+L750+L745+L740+L735+L730+L725+L695+L686+L681+L676+L671+L666+L661+L656+L651+L646+L641+L636+L631+L626+L621+L616+L611+L606+L601+L596+L590+L585+L580+L575+L569+L564+L559+L554+L549+L544+L539+L534+L528+L523+L518+L513+L497+L492+L487+L482+L477+L472+L467+L462+L457+L452+L447+L442+L437+L432+L427+L422+L417+L412+L407+L402+L397+L392+L385+L380+L375+L370+L365+L360+L355+L350+L296+L291+L286+L281+L276+L251+L226+L221+L216+L211+L206+L201+L196+L191+L186+L180+L174+L169+L164+L157+L152+L147+L142+L112+L106+L101+L96+L91+L86+L62+L57+L52+L31+L22+L504+L838+L833+L829+L690+L508+L47+L43+L26+L17+L12</f>
        <v>1925301</v>
      </c>
      <c r="M981" s="1362">
        <f>M825+M820+M815+M810+M805+M800+M795+M790+M785+M780+M775+M770+M765+M760+M755+M750+M745+M740+M735+M730+M725+M695+M686+M681+M676+M671+M666+M661+M656+M651+M646+M641+M636+M631+M626+M621+M616+M611+M606+M601+M596+M590+M585+M580+M575+M569+M564+M559+M554+M549+M544+M539+M534+M528+M523+M518+M513+M497+M492+M487+M482+M477+M472+M467+M462+M457+M452+M447+M442+M437+M432+M427+M422+M417+M412+M407+M402+M397+M392+M385+M380+M375+M370+M365+M360+M355+M350+M296+M291+M286+M281+M276+M251+M226+M221+M216+M211+M206+M201+M196+M191+M186+M180+M174+M169+M164+M157+M152+M147+M142+M112+M106+M101+M96+M91+M86+M62+M57+M52+M31+M22+M504+M838+M833+M829+M690+M508+M47+M43+M26+M17+M12</f>
        <v>32198</v>
      </c>
      <c r="N981" s="1964">
        <f>N825+N820+N815+N810+N805+N800+N795+N790+N785+N780+N775+N770+N765+N760+N755+N750+N745+N740+N735+N730+N725+N695+N686+N681+N676+N671+N666+N661+N656+N651+N646+N641+N636+N631+N626+N621+N616+N611+N606+N601+N596+N590+N585+N580+N575+N569+N564+N559+N554+N549+N544+N539+N534+N528+N523+N518+N513+N497+N492+N487+N482+N477+N472+N467+N462+N457+N452+N447+N442+N437+N432+N427+N422+N417+N412+N407+N402+N397+N392+N385+N380+N375+N370+N365+N360+N355+N350+N296+N291+N286+N281+N276+N251+N226+N221+N216+N211+N206+N201+N196+N191+N186+N180+N174+N169+N164+N157+N152+N147+N142+N112+N106+N101+N96+N91+N86+N62+N57+N52+N31+N22+N504+N838+N833+N829+N690+N508+N47+N43+N26+N17+N12</f>
        <v>3355909</v>
      </c>
      <c r="O981" s="1879"/>
      <c r="P981" s="8"/>
    </row>
    <row r="982" spans="1:16" s="1821" customFormat="1" ht="20.100000000000001" customHeight="1" x14ac:dyDescent="0.35">
      <c r="A982" s="590">
        <v>835</v>
      </c>
      <c r="B982" s="582"/>
      <c r="C982" s="1361"/>
      <c r="D982" s="2235" t="s">
        <v>963</v>
      </c>
      <c r="E982" s="2229"/>
      <c r="F982" s="2229"/>
      <c r="G982" s="2230"/>
      <c r="H982" s="607"/>
      <c r="I982" s="1341">
        <f>SUM(J982:N982)</f>
        <v>207600</v>
      </c>
      <c r="J982" s="1712">
        <f>J826+J821+J816+J811+J806+J801+J796+J791+J786+J781+J776+J771+J766+J761+J756+J751+J746+J741+J736+J731+J726+J696+J691+J687+J682+J677+J672+J667+J662+J657+J652+J647+J642+J637+J632+J627+J622+J617+J612+J607+J602+J597+J591+J586+J581+J576+J570+J565+J560+J555+J550+J545+J540+J535+J529+J524+J519+J514+J505+J498+J493+J488+J483+J478+J473+J468+J463+J458+J448+J443+J438+J433+J428+J423+J418+J413+J408+J403+J398+J393+J381+J376+J371+J366+J361+J356+J351+J297+J292+J287+J282+J277+J252+J227+J222+J217+J212+J207+J202+J197+J192+J187+J181+J175+J170+J165+J158+J153+J148+J143+J113+J107+J102+J97+J92+J87+J63+J58+J53+J48+J44+J32+J23+J18+J13+J386+J839+J388+J830+J509+J27+J834+J453+J387+J14</f>
        <v>0</v>
      </c>
      <c r="K982" s="1712">
        <f t="shared" ref="K982:N982" si="199">K826+K821+K816+K811+K806+K801+K796+K791+K786+K781+K776+K771+K766+K761+K756+K751+K746+K741+K736+K731+K726+K696+K691+K687+K682+K677+K672+K667+K662+K657+K652+K647+K642+K637+K632+K627+K622+K617+K612+K607+K602+K597+K591+K586+K581+K576+K570+K565+K560+K555+K550+K545+K540+K535+K529+K524+K519+K514+K505+K498+K493+K488+K483+K478+K473+K468+K463+K458+K448+K443+K438+K433+K428+K423+K418+K413+K408+K403+K398+K393+K381+K376+K371+K366+K361+K356+K351+K297+K292+K287+K282+K277+K252+K227+K222+K217+K212+K207+K202+K197+K192+K187+K181+K175+K170+K165+K158+K153+K148+K143+K113+K107+K102+K97+K92+K87+K63+K58+K53+K48+K44+K32+K23+K18+K13+K386+K839+K388+K830+K509+K27+K834+K453+K387+K14</f>
        <v>0</v>
      </c>
      <c r="L982" s="1712">
        <f t="shared" si="199"/>
        <v>16037</v>
      </c>
      <c r="M982" s="1712">
        <f t="shared" si="199"/>
        <v>0</v>
      </c>
      <c r="N982" s="2043">
        <f t="shared" si="199"/>
        <v>191563</v>
      </c>
      <c r="O982" s="1822"/>
      <c r="P982" s="8"/>
    </row>
    <row r="983" spans="1:16" s="1821" customFormat="1" ht="20.100000000000001" customHeight="1" thickBot="1" x14ac:dyDescent="0.4">
      <c r="A983" s="590">
        <v>836</v>
      </c>
      <c r="B983" s="379"/>
      <c r="C983" s="1360"/>
      <c r="D983" s="2236" t="s">
        <v>1151</v>
      </c>
      <c r="E983" s="2237"/>
      <c r="F983" s="2237"/>
      <c r="G983" s="2238"/>
      <c r="H983" s="607"/>
      <c r="I983" s="573">
        <f t="shared" ref="I983" si="200">SUM(J983:N983)</f>
        <v>5724260</v>
      </c>
      <c r="J983" s="450">
        <f>SUM(J981:J982)</f>
        <v>170057</v>
      </c>
      <c r="K983" s="450">
        <f t="shared" ref="K983:N983" si="201">SUM(K981:K982)</f>
        <v>33195</v>
      </c>
      <c r="L983" s="450">
        <f t="shared" si="201"/>
        <v>1941338</v>
      </c>
      <c r="M983" s="450">
        <f t="shared" si="201"/>
        <v>32198</v>
      </c>
      <c r="N983" s="1965">
        <f t="shared" si="201"/>
        <v>3547472</v>
      </c>
      <c r="O983" s="1822"/>
      <c r="P983" s="8"/>
    </row>
    <row r="984" spans="1:16" s="1821" customFormat="1" ht="18" customHeight="1" thickTop="1" x14ac:dyDescent="0.35">
      <c r="A984" s="590">
        <v>837</v>
      </c>
      <c r="B984" s="117"/>
      <c r="C984" s="118"/>
      <c r="D984" s="2225" t="s">
        <v>120</v>
      </c>
      <c r="E984" s="2226"/>
      <c r="F984" s="2226"/>
      <c r="G984" s="2227"/>
      <c r="H984" s="608"/>
      <c r="I984" s="577"/>
      <c r="J984" s="451"/>
      <c r="K984" s="451"/>
      <c r="L984" s="451"/>
      <c r="M984" s="451"/>
      <c r="N984" s="618"/>
      <c r="O984" s="1822"/>
      <c r="P984" s="8"/>
    </row>
    <row r="985" spans="1:16" s="1249" customFormat="1" ht="18" customHeight="1" x14ac:dyDescent="0.35">
      <c r="A985" s="590">
        <v>838</v>
      </c>
      <c r="B985" s="1208"/>
      <c r="C985" s="1209"/>
      <c r="D985" s="2228" t="s">
        <v>311</v>
      </c>
      <c r="E985" s="2229"/>
      <c r="F985" s="2229"/>
      <c r="G985" s="2230"/>
      <c r="H985" s="1212"/>
      <c r="I985" s="1203">
        <f>SUM(J985:N985)</f>
        <v>4410268</v>
      </c>
      <c r="J985" s="1204">
        <v>153862</v>
      </c>
      <c r="K985" s="1204">
        <v>26611</v>
      </c>
      <c r="L985" s="1204">
        <v>1312527</v>
      </c>
      <c r="M985" s="1204">
        <v>7735</v>
      </c>
      <c r="N985" s="1205">
        <v>2909533</v>
      </c>
      <c r="O985" s="1213"/>
      <c r="P985" s="1213"/>
    </row>
    <row r="986" spans="1:16" s="1249" customFormat="1" ht="18" customHeight="1" x14ac:dyDescent="0.35">
      <c r="A986" s="590">
        <v>839</v>
      </c>
      <c r="B986" s="1208"/>
      <c r="C986" s="1209"/>
      <c r="D986" s="583" t="s">
        <v>1072</v>
      </c>
      <c r="E986" s="2052"/>
      <c r="F986" s="2052"/>
      <c r="G986" s="2053"/>
      <c r="H986" s="1212"/>
      <c r="I986" s="573">
        <f>SUM(J986:N986)</f>
        <v>4721042</v>
      </c>
      <c r="J986" s="445">
        <f>J829+J755+J695+J686+J681+J666+J661+J656+J651+J646+J641+J636+J631+J626+J621+J616+J611+J606+J601+J596+J590+J585+J580+J575+J564+J559+J554+J549+J544+J534+J477+J467+J457+J452+J447+J442+J432+J427+J392+J385+J380+J375+J370+J350+J301+J290+J286+J281+J211+J206+J201+J196+J12</f>
        <v>158556</v>
      </c>
      <c r="K986" s="445">
        <f>K829+K755+K695+K686+K681+K666+K661+K656+K651+K646+K641+K636+K631+K626+K621+K616+K611+K606+K601+K596+K590+K585+K580+K575+K564+K559+K554+K549+K544+K534+K477+K467+K457+K452+K447+K442+K432+K427+K392+K385+K380+K375+K370+K350+K301+K290+K286+K281+K211+K206+K201+K196+K12</f>
        <v>30937</v>
      </c>
      <c r="L986" s="445">
        <f>L829+L755+L695+L686+L681+L666+L661+L656+L651+L646+L641+L636+L631+L626+L621+L616+L611+L606+L601+L596+L590+L585+L580+L575+L564+L559+L554+L549+L544+L534+L477+L467+L457+L452+L447+L442+L432+L427+L392+L385+L380+L375+L370+L350+L301+L290+L286+L281+L211+L206+L201+L196+L12</f>
        <v>1484697</v>
      </c>
      <c r="M986" s="445">
        <f>M829+M755+M695+M686+M681+M666+M661+M656+M651+M646+M641+M636+M631+M626+M621+M616+M611+M606+M601+M596+M590+M585+M580+M575+M564+M559+M554+M549+M544+M534+M477+M467+M457+M452+M447+M442+M432+M427+M392+M385+M380+M375+M370+M350+M301+M290+M286+M281+M211+M206+M201+M196+M12</f>
        <v>10085</v>
      </c>
      <c r="N986" s="441">
        <f>N829+N755+N695+N686+N681+N666+N661+N656+N651+N646+N641+N636+N631+N626+N621+N616+N611+N606+N601+N596+N590+N585+N580+N575+N564+N559+N554+N549+N544+N534+N477+N467+N457+N452+N447+N442+N432+N427+N392+N385+N380+N375+N370+N350+N301+N290+N286+N281+N211+N206+N201+N196+N12</f>
        <v>3036767</v>
      </c>
      <c r="O986" s="1213"/>
      <c r="P986" s="1213"/>
    </row>
    <row r="987" spans="1:16" s="1249" customFormat="1" ht="18" customHeight="1" x14ac:dyDescent="0.35">
      <c r="A987" s="590">
        <v>840</v>
      </c>
      <c r="B987" s="1208"/>
      <c r="C987" s="1209"/>
      <c r="D987" s="2235" t="s">
        <v>963</v>
      </c>
      <c r="E987" s="2239"/>
      <c r="F987" s="2239"/>
      <c r="G987" s="2240"/>
      <c r="H987" s="1212"/>
      <c r="I987" s="1341">
        <f t="shared" ref="I987:I988" si="202">SUM(J987:N987)</f>
        <v>168670</v>
      </c>
      <c r="J987" s="185">
        <f>J830+J756+J696+J687+J667+J662+J657+J652+J647+J642+J637+J632+J627+J622+J617+J612+J607+J602+J597+J591+J586+J581+J576+J560+J555+J550+J545+J535+J478+J468+J458+J453+J448+J443+J433+J428+J393+J388+J386+J381+J376+J371+J351+J302+J292+J287+J282+J212+J207+J202+J197+J13+J565+J682+J387+J14</f>
        <v>0</v>
      </c>
      <c r="K987" s="185">
        <f>K830+K756+K696+K687+K667+K662+K657+K652+K647+K642+K637+K632+K627+K622+K617+K612+K607+K602+K597+K591+K586+K581+K576+K560+K555+K550+K545+K535+K478+K468+K458+K453+K448+K443+K433+K428+K393+K388+K386+K381+K376+K371+K351+K302+K292+K287+K282+K212+K207+K202+K197+K13+K565+K682+K387+K14</f>
        <v>0</v>
      </c>
      <c r="L987" s="185">
        <f>L830+L756+L696+L687+L667+L662+L657+L652+L647+L642+L637+L632+L627+L622+L617+L612+L607+L602+L597+L591+L586+L581+L576+L560+L555+L550+L545+L535+L478+L468+L458+L453+L448+L443+L433+L428+L393+L388+L386+L381+L376+L371+L351+L302+L292+L287+L282+L212+L207+L202+L197+L13+L565+L682+L387+L14</f>
        <v>5757</v>
      </c>
      <c r="M987" s="185">
        <f>M830+M756+M696+M687+M667+M662+M657+M652+M647+M642+M637+M632+M627+M622+M617+M612+M607+M602+M597+M591+M586+M581+M576+M560+M555+M550+M545+M535+M478+M468+M458+M453+M448+M443+M433+M428+M393+M388+M386+M381+M376+M371+M351+M302+M292+M287+M282+M212+M207+M202+M197+M13+M565+M682+M387+M14</f>
        <v>0</v>
      </c>
      <c r="N987" s="186">
        <f>N830+N756+N696+N687+N667+N662+N657+N652+N647+N642+N637+N632+N627+N622+N617+N612+N607+N602+N597+N591+N586+N581+N576+N560+N555+N550+N545+N535+N478+N468+N458+N453+N448+N443+N433+N428+N393+N388+N386+N381+N376+N371+N351+N302+N292+N287+N282+N212+N207+N202+N197+N13+N565+N682+N387+N14</f>
        <v>162913</v>
      </c>
      <c r="O987" s="1213"/>
      <c r="P987" s="1213"/>
    </row>
    <row r="988" spans="1:16" s="1249" customFormat="1" ht="18" customHeight="1" x14ac:dyDescent="0.35">
      <c r="A988" s="590">
        <v>841</v>
      </c>
      <c r="B988" s="1208"/>
      <c r="C988" s="1209"/>
      <c r="D988" s="2241" t="s">
        <v>1151</v>
      </c>
      <c r="E988" s="2229"/>
      <c r="F988" s="2229"/>
      <c r="G988" s="2230"/>
      <c r="H988" s="1212"/>
      <c r="I988" s="573">
        <f t="shared" si="202"/>
        <v>4889712</v>
      </c>
      <c r="J988" s="445">
        <f>SUM(J986:J987)</f>
        <v>158556</v>
      </c>
      <c r="K988" s="445">
        <f t="shared" ref="K988:N988" si="203">SUM(K986:K987)</f>
        <v>30937</v>
      </c>
      <c r="L988" s="445">
        <f t="shared" si="203"/>
        <v>1490454</v>
      </c>
      <c r="M988" s="445">
        <f t="shared" si="203"/>
        <v>10085</v>
      </c>
      <c r="N988" s="441">
        <f t="shared" si="203"/>
        <v>3199680</v>
      </c>
      <c r="O988" s="1213"/>
      <c r="P988" s="1213"/>
    </row>
    <row r="989" spans="1:16" s="1821" customFormat="1" ht="18" customHeight="1" x14ac:dyDescent="0.35">
      <c r="A989" s="590">
        <v>842</v>
      </c>
      <c r="B989" s="119"/>
      <c r="C989" s="120"/>
      <c r="D989" s="2231" t="s">
        <v>121</v>
      </c>
      <c r="E989" s="2229"/>
      <c r="F989" s="2229"/>
      <c r="G989" s="2230"/>
      <c r="H989" s="609"/>
      <c r="I989" s="581"/>
      <c r="J989" s="168"/>
      <c r="K989" s="168"/>
      <c r="L989" s="168"/>
      <c r="M989" s="168"/>
      <c r="N989" s="169"/>
      <c r="O989" s="1822"/>
      <c r="P989" s="8"/>
    </row>
    <row r="990" spans="1:16" s="1821" customFormat="1" ht="18" customHeight="1" x14ac:dyDescent="0.35">
      <c r="A990" s="590">
        <v>843</v>
      </c>
      <c r="B990" s="1363"/>
      <c r="C990" s="1364"/>
      <c r="D990" s="2228" t="s">
        <v>311</v>
      </c>
      <c r="E990" s="2229"/>
      <c r="F990" s="2229"/>
      <c r="G990" s="2230"/>
      <c r="H990" s="1365"/>
      <c r="I990" s="1203">
        <f>SUM(J990:N990)</f>
        <v>1220309</v>
      </c>
      <c r="J990" s="1817">
        <v>11730</v>
      </c>
      <c r="K990" s="1817">
        <v>2233</v>
      </c>
      <c r="L990" s="1817">
        <v>660342</v>
      </c>
      <c r="M990" s="1817">
        <v>15513</v>
      </c>
      <c r="N990" s="1818">
        <v>530491</v>
      </c>
      <c r="O990" s="1822"/>
      <c r="P990" s="8"/>
    </row>
    <row r="991" spans="1:16" s="1878" customFormat="1" ht="18" customHeight="1" x14ac:dyDescent="0.35">
      <c r="A991" s="590">
        <v>844</v>
      </c>
      <c r="B991" s="1363"/>
      <c r="C991" s="1364"/>
      <c r="D991" s="583" t="s">
        <v>1072</v>
      </c>
      <c r="E991" s="2052"/>
      <c r="F991" s="2052"/>
      <c r="G991" s="2053"/>
      <c r="H991" s="1365"/>
      <c r="I991" s="573">
        <f>SUM(J991:N991)</f>
        <v>795618</v>
      </c>
      <c r="J991" s="1882">
        <f>J838+J833+J825+J820+J815+J810+J805+J800+J795+J790+J785+J780+J775+J770+J765+J760+J750+J745+J740+J735+J730+J725+J690+J676+J671+J569+J539+J528+J523+J518+J513+J508+J504+J497+J492+J487+J482+J472+J462+J437+J422+J417+J412+J407+J402+J397+J365+J360+J355+J345+J340+J335+J330+J325+J320+J315+J310+J305+J276+J251+J226+J221+J216+J191+J186+J180+J174+J169+J164+J157+J152+J147+J142+J112+J106+J101+J96+J91+J86+J62+J57+J52+J47+J43+J31+J26+J22+J17</f>
        <v>11501</v>
      </c>
      <c r="K991" s="1882">
        <f>K838+K833+K825+K820+K815+K810+K805+K800+K795+K790+K785+K780+K775+K770+K765+K760+K750+K745+K740+K735+K730+K725+K690+K676+K671+K569+K539+K528+K523+K518+K513+K508+K504+K497+K492+K487+K482+K472+K462+K437+K422+K417+K412+K407+K402+K397+K365+K360+K355+K345+K340+K335+K330+K325+K320+K315+K310+K305+K276+K251+K226+K221+K216+K191+K186+K180+K174+K169+K164+K157+K152+K147+K142+K112+K106+K101+K96+K91+K86+K62+K57+K52+K47+K43+K31+K26+K22+K17</f>
        <v>2258</v>
      </c>
      <c r="L991" s="1882">
        <f>L838+L833+L825+L820+L815+L810+L805+L800+L795+L790+L785+L780+L775+L770+L765+L760+L750+L745+L740+L735+L730+L725+L690+L676+L671+L569+L539+L528+L523+L518+L513+L508+L504+L497+L492+L487+L482+L472+L462+L437+L422+L417+L412+L407+L402+L397+L365+L360+L355+L345+L340+L335+L330+L325+L320+L315+L310+L305+L276+L251+L226+L221+L216+L191+L186+L180+L174+L169+L164+L157+L152+L147+L142+L112+L106+L101+L96+L91+L86+L62+L57+L52+L47+L43+L31+L26+L22+L17</f>
        <v>440604</v>
      </c>
      <c r="M991" s="1882">
        <f>M838+M833+M825+M820+M815+M810+M805+M800+M795+M790+M785+M780+M775+M770+M765+M760+M750+M745+M740+M735+M730+M725+M690+M676+M671+M569+M539+M528+M523+M518+M513+M508+M504+M497+M492+M487+M482+M472+M462+M437+M422+M417+M412+M407+M402+M397+M365+M360+M355+M345+M340+M335+M330+M325+M320+M315+M310+M305+M276+M251+M226+M221+M216+M191+M186+M180+M174+M169+M164+M157+M152+M147+M142+M112+M106+M101+M96+M91+M86+M62+M57+M52+M47+M43+M31+M26+M22+M17</f>
        <v>22113</v>
      </c>
      <c r="N991" s="1966">
        <f>N838+N833+N825+N820+N815+N810+N805+N800+N795+N790+N785+N780+N775+N770+N765+N760+N750+N745+N740+N735+N730+N725+N690+N676+N671+N569+N539+N528+N523+N518+N513+N508+N504+N497+N492+N487+N482+N472+N462+N437+N422+N417+N412+N407+N402+N397+N365+N360+N355+N345+N340+N335+N330+N325+N320+N315+N310+N305+N276+N251+N226+N221+N216+N191+N186+N180+N174+N169+N164+N157+N152+N147+N142+N112+N106+N101+N96+N91+N86+N62+N57+N52+N47+N43+N31+N26+N22+N17</f>
        <v>319142</v>
      </c>
      <c r="O991" s="1879"/>
      <c r="P991" s="8"/>
    </row>
    <row r="992" spans="1:16" s="1821" customFormat="1" ht="18" customHeight="1" x14ac:dyDescent="0.35">
      <c r="A992" s="590">
        <v>845</v>
      </c>
      <c r="B992" s="1363"/>
      <c r="C992" s="1364"/>
      <c r="D992" s="2235" t="s">
        <v>963</v>
      </c>
      <c r="E992" s="2229"/>
      <c r="F992" s="2229"/>
      <c r="G992" s="2230"/>
      <c r="H992" s="1365"/>
      <c r="I992" s="1341">
        <f t="shared" ref="I992:I993" si="204">SUM(J992:N992)</f>
        <v>38930</v>
      </c>
      <c r="J992" s="1366">
        <f>J834+J839+J826+J821+J816+J811+J806+J801+J796+J791+J786+J781+J776+J771+J766+J761+J751+J746+J741+J736+J731+J726+J691+J677+J672+J570+J540+J529+J524+J519+J514+J509+J505+J498+J493+J488+J483+J473+J463+J438+J423+J418+J413+J408+J403+J398+J366+J361+J356+J346+J341+J336+J331+J326+J321+J316+J311+J277+J252+J227+J222+J217+J192+J187+J181+J175+J170+J165+J158+J153+J148+J143+J113+J107+J102+J97+J92+J87+J63+J58+J53+J48+J44+J32+J27+J23+J18+J306</f>
        <v>0</v>
      </c>
      <c r="K992" s="1366">
        <f t="shared" ref="K992:N992" si="205">K834+K839+K826+K821+K816+K811+K806+K801+K796+K791+K786+K781+K776+K771+K766+K761+K751+K746+K741+K736+K731+K726+K691+K677+K672+K570+K540+K529+K524+K519+K514+K509+K505+K498+K493+K488+K483+K473+K463+K438+K423+K418+K413+K408+K403+K398+K366+K361+K356+K346+K341+K336+K331+K326+K321+K316+K311+K277+K252+K227+K222+K217+K192+K187+K181+K175+K170+K165+K158+K153+K148+K143+K113+K107+K102+K97+K92+K87+K63+K58+K53+K48+K44+K32+K27+K23+K18+K306</f>
        <v>0</v>
      </c>
      <c r="L992" s="1366">
        <f t="shared" si="205"/>
        <v>10280</v>
      </c>
      <c r="M992" s="1366">
        <f t="shared" si="205"/>
        <v>0</v>
      </c>
      <c r="N992" s="2044">
        <f t="shared" si="205"/>
        <v>28650</v>
      </c>
      <c r="O992" s="1822"/>
      <c r="P992" s="8"/>
    </row>
    <row r="993" spans="1:16" s="1254" customFormat="1" ht="18" customHeight="1" thickBot="1" x14ac:dyDescent="0.35">
      <c r="A993" s="590">
        <v>846</v>
      </c>
      <c r="B993" s="1250"/>
      <c r="C993" s="1251"/>
      <c r="D993" s="2232" t="s">
        <v>1151</v>
      </c>
      <c r="E993" s="2233"/>
      <c r="F993" s="2233"/>
      <c r="G993" s="2234"/>
      <c r="H993" s="1252"/>
      <c r="I993" s="1367">
        <f t="shared" si="204"/>
        <v>834548</v>
      </c>
      <c r="J993" s="1816">
        <f>SUM(J991:J992)</f>
        <v>11501</v>
      </c>
      <c r="K993" s="1816">
        <f t="shared" ref="K993:N993" si="206">SUM(K991:K992)</f>
        <v>2258</v>
      </c>
      <c r="L993" s="1816">
        <f t="shared" si="206"/>
        <v>450884</v>
      </c>
      <c r="M993" s="1816">
        <f t="shared" si="206"/>
        <v>22113</v>
      </c>
      <c r="N993" s="1967">
        <f t="shared" si="206"/>
        <v>347792</v>
      </c>
      <c r="O993" s="1253"/>
      <c r="P993" s="1213"/>
    </row>
    <row r="994" spans="1:16" ht="18" customHeight="1" x14ac:dyDescent="0.3">
      <c r="A994" s="591"/>
      <c r="B994" s="2208" t="s">
        <v>27</v>
      </c>
      <c r="C994" s="2208"/>
      <c r="D994" s="2208"/>
      <c r="E994" s="159"/>
      <c r="F994" s="159"/>
      <c r="G994" s="159"/>
      <c r="H994" s="580"/>
      <c r="I994" s="160"/>
      <c r="J994" s="159"/>
      <c r="K994" s="159"/>
      <c r="L994" s="159"/>
      <c r="M994" s="159"/>
      <c r="N994" s="159"/>
    </row>
    <row r="995" spans="1:16" ht="18" customHeight="1" x14ac:dyDescent="0.3">
      <c r="A995" s="591"/>
      <c r="B995" s="634" t="s">
        <v>28</v>
      </c>
      <c r="C995" s="634"/>
      <c r="D995" s="634"/>
      <c r="E995" s="159"/>
      <c r="F995" s="159"/>
      <c r="G995" s="159"/>
      <c r="H995" s="580"/>
      <c r="I995" s="160"/>
      <c r="J995" s="159"/>
      <c r="K995" s="159"/>
      <c r="L995" s="159"/>
      <c r="M995" s="159"/>
      <c r="N995" s="159"/>
    </row>
    <row r="996" spans="1:16" ht="18" customHeight="1" x14ac:dyDescent="0.3">
      <c r="A996" s="591"/>
      <c r="B996" s="2208" t="s">
        <v>29</v>
      </c>
      <c r="C996" s="2208"/>
      <c r="D996" s="2208"/>
      <c r="E996" s="159"/>
      <c r="F996" s="159"/>
      <c r="G996" s="159"/>
      <c r="H996" s="580"/>
      <c r="I996" s="160"/>
      <c r="J996" s="159"/>
      <c r="K996" s="159"/>
      <c r="L996" s="159"/>
      <c r="M996" s="159"/>
      <c r="N996" s="159"/>
    </row>
    <row r="997" spans="1:16" ht="18" customHeight="1" x14ac:dyDescent="0.3">
      <c r="D997" s="11"/>
      <c r="E997" s="378"/>
      <c r="F997" s="378"/>
      <c r="G997" s="378"/>
      <c r="H997" s="12"/>
      <c r="I997" s="378">
        <f>+I979-I984-I989</f>
        <v>0</v>
      </c>
      <c r="J997" s="378">
        <f t="shared" ref="J997:N997" si="207">+J979-J984-J989</f>
        <v>0</v>
      </c>
      <c r="K997" s="378">
        <f t="shared" si="207"/>
        <v>0</v>
      </c>
      <c r="L997" s="378">
        <f t="shared" si="207"/>
        <v>0</v>
      </c>
      <c r="M997" s="378">
        <f t="shared" si="207"/>
        <v>0</v>
      </c>
      <c r="N997" s="378">
        <f t="shared" si="207"/>
        <v>0</v>
      </c>
    </row>
    <row r="998" spans="1:16" ht="18" customHeight="1" x14ac:dyDescent="0.35">
      <c r="D998" s="11"/>
      <c r="E998" s="378"/>
      <c r="F998" s="378"/>
      <c r="G998" s="378"/>
      <c r="H998" s="12"/>
    </row>
    <row r="999" spans="1:16" ht="18" customHeight="1" x14ac:dyDescent="0.35">
      <c r="D999" s="11"/>
      <c r="E999" s="378"/>
      <c r="F999" s="378"/>
      <c r="G999" s="378"/>
      <c r="H999" s="12"/>
    </row>
    <row r="1000" spans="1:16" s="13" customFormat="1" ht="18" customHeight="1" x14ac:dyDescent="0.35">
      <c r="A1000" s="590"/>
      <c r="B1000" s="3"/>
      <c r="C1000" s="7"/>
      <c r="D1000" s="11"/>
      <c r="E1000" s="378"/>
      <c r="F1000" s="378"/>
      <c r="G1000" s="378"/>
      <c r="H1000" s="12"/>
      <c r="J1000" s="378"/>
      <c r="K1000" s="378"/>
      <c r="L1000" s="378"/>
      <c r="M1000" s="378"/>
      <c r="N1000" s="378"/>
      <c r="O1000" s="4"/>
    </row>
    <row r="1001" spans="1:16" s="13" customFormat="1" ht="18" customHeight="1" x14ac:dyDescent="0.35">
      <c r="A1001" s="590"/>
      <c r="B1001" s="3"/>
      <c r="C1001" s="7"/>
      <c r="D1001" s="11"/>
      <c r="E1001" s="378"/>
      <c r="F1001" s="378"/>
      <c r="G1001" s="378"/>
      <c r="H1001" s="12"/>
      <c r="J1001" s="378"/>
      <c r="K1001" s="378"/>
      <c r="L1001" s="378"/>
      <c r="M1001" s="378"/>
      <c r="N1001" s="378"/>
      <c r="O1001" s="4"/>
    </row>
    <row r="1002" spans="1:16" s="13" customFormat="1" ht="18" customHeight="1" x14ac:dyDescent="0.35">
      <c r="A1002" s="590"/>
      <c r="B1002" s="3"/>
      <c r="C1002" s="7"/>
      <c r="D1002" s="11"/>
      <c r="E1002" s="378"/>
      <c r="F1002" s="378"/>
      <c r="G1002" s="378"/>
      <c r="H1002" s="12"/>
      <c r="J1002" s="378"/>
      <c r="K1002" s="378"/>
      <c r="L1002" s="378"/>
      <c r="M1002" s="378"/>
      <c r="N1002" s="378"/>
      <c r="O1002" s="4"/>
    </row>
    <row r="1003" spans="1:16" s="13" customFormat="1" ht="18" customHeight="1" x14ac:dyDescent="0.35">
      <c r="A1003" s="590"/>
      <c r="B1003" s="3"/>
      <c r="C1003" s="7"/>
      <c r="D1003" s="11"/>
      <c r="E1003" s="378"/>
      <c r="F1003" s="378"/>
      <c r="G1003" s="378"/>
      <c r="H1003" s="12"/>
      <c r="J1003" s="378"/>
      <c r="K1003" s="378"/>
      <c r="L1003" s="378"/>
      <c r="M1003" s="378"/>
      <c r="N1003" s="378"/>
      <c r="O1003" s="4"/>
    </row>
    <row r="1004" spans="1:16" s="13" customFormat="1" ht="18" customHeight="1" x14ac:dyDescent="0.35">
      <c r="A1004" s="590"/>
      <c r="B1004" s="3"/>
      <c r="C1004" s="7"/>
      <c r="D1004" s="11"/>
      <c r="E1004" s="378"/>
      <c r="F1004" s="378"/>
      <c r="G1004" s="378"/>
      <c r="H1004" s="12"/>
      <c r="J1004" s="378"/>
      <c r="K1004" s="378"/>
      <c r="L1004" s="378"/>
      <c r="M1004" s="378"/>
      <c r="N1004" s="378"/>
      <c r="O1004" s="4"/>
    </row>
    <row r="1005" spans="1:16" s="13" customFormat="1" ht="18" customHeight="1" x14ac:dyDescent="0.35">
      <c r="A1005" s="590"/>
      <c r="B1005" s="3"/>
      <c r="C1005" s="7"/>
      <c r="D1005" s="14"/>
      <c r="E1005" s="378"/>
      <c r="F1005" s="378"/>
      <c r="G1005" s="378"/>
      <c r="H1005" s="12"/>
      <c r="J1005" s="378"/>
      <c r="K1005" s="378"/>
      <c r="L1005" s="378"/>
      <c r="M1005" s="378"/>
      <c r="N1005" s="378"/>
      <c r="O1005" s="4"/>
    </row>
    <row r="1006" spans="1:16" s="13" customFormat="1" ht="18" customHeight="1" x14ac:dyDescent="0.35">
      <c r="A1006" s="590"/>
      <c r="B1006" s="3"/>
      <c r="C1006" s="7"/>
      <c r="D1006" s="14"/>
      <c r="E1006" s="378"/>
      <c r="F1006" s="378"/>
      <c r="G1006" s="378"/>
      <c r="H1006" s="12"/>
      <c r="J1006" s="378"/>
      <c r="K1006" s="378"/>
      <c r="L1006" s="378"/>
      <c r="M1006" s="378"/>
      <c r="N1006" s="378"/>
      <c r="O1006" s="4"/>
    </row>
    <row r="1007" spans="1:16" s="13" customFormat="1" ht="18" customHeight="1" x14ac:dyDescent="0.35">
      <c r="A1007" s="590"/>
      <c r="B1007" s="3"/>
      <c r="C1007" s="7"/>
      <c r="D1007" s="11"/>
      <c r="E1007" s="378"/>
      <c r="F1007" s="378"/>
      <c r="G1007" s="378"/>
      <c r="H1007" s="12"/>
      <c r="J1007" s="378"/>
      <c r="K1007" s="378"/>
      <c r="L1007" s="378"/>
      <c r="M1007" s="378"/>
      <c r="N1007" s="378"/>
      <c r="O1007" s="4"/>
    </row>
    <row r="1008" spans="1:16" s="13" customFormat="1" ht="18" customHeight="1" x14ac:dyDescent="0.35">
      <c r="A1008" s="590"/>
      <c r="B1008" s="3"/>
      <c r="C1008" s="7"/>
      <c r="D1008" s="11"/>
      <c r="E1008" s="378"/>
      <c r="F1008" s="378"/>
      <c r="G1008" s="378"/>
      <c r="H1008" s="12"/>
      <c r="J1008" s="378"/>
      <c r="K1008" s="378"/>
      <c r="L1008" s="378"/>
      <c r="M1008" s="378"/>
      <c r="N1008" s="378"/>
      <c r="O1008" s="4"/>
    </row>
    <row r="1009" spans="1:15" s="13" customFormat="1" ht="18" customHeight="1" x14ac:dyDescent="0.35">
      <c r="A1009" s="590"/>
      <c r="B1009" s="3"/>
      <c r="C1009" s="7"/>
      <c r="D1009" s="16"/>
      <c r="E1009" s="4"/>
      <c r="F1009" s="4"/>
      <c r="G1009" s="4"/>
      <c r="H1009" s="3"/>
      <c r="J1009" s="378"/>
      <c r="K1009" s="378"/>
      <c r="L1009" s="378"/>
      <c r="M1009" s="378"/>
      <c r="N1009" s="378"/>
      <c r="O1009" s="4"/>
    </row>
    <row r="1010" spans="1:15" s="13" customFormat="1" ht="18" customHeight="1" x14ac:dyDescent="0.35">
      <c r="A1010" s="590"/>
      <c r="B1010" s="3"/>
      <c r="C1010" s="7"/>
      <c r="D1010" s="16"/>
      <c r="E1010" s="4"/>
      <c r="F1010" s="4"/>
      <c r="G1010" s="4"/>
      <c r="H1010" s="3"/>
      <c r="J1010" s="378"/>
      <c r="K1010" s="378"/>
      <c r="L1010" s="378"/>
      <c r="M1010" s="378"/>
      <c r="N1010" s="378"/>
      <c r="O1010" s="4"/>
    </row>
    <row r="1011" spans="1:15" s="13" customFormat="1" ht="18" customHeight="1" x14ac:dyDescent="0.35">
      <c r="A1011" s="590"/>
      <c r="B1011" s="3"/>
      <c r="C1011" s="7"/>
      <c r="D1011" s="16"/>
      <c r="E1011" s="4"/>
      <c r="F1011" s="4"/>
      <c r="G1011" s="4"/>
      <c r="H1011" s="3"/>
      <c r="J1011" s="378"/>
      <c r="K1011" s="378"/>
      <c r="L1011" s="378"/>
      <c r="M1011" s="378"/>
      <c r="N1011" s="378"/>
      <c r="O1011" s="4"/>
    </row>
    <row r="1012" spans="1:15" s="13" customFormat="1" ht="18" customHeight="1" x14ac:dyDescent="0.35">
      <c r="A1012" s="590"/>
      <c r="B1012" s="3"/>
      <c r="C1012" s="7"/>
      <c r="D1012" s="16"/>
      <c r="E1012" s="4"/>
      <c r="F1012" s="4"/>
      <c r="G1012" s="4"/>
      <c r="H1012" s="3"/>
      <c r="J1012" s="378"/>
      <c r="K1012" s="378"/>
      <c r="L1012" s="378"/>
      <c r="M1012" s="378"/>
      <c r="N1012" s="378"/>
      <c r="O1012" s="4"/>
    </row>
    <row r="1013" spans="1:15" s="13" customFormat="1" ht="18" customHeight="1" x14ac:dyDescent="0.35">
      <c r="A1013" s="590"/>
      <c r="B1013" s="3"/>
      <c r="C1013" s="7"/>
      <c r="D1013" s="16"/>
      <c r="E1013" s="4"/>
      <c r="F1013" s="4"/>
      <c r="G1013" s="4"/>
      <c r="H1013" s="3"/>
      <c r="J1013" s="378"/>
      <c r="K1013" s="378"/>
      <c r="L1013" s="378"/>
      <c r="M1013" s="378"/>
      <c r="N1013" s="378"/>
      <c r="O1013" s="4"/>
    </row>
    <row r="1014" spans="1:15" s="13" customFormat="1" ht="18" customHeight="1" x14ac:dyDescent="0.35">
      <c r="A1014" s="590"/>
      <c r="B1014" s="3"/>
      <c r="C1014" s="7"/>
      <c r="D1014" s="16"/>
      <c r="E1014" s="4"/>
      <c r="F1014" s="4"/>
      <c r="G1014" s="4"/>
      <c r="H1014" s="3"/>
      <c r="J1014" s="378"/>
      <c r="K1014" s="378"/>
      <c r="L1014" s="378"/>
      <c r="M1014" s="378"/>
      <c r="N1014" s="378"/>
      <c r="O1014" s="4"/>
    </row>
    <row r="1015" spans="1:15" s="13" customFormat="1" ht="18" customHeight="1" x14ac:dyDescent="0.35">
      <c r="A1015" s="590"/>
      <c r="B1015" s="3"/>
      <c r="C1015" s="7"/>
      <c r="D1015" s="16"/>
      <c r="E1015" s="4"/>
      <c r="F1015" s="4"/>
      <c r="G1015" s="4"/>
      <c r="H1015" s="3"/>
      <c r="J1015" s="378"/>
      <c r="K1015" s="378"/>
      <c r="L1015" s="378"/>
      <c r="M1015" s="378"/>
      <c r="N1015" s="378"/>
      <c r="O1015" s="4"/>
    </row>
    <row r="1016" spans="1:15" ht="18" customHeight="1" x14ac:dyDescent="0.35"/>
    <row r="1017" spans="1:15" ht="18" customHeight="1" x14ac:dyDescent="0.35"/>
    <row r="1018" spans="1:15" ht="18" customHeight="1" x14ac:dyDescent="0.35"/>
    <row r="1019" spans="1:15" ht="18" customHeight="1" x14ac:dyDescent="0.35"/>
    <row r="1020" spans="1:15" ht="18" customHeight="1" x14ac:dyDescent="0.35"/>
    <row r="1021" spans="1:15" ht="18" customHeight="1" x14ac:dyDescent="0.35"/>
    <row r="1022" spans="1:15" ht="18" customHeight="1" x14ac:dyDescent="0.35"/>
    <row r="1023" spans="1:15" ht="18" customHeight="1" x14ac:dyDescent="0.35"/>
    <row r="1024" spans="1:15" ht="18" customHeight="1" x14ac:dyDescent="0.35"/>
    <row r="1025" spans="4:14" ht="18" customHeight="1" x14ac:dyDescent="0.35"/>
    <row r="1026" spans="4:14" ht="18" customHeight="1" x14ac:dyDescent="0.35"/>
    <row r="1027" spans="4:14" ht="18" customHeight="1" x14ac:dyDescent="0.35"/>
    <row r="1028" spans="4:14" ht="18" customHeight="1" x14ac:dyDescent="0.35">
      <c r="D1028" s="11"/>
      <c r="E1028" s="378"/>
      <c r="F1028" s="378"/>
      <c r="G1028" s="378"/>
      <c r="H1028" s="12"/>
    </row>
    <row r="1029" spans="4:14" ht="18" customHeight="1" x14ac:dyDescent="0.35">
      <c r="D1029" s="11"/>
      <c r="E1029" s="378"/>
      <c r="F1029" s="378"/>
      <c r="G1029" s="378"/>
      <c r="H1029" s="12"/>
    </row>
    <row r="1030" spans="4:14" ht="18" customHeight="1" x14ac:dyDescent="0.35">
      <c r="D1030" s="11"/>
      <c r="E1030" s="378"/>
      <c r="F1030" s="378"/>
      <c r="G1030" s="378"/>
      <c r="H1030" s="12"/>
    </row>
    <row r="1031" spans="4:14" ht="18" customHeight="1" x14ac:dyDescent="0.35">
      <c r="D1031" s="17"/>
      <c r="E1031" s="12"/>
      <c r="F1031" s="12"/>
      <c r="G1031" s="12"/>
      <c r="H1031" s="12"/>
      <c r="I1031" s="15"/>
      <c r="J1031" s="12"/>
      <c r="K1031" s="12"/>
      <c r="L1031" s="12"/>
      <c r="M1031" s="12"/>
      <c r="N1031" s="12"/>
    </row>
    <row r="1032" spans="4:14" ht="18" customHeight="1" x14ac:dyDescent="0.35">
      <c r="D1032" s="17"/>
      <c r="E1032" s="12"/>
      <c r="F1032" s="12"/>
      <c r="G1032" s="12"/>
      <c r="H1032" s="12"/>
      <c r="I1032" s="15"/>
      <c r="J1032" s="12"/>
      <c r="K1032" s="12"/>
      <c r="L1032" s="12"/>
      <c r="M1032" s="12"/>
      <c r="N1032" s="12"/>
    </row>
    <row r="1033" spans="4:14" ht="18" customHeight="1" x14ac:dyDescent="0.35">
      <c r="D1033" s="17"/>
      <c r="E1033" s="12"/>
      <c r="F1033" s="12"/>
      <c r="G1033" s="12"/>
      <c r="H1033" s="12"/>
      <c r="I1033" s="15"/>
      <c r="J1033" s="12"/>
      <c r="K1033" s="12"/>
      <c r="L1033" s="12"/>
      <c r="M1033" s="12"/>
      <c r="N1033" s="12"/>
    </row>
    <row r="1034" spans="4:14" ht="18" customHeight="1" x14ac:dyDescent="0.35">
      <c r="D1034" s="17"/>
      <c r="E1034" s="12"/>
      <c r="F1034" s="12"/>
      <c r="G1034" s="12"/>
      <c r="H1034" s="12"/>
      <c r="I1034" s="15"/>
      <c r="J1034" s="12"/>
      <c r="K1034" s="12"/>
      <c r="L1034" s="12"/>
      <c r="M1034" s="12"/>
      <c r="N1034" s="12"/>
    </row>
    <row r="1035" spans="4:14" ht="18" customHeight="1" x14ac:dyDescent="0.35">
      <c r="D1035" s="11"/>
      <c r="E1035" s="378"/>
      <c r="F1035" s="378"/>
      <c r="G1035" s="378"/>
      <c r="H1035" s="12"/>
    </row>
    <row r="1036" spans="4:14" ht="18" customHeight="1" x14ac:dyDescent="0.35">
      <c r="D1036" s="11"/>
      <c r="E1036" s="378"/>
      <c r="F1036" s="378"/>
      <c r="G1036" s="378"/>
      <c r="H1036" s="12"/>
    </row>
    <row r="1037" spans="4:14" ht="18" customHeight="1" x14ac:dyDescent="0.35">
      <c r="D1037" s="11"/>
      <c r="E1037" s="378"/>
      <c r="F1037" s="378"/>
      <c r="G1037" s="378"/>
      <c r="H1037" s="12"/>
    </row>
    <row r="1038" spans="4:14" ht="18" customHeight="1" x14ac:dyDescent="0.35">
      <c r="D1038" s="11"/>
      <c r="E1038" s="378"/>
      <c r="F1038" s="378"/>
      <c r="G1038" s="378"/>
      <c r="H1038" s="12"/>
    </row>
    <row r="1039" spans="4:14" ht="18" customHeight="1" x14ac:dyDescent="0.35">
      <c r="D1039" s="11"/>
      <c r="E1039" s="378"/>
      <c r="F1039" s="378"/>
      <c r="G1039" s="378"/>
      <c r="H1039" s="12"/>
    </row>
    <row r="1040" spans="4:14" ht="18" customHeight="1" x14ac:dyDescent="0.35">
      <c r="D1040" s="14"/>
      <c r="E1040" s="378"/>
      <c r="F1040" s="378"/>
      <c r="G1040" s="378"/>
      <c r="H1040" s="12"/>
    </row>
    <row r="1041" spans="1:14" ht="18" customHeight="1" x14ac:dyDescent="0.35">
      <c r="D1041" s="14"/>
      <c r="E1041" s="378"/>
      <c r="F1041" s="378"/>
      <c r="G1041" s="378"/>
      <c r="H1041" s="12"/>
    </row>
    <row r="1042" spans="1:14" s="5" customFormat="1" ht="18" customHeight="1" x14ac:dyDescent="0.35">
      <c r="A1042" s="590"/>
      <c r="B1042" s="3"/>
      <c r="C1042" s="7"/>
      <c r="D1042" s="18"/>
      <c r="E1042" s="4"/>
      <c r="F1042" s="4"/>
      <c r="G1042" s="4"/>
      <c r="H1042" s="3"/>
      <c r="I1042" s="13"/>
      <c r="J1042" s="378"/>
      <c r="K1042" s="378"/>
      <c r="L1042" s="378"/>
      <c r="M1042" s="378"/>
      <c r="N1042" s="378"/>
    </row>
    <row r="1043" spans="1:14" s="5" customFormat="1" ht="18" customHeight="1" x14ac:dyDescent="0.35">
      <c r="A1043" s="590"/>
      <c r="B1043" s="3"/>
      <c r="C1043" s="7"/>
      <c r="D1043" s="18"/>
      <c r="E1043" s="4"/>
      <c r="F1043" s="4"/>
      <c r="G1043" s="4"/>
      <c r="H1043" s="3"/>
      <c r="I1043" s="13"/>
      <c r="J1043" s="378"/>
      <c r="K1043" s="378"/>
      <c r="L1043" s="378"/>
      <c r="M1043" s="378"/>
      <c r="N1043" s="378"/>
    </row>
    <row r="1044" spans="1:14" s="5" customFormat="1" ht="18" customHeight="1" x14ac:dyDescent="0.35">
      <c r="A1044" s="590"/>
      <c r="B1044" s="3"/>
      <c r="C1044" s="7"/>
      <c r="D1044" s="14"/>
      <c r="E1044" s="378"/>
      <c r="F1044" s="378"/>
      <c r="G1044" s="378"/>
      <c r="H1044" s="12"/>
      <c r="I1044" s="13"/>
      <c r="J1044" s="378"/>
      <c r="K1044" s="378"/>
      <c r="L1044" s="378"/>
      <c r="M1044" s="378"/>
      <c r="N1044" s="378"/>
    </row>
    <row r="1045" spans="1:14" s="5" customFormat="1" ht="18" customHeight="1" x14ac:dyDescent="0.35">
      <c r="A1045" s="590"/>
      <c r="B1045" s="3"/>
      <c r="C1045" s="7"/>
      <c r="D1045" s="14"/>
      <c r="E1045" s="378"/>
      <c r="F1045" s="378"/>
      <c r="G1045" s="378"/>
      <c r="H1045" s="12"/>
      <c r="I1045" s="13"/>
      <c r="J1045" s="378"/>
      <c r="K1045" s="378"/>
      <c r="L1045" s="378"/>
      <c r="M1045" s="378"/>
      <c r="N1045" s="378"/>
    </row>
    <row r="1046" spans="1:14" s="5" customFormat="1" ht="18" customHeight="1" x14ac:dyDescent="0.35">
      <c r="A1046" s="590"/>
      <c r="B1046" s="3"/>
      <c r="C1046" s="7"/>
      <c r="D1046" s="14"/>
      <c r="E1046" s="378"/>
      <c r="F1046" s="378"/>
      <c r="G1046" s="378"/>
      <c r="H1046" s="12"/>
      <c r="I1046" s="13"/>
      <c r="J1046" s="378"/>
      <c r="K1046" s="378"/>
      <c r="L1046" s="378"/>
      <c r="M1046" s="378"/>
      <c r="N1046" s="378"/>
    </row>
    <row r="1047" spans="1:14" s="5" customFormat="1" ht="18" customHeight="1" x14ac:dyDescent="0.35">
      <c r="A1047" s="590"/>
      <c r="B1047" s="3"/>
      <c r="C1047" s="7"/>
      <c r="D1047" s="14"/>
      <c r="E1047" s="378"/>
      <c r="F1047" s="378"/>
      <c r="G1047" s="378"/>
      <c r="H1047" s="12"/>
      <c r="I1047" s="13"/>
      <c r="J1047" s="378"/>
      <c r="K1047" s="378"/>
      <c r="L1047" s="378"/>
      <c r="M1047" s="378"/>
      <c r="N1047" s="378"/>
    </row>
    <row r="1048" spans="1:14" s="5" customFormat="1" ht="18" customHeight="1" x14ac:dyDescent="0.35">
      <c r="A1048" s="590"/>
      <c r="B1048" s="3"/>
      <c r="C1048" s="7"/>
      <c r="D1048" s="14"/>
      <c r="E1048" s="378"/>
      <c r="F1048" s="378"/>
      <c r="G1048" s="378"/>
      <c r="H1048" s="12"/>
      <c r="I1048" s="13"/>
      <c r="J1048" s="378"/>
      <c r="K1048" s="378"/>
      <c r="L1048" s="378"/>
      <c r="M1048" s="378"/>
      <c r="N1048" s="378"/>
    </row>
    <row r="1049" spans="1:14" ht="18" customHeight="1" x14ac:dyDescent="0.35">
      <c r="D1049" s="11"/>
      <c r="E1049" s="378"/>
      <c r="F1049" s="378"/>
      <c r="G1049" s="378"/>
      <c r="H1049" s="12"/>
    </row>
    <row r="1050" spans="1:14" ht="18" customHeight="1" x14ac:dyDescent="0.35">
      <c r="D1050" s="11"/>
      <c r="E1050" s="378"/>
      <c r="F1050" s="378"/>
      <c r="G1050" s="378"/>
      <c r="H1050" s="12"/>
    </row>
    <row r="1051" spans="1:14" ht="18" customHeight="1" x14ac:dyDescent="0.35">
      <c r="D1051" s="11"/>
      <c r="E1051" s="378"/>
      <c r="F1051" s="378"/>
      <c r="G1051" s="378"/>
      <c r="H1051" s="12"/>
    </row>
    <row r="1052" spans="1:14" ht="18" customHeight="1" x14ac:dyDescent="0.35">
      <c r="D1052" s="11"/>
      <c r="E1052" s="378"/>
      <c r="F1052" s="378"/>
      <c r="G1052" s="378"/>
      <c r="H1052" s="12"/>
    </row>
    <row r="1053" spans="1:14" ht="18" customHeight="1" x14ac:dyDescent="0.35">
      <c r="D1053" s="11"/>
      <c r="E1053" s="378"/>
      <c r="F1053" s="378"/>
      <c r="G1053" s="378"/>
      <c r="H1053" s="12"/>
    </row>
    <row r="1054" spans="1:14" ht="18" customHeight="1" x14ac:dyDescent="0.35">
      <c r="D1054" s="11"/>
      <c r="E1054" s="378"/>
      <c r="F1054" s="378"/>
      <c r="G1054" s="378"/>
      <c r="H1054" s="12"/>
    </row>
    <row r="1055" spans="1:14" ht="18" customHeight="1" x14ac:dyDescent="0.35">
      <c r="D1055" s="11"/>
      <c r="E1055" s="378"/>
      <c r="F1055" s="378"/>
      <c r="G1055" s="378"/>
      <c r="H1055" s="12"/>
    </row>
    <row r="1056" spans="1:14" ht="18" customHeight="1" x14ac:dyDescent="0.35">
      <c r="D1056" s="11"/>
      <c r="E1056" s="378"/>
      <c r="F1056" s="378"/>
      <c r="G1056" s="378"/>
      <c r="H1056" s="12"/>
    </row>
    <row r="1057" spans="1:15" ht="18" customHeight="1" x14ac:dyDescent="0.35">
      <c r="D1057" s="11"/>
      <c r="E1057" s="378"/>
      <c r="F1057" s="378"/>
      <c r="G1057" s="378"/>
      <c r="H1057" s="12"/>
    </row>
    <row r="1058" spans="1:15" ht="18" customHeight="1" x14ac:dyDescent="0.35">
      <c r="D1058" s="11"/>
      <c r="E1058" s="378"/>
      <c r="F1058" s="378"/>
      <c r="G1058" s="378"/>
      <c r="H1058" s="12"/>
    </row>
    <row r="1059" spans="1:15" ht="18" customHeight="1" x14ac:dyDescent="0.35">
      <c r="D1059" s="11"/>
      <c r="E1059" s="378"/>
      <c r="F1059" s="378"/>
      <c r="G1059" s="378"/>
      <c r="H1059" s="12"/>
    </row>
    <row r="1060" spans="1:15" ht="18" customHeight="1" x14ac:dyDescent="0.35">
      <c r="D1060" s="11"/>
      <c r="E1060" s="378"/>
      <c r="F1060" s="378"/>
      <c r="G1060" s="378"/>
      <c r="H1060" s="12"/>
    </row>
    <row r="1061" spans="1:15" ht="18" customHeight="1" x14ac:dyDescent="0.35">
      <c r="D1061" s="11"/>
      <c r="E1061" s="378"/>
      <c r="F1061" s="378"/>
      <c r="G1061" s="378"/>
      <c r="H1061" s="12"/>
    </row>
    <row r="1062" spans="1:15" s="5" customFormat="1" ht="18" customHeight="1" x14ac:dyDescent="0.35">
      <c r="A1062" s="590"/>
      <c r="B1062" s="3"/>
      <c r="C1062" s="7"/>
      <c r="D1062" s="14"/>
      <c r="E1062" s="378"/>
      <c r="F1062" s="378"/>
      <c r="G1062" s="378"/>
      <c r="H1062" s="12"/>
      <c r="I1062" s="13"/>
      <c r="J1062" s="378"/>
      <c r="K1062" s="378"/>
      <c r="L1062" s="378"/>
      <c r="M1062" s="378"/>
      <c r="N1062" s="378"/>
    </row>
    <row r="1063" spans="1:15" ht="18" customHeight="1" x14ac:dyDescent="0.35">
      <c r="D1063" s="11"/>
      <c r="E1063" s="378"/>
      <c r="F1063" s="378"/>
      <c r="G1063" s="378"/>
      <c r="H1063" s="12"/>
    </row>
    <row r="1064" spans="1:15" s="13" customFormat="1" ht="18" customHeight="1" x14ac:dyDescent="0.35">
      <c r="A1064" s="590"/>
      <c r="B1064" s="3"/>
      <c r="C1064" s="7"/>
      <c r="D1064" s="11"/>
      <c r="E1064" s="378"/>
      <c r="F1064" s="378"/>
      <c r="G1064" s="378"/>
      <c r="H1064" s="12"/>
      <c r="J1064" s="378"/>
      <c r="K1064" s="378"/>
      <c r="L1064" s="378"/>
      <c r="M1064" s="378"/>
      <c r="N1064" s="378"/>
      <c r="O1064" s="4"/>
    </row>
    <row r="1065" spans="1:15" s="13" customFormat="1" ht="18" customHeight="1" x14ac:dyDescent="0.35">
      <c r="A1065" s="590"/>
      <c r="B1065" s="3"/>
      <c r="C1065" s="7"/>
      <c r="D1065" s="11"/>
      <c r="E1065" s="378"/>
      <c r="F1065" s="378"/>
      <c r="G1065" s="378"/>
      <c r="H1065" s="12"/>
      <c r="J1065" s="378"/>
      <c r="K1065" s="378"/>
      <c r="L1065" s="378"/>
      <c r="M1065" s="378"/>
      <c r="N1065" s="378"/>
      <c r="O1065" s="4"/>
    </row>
    <row r="1066" spans="1:15" s="13" customFormat="1" x14ac:dyDescent="0.35">
      <c r="A1066" s="590"/>
      <c r="B1066" s="3"/>
      <c r="C1066" s="7"/>
      <c r="D1066" s="11"/>
      <c r="E1066" s="378"/>
      <c r="F1066" s="378"/>
      <c r="G1066" s="378"/>
      <c r="H1066" s="12"/>
      <c r="J1066" s="378"/>
      <c r="K1066" s="378"/>
      <c r="L1066" s="378"/>
      <c r="M1066" s="378"/>
      <c r="N1066" s="378"/>
      <c r="O1066" s="4"/>
    </row>
    <row r="1067" spans="1:15" s="13" customFormat="1" x14ac:dyDescent="0.35">
      <c r="A1067" s="590"/>
      <c r="B1067" s="3"/>
      <c r="C1067" s="7"/>
      <c r="D1067" s="11"/>
      <c r="E1067" s="378"/>
      <c r="F1067" s="378"/>
      <c r="G1067" s="378"/>
      <c r="H1067" s="12"/>
      <c r="J1067" s="378"/>
      <c r="K1067" s="378"/>
      <c r="L1067" s="378"/>
      <c r="M1067" s="378"/>
      <c r="N1067" s="378"/>
      <c r="O1067" s="4"/>
    </row>
    <row r="1068" spans="1:15" s="13" customFormat="1" x14ac:dyDescent="0.35">
      <c r="A1068" s="590"/>
      <c r="B1068" s="3"/>
      <c r="C1068" s="7"/>
      <c r="D1068" s="11"/>
      <c r="E1068" s="378"/>
      <c r="F1068" s="378"/>
      <c r="G1068" s="378"/>
      <c r="H1068" s="12"/>
      <c r="J1068" s="378"/>
      <c r="K1068" s="378"/>
      <c r="L1068" s="378"/>
      <c r="M1068" s="378"/>
      <c r="N1068" s="378"/>
      <c r="O1068" s="4"/>
    </row>
    <row r="1069" spans="1:15" s="13" customFormat="1" x14ac:dyDescent="0.35">
      <c r="A1069" s="590"/>
      <c r="B1069" s="3"/>
      <c r="C1069" s="7"/>
      <c r="D1069" s="11"/>
      <c r="E1069" s="378"/>
      <c r="F1069" s="378"/>
      <c r="G1069" s="378"/>
      <c r="H1069" s="12"/>
      <c r="J1069" s="378"/>
      <c r="K1069" s="378"/>
      <c r="L1069" s="378"/>
      <c r="M1069" s="378"/>
      <c r="N1069" s="378"/>
      <c r="O1069" s="4"/>
    </row>
    <row r="1070" spans="1:15" s="13" customFormat="1" x14ac:dyDescent="0.35">
      <c r="A1070" s="590"/>
      <c r="B1070" s="3"/>
      <c r="C1070" s="7"/>
      <c r="D1070" s="11"/>
      <c r="E1070" s="378"/>
      <c r="F1070" s="378"/>
      <c r="G1070" s="378"/>
      <c r="H1070" s="12"/>
      <c r="J1070" s="378"/>
      <c r="K1070" s="378"/>
      <c r="L1070" s="378"/>
      <c r="M1070" s="378"/>
      <c r="N1070" s="378"/>
      <c r="O1070" s="4"/>
    </row>
    <row r="1071" spans="1:15" s="13" customFormat="1" x14ac:dyDescent="0.35">
      <c r="A1071" s="590"/>
      <c r="B1071" s="3"/>
      <c r="C1071" s="7"/>
      <c r="D1071" s="11"/>
      <c r="E1071" s="378"/>
      <c r="F1071" s="378"/>
      <c r="G1071" s="378"/>
      <c r="H1071" s="12"/>
      <c r="J1071" s="378"/>
      <c r="K1071" s="378"/>
      <c r="L1071" s="378"/>
      <c r="M1071" s="378"/>
      <c r="N1071" s="378"/>
      <c r="O1071" s="4"/>
    </row>
    <row r="1072" spans="1:15" s="13" customFormat="1" x14ac:dyDescent="0.35">
      <c r="A1072" s="590"/>
      <c r="B1072" s="3"/>
      <c r="C1072" s="7"/>
      <c r="D1072" s="11"/>
      <c r="E1072" s="378"/>
      <c r="F1072" s="378"/>
      <c r="G1072" s="378"/>
      <c r="H1072" s="12"/>
      <c r="J1072" s="378"/>
      <c r="K1072" s="378"/>
      <c r="L1072" s="378"/>
      <c r="M1072" s="378"/>
      <c r="N1072" s="378"/>
      <c r="O1072" s="4"/>
    </row>
    <row r="1073" spans="1:15" s="13" customFormat="1" x14ac:dyDescent="0.35">
      <c r="A1073" s="590"/>
      <c r="B1073" s="3"/>
      <c r="C1073" s="7"/>
      <c r="D1073" s="11"/>
      <c r="E1073" s="378"/>
      <c r="F1073" s="378"/>
      <c r="G1073" s="378"/>
      <c r="H1073" s="12"/>
      <c r="J1073" s="378"/>
      <c r="K1073" s="378"/>
      <c r="L1073" s="378"/>
      <c r="M1073" s="378"/>
      <c r="N1073" s="378"/>
      <c r="O1073" s="4"/>
    </row>
    <row r="1074" spans="1:15" s="13" customFormat="1" x14ac:dyDescent="0.35">
      <c r="A1074" s="590"/>
      <c r="B1074" s="3"/>
      <c r="C1074" s="7"/>
      <c r="D1074" s="11"/>
      <c r="E1074" s="378"/>
      <c r="F1074" s="378"/>
      <c r="G1074" s="378"/>
      <c r="H1074" s="12"/>
      <c r="J1074" s="378"/>
      <c r="K1074" s="378"/>
      <c r="L1074" s="378"/>
      <c r="M1074" s="378"/>
      <c r="N1074" s="378"/>
      <c r="O1074" s="4"/>
    </row>
    <row r="1075" spans="1:15" s="13" customFormat="1" x14ac:dyDescent="0.35">
      <c r="A1075" s="590"/>
      <c r="B1075" s="3"/>
      <c r="C1075" s="7"/>
      <c r="D1075" s="11"/>
      <c r="E1075" s="378"/>
      <c r="F1075" s="378"/>
      <c r="G1075" s="378"/>
      <c r="H1075" s="12"/>
      <c r="J1075" s="378"/>
      <c r="K1075" s="378"/>
      <c r="L1075" s="378"/>
      <c r="M1075" s="378"/>
      <c r="N1075" s="378"/>
      <c r="O1075" s="4"/>
    </row>
    <row r="1076" spans="1:15" s="13" customFormat="1" x14ac:dyDescent="0.35">
      <c r="A1076" s="590"/>
      <c r="B1076" s="3"/>
      <c r="C1076" s="7"/>
      <c r="D1076" s="11"/>
      <c r="E1076" s="378"/>
      <c r="F1076" s="378"/>
      <c r="G1076" s="378"/>
      <c r="H1076" s="12"/>
      <c r="J1076" s="378"/>
      <c r="K1076" s="378"/>
      <c r="L1076" s="378"/>
      <c r="M1076" s="378"/>
      <c r="N1076" s="378"/>
      <c r="O1076" s="4"/>
    </row>
    <row r="1077" spans="1:15" s="13" customFormat="1" x14ac:dyDescent="0.35">
      <c r="A1077" s="590"/>
      <c r="B1077" s="3"/>
      <c r="C1077" s="7"/>
      <c r="D1077" s="11"/>
      <c r="E1077" s="378"/>
      <c r="F1077" s="378"/>
      <c r="G1077" s="378"/>
      <c r="H1077" s="12"/>
      <c r="J1077" s="378"/>
      <c r="K1077" s="378"/>
      <c r="L1077" s="378"/>
      <c r="M1077" s="378"/>
      <c r="N1077" s="378"/>
      <c r="O1077" s="4"/>
    </row>
    <row r="1078" spans="1:15" s="13" customFormat="1" x14ac:dyDescent="0.35">
      <c r="A1078" s="590"/>
      <c r="B1078" s="3"/>
      <c r="C1078" s="7"/>
      <c r="D1078" s="11"/>
      <c r="E1078" s="378"/>
      <c r="F1078" s="378"/>
      <c r="G1078" s="378"/>
      <c r="H1078" s="12"/>
      <c r="J1078" s="378"/>
      <c r="K1078" s="378"/>
      <c r="L1078" s="378"/>
      <c r="M1078" s="378"/>
      <c r="N1078" s="378"/>
      <c r="O1078" s="4"/>
    </row>
    <row r="1079" spans="1:15" s="13" customFormat="1" x14ac:dyDescent="0.35">
      <c r="A1079" s="590"/>
      <c r="B1079" s="3"/>
      <c r="C1079" s="7"/>
      <c r="D1079" s="11"/>
      <c r="E1079" s="378"/>
      <c r="F1079" s="378"/>
      <c r="G1079" s="378"/>
      <c r="H1079" s="12"/>
      <c r="J1079" s="378"/>
      <c r="K1079" s="378"/>
      <c r="L1079" s="378"/>
      <c r="M1079" s="378"/>
      <c r="N1079" s="378"/>
      <c r="O1079" s="4"/>
    </row>
    <row r="1080" spans="1:15" s="13" customFormat="1" x14ac:dyDescent="0.35">
      <c r="A1080" s="590"/>
      <c r="B1080" s="3"/>
      <c r="C1080" s="7"/>
      <c r="D1080" s="11"/>
      <c r="E1080" s="378"/>
      <c r="F1080" s="378"/>
      <c r="G1080" s="378"/>
      <c r="H1080" s="12"/>
      <c r="J1080" s="378"/>
      <c r="K1080" s="378"/>
      <c r="L1080" s="378"/>
      <c r="M1080" s="378"/>
      <c r="N1080" s="378"/>
      <c r="O1080" s="4"/>
    </row>
    <row r="1081" spans="1:15" s="13" customFormat="1" x14ac:dyDescent="0.35">
      <c r="A1081" s="590"/>
      <c r="B1081" s="3"/>
      <c r="C1081" s="7"/>
      <c r="D1081" s="11"/>
      <c r="E1081" s="378"/>
      <c r="F1081" s="378"/>
      <c r="G1081" s="378"/>
      <c r="H1081" s="12"/>
      <c r="J1081" s="378"/>
      <c r="K1081" s="378"/>
      <c r="L1081" s="378"/>
      <c r="M1081" s="378"/>
      <c r="N1081" s="378"/>
      <c r="O1081" s="4"/>
    </row>
    <row r="1082" spans="1:15" s="13" customFormat="1" x14ac:dyDescent="0.35">
      <c r="A1082" s="590"/>
      <c r="B1082" s="3"/>
      <c r="C1082" s="7"/>
      <c r="D1082" s="11"/>
      <c r="E1082" s="378"/>
      <c r="F1082" s="378"/>
      <c r="G1082" s="378"/>
      <c r="H1082" s="12"/>
      <c r="J1082" s="378"/>
      <c r="K1082" s="378"/>
      <c r="L1082" s="378"/>
      <c r="M1082" s="378"/>
      <c r="N1082" s="378"/>
      <c r="O1082" s="4"/>
    </row>
    <row r="1083" spans="1:15" s="13" customFormat="1" x14ac:dyDescent="0.35">
      <c r="A1083" s="590"/>
      <c r="B1083" s="3"/>
      <c r="C1083" s="7"/>
      <c r="D1083" s="11"/>
      <c r="E1083" s="378"/>
      <c r="F1083" s="378"/>
      <c r="G1083" s="378"/>
      <c r="H1083" s="12"/>
      <c r="J1083" s="378"/>
      <c r="K1083" s="378"/>
      <c r="L1083" s="378"/>
      <c r="M1083" s="378"/>
      <c r="N1083" s="378"/>
      <c r="O1083" s="4"/>
    </row>
    <row r="1084" spans="1:15" s="13" customFormat="1" x14ac:dyDescent="0.35">
      <c r="A1084" s="590"/>
      <c r="B1084" s="3"/>
      <c r="C1084" s="7"/>
      <c r="D1084" s="11"/>
      <c r="E1084" s="378"/>
      <c r="F1084" s="378"/>
      <c r="G1084" s="378"/>
      <c r="H1084" s="12"/>
      <c r="J1084" s="378"/>
      <c r="K1084" s="378"/>
      <c r="L1084" s="378"/>
      <c r="M1084" s="378"/>
      <c r="N1084" s="378"/>
      <c r="O1084" s="4"/>
    </row>
    <row r="1085" spans="1:15" s="13" customFormat="1" x14ac:dyDescent="0.35">
      <c r="A1085" s="590"/>
      <c r="B1085" s="3"/>
      <c r="C1085" s="7"/>
      <c r="D1085" s="11"/>
      <c r="E1085" s="378"/>
      <c r="F1085" s="378"/>
      <c r="G1085" s="378"/>
      <c r="H1085" s="12"/>
      <c r="J1085" s="378"/>
      <c r="K1085" s="378"/>
      <c r="L1085" s="378"/>
      <c r="M1085" s="378"/>
      <c r="N1085" s="378"/>
      <c r="O1085" s="4"/>
    </row>
    <row r="1086" spans="1:15" s="13" customFormat="1" x14ac:dyDescent="0.35">
      <c r="A1086" s="590"/>
      <c r="B1086" s="3"/>
      <c r="C1086" s="7"/>
      <c r="D1086" s="11"/>
      <c r="E1086" s="378"/>
      <c r="F1086" s="378"/>
      <c r="G1086" s="378"/>
      <c r="H1086" s="12"/>
      <c r="J1086" s="378"/>
      <c r="K1086" s="378"/>
      <c r="L1086" s="378"/>
      <c r="M1086" s="378"/>
      <c r="N1086" s="378"/>
      <c r="O1086" s="4"/>
    </row>
    <row r="1087" spans="1:15" s="13" customFormat="1" x14ac:dyDescent="0.35">
      <c r="A1087" s="590"/>
      <c r="B1087" s="3"/>
      <c r="C1087" s="7"/>
      <c r="D1087" s="11"/>
      <c r="E1087" s="378"/>
      <c r="F1087" s="378"/>
      <c r="G1087" s="378"/>
      <c r="H1087" s="12"/>
      <c r="J1087" s="378"/>
      <c r="K1087" s="378"/>
      <c r="L1087" s="378"/>
      <c r="M1087" s="378"/>
      <c r="N1087" s="378"/>
      <c r="O1087" s="4"/>
    </row>
    <row r="1088" spans="1:15" s="13" customFormat="1" x14ac:dyDescent="0.35">
      <c r="A1088" s="590"/>
      <c r="B1088" s="3"/>
      <c r="C1088" s="7"/>
      <c r="D1088" s="11"/>
      <c r="E1088" s="378"/>
      <c r="F1088" s="378"/>
      <c r="G1088" s="378"/>
      <c r="H1088" s="12"/>
      <c r="J1088" s="378"/>
      <c r="K1088" s="378"/>
      <c r="L1088" s="378"/>
      <c r="M1088" s="378"/>
      <c r="N1088" s="378"/>
      <c r="O1088" s="4"/>
    </row>
    <row r="1089" spans="1:15" s="13" customFormat="1" x14ac:dyDescent="0.35">
      <c r="A1089" s="590"/>
      <c r="B1089" s="3"/>
      <c r="C1089" s="7"/>
      <c r="D1089" s="11"/>
      <c r="E1089" s="378"/>
      <c r="F1089" s="378"/>
      <c r="G1089" s="378"/>
      <c r="H1089" s="12"/>
      <c r="J1089" s="378"/>
      <c r="K1089" s="378"/>
      <c r="L1089" s="378"/>
      <c r="M1089" s="378"/>
      <c r="N1089" s="378"/>
      <c r="O1089" s="4"/>
    </row>
    <row r="1090" spans="1:15" s="13" customFormat="1" x14ac:dyDescent="0.35">
      <c r="A1090" s="590"/>
      <c r="B1090" s="3"/>
      <c r="C1090" s="7"/>
      <c r="D1090" s="11"/>
      <c r="E1090" s="378"/>
      <c r="F1090" s="378"/>
      <c r="G1090" s="378"/>
      <c r="H1090" s="12"/>
      <c r="J1090" s="378"/>
      <c r="K1090" s="378"/>
      <c r="L1090" s="378"/>
      <c r="M1090" s="378"/>
      <c r="N1090" s="378"/>
      <c r="O1090" s="4"/>
    </row>
    <row r="1091" spans="1:15" s="13" customFormat="1" x14ac:dyDescent="0.35">
      <c r="A1091" s="590"/>
      <c r="B1091" s="3"/>
      <c r="C1091" s="7"/>
      <c r="D1091" s="11"/>
      <c r="E1091" s="378"/>
      <c r="F1091" s="378"/>
      <c r="G1091" s="378"/>
      <c r="H1091" s="12"/>
      <c r="J1091" s="378"/>
      <c r="K1091" s="378"/>
      <c r="L1091" s="378"/>
      <c r="M1091" s="378"/>
      <c r="N1091" s="378"/>
      <c r="O1091" s="4"/>
    </row>
    <row r="1092" spans="1:15" s="13" customFormat="1" x14ac:dyDescent="0.35">
      <c r="A1092" s="590"/>
      <c r="B1092" s="3"/>
      <c r="C1092" s="7"/>
      <c r="D1092" s="11"/>
      <c r="E1092" s="378"/>
      <c r="F1092" s="378"/>
      <c r="G1092" s="378"/>
      <c r="H1092" s="12"/>
      <c r="J1092" s="378"/>
      <c r="K1092" s="378"/>
      <c r="L1092" s="378"/>
      <c r="M1092" s="378"/>
      <c r="N1092" s="378"/>
      <c r="O1092" s="4"/>
    </row>
    <row r="1093" spans="1:15" s="13" customFormat="1" x14ac:dyDescent="0.35">
      <c r="A1093" s="590"/>
      <c r="B1093" s="3"/>
      <c r="C1093" s="7"/>
      <c r="D1093" s="11"/>
      <c r="E1093" s="378"/>
      <c r="F1093" s="378"/>
      <c r="G1093" s="378"/>
      <c r="H1093" s="12"/>
      <c r="J1093" s="378"/>
      <c r="K1093" s="378"/>
      <c r="L1093" s="378"/>
      <c r="M1093" s="378"/>
      <c r="N1093" s="378"/>
      <c r="O1093" s="4"/>
    </row>
    <row r="1094" spans="1:15" s="13" customFormat="1" x14ac:dyDescent="0.35">
      <c r="A1094" s="590"/>
      <c r="B1094" s="3"/>
      <c r="C1094" s="7"/>
      <c r="D1094" s="11"/>
      <c r="E1094" s="378"/>
      <c r="F1094" s="378"/>
      <c r="G1094" s="378"/>
      <c r="H1094" s="12"/>
      <c r="J1094" s="378"/>
      <c r="K1094" s="378"/>
      <c r="L1094" s="378"/>
      <c r="M1094" s="378"/>
      <c r="N1094" s="378"/>
      <c r="O1094" s="4"/>
    </row>
    <row r="1095" spans="1:15" s="13" customFormat="1" x14ac:dyDescent="0.35">
      <c r="A1095" s="590"/>
      <c r="B1095" s="3"/>
      <c r="C1095" s="7"/>
      <c r="D1095" s="11"/>
      <c r="E1095" s="378"/>
      <c r="F1095" s="378"/>
      <c r="G1095" s="378"/>
      <c r="H1095" s="12"/>
      <c r="J1095" s="378"/>
      <c r="K1095" s="378"/>
      <c r="L1095" s="378"/>
      <c r="M1095" s="378"/>
      <c r="N1095" s="378"/>
      <c r="O1095" s="4"/>
    </row>
    <row r="1096" spans="1:15" s="13" customFormat="1" x14ac:dyDescent="0.35">
      <c r="A1096" s="590"/>
      <c r="B1096" s="3"/>
      <c r="C1096" s="7"/>
      <c r="D1096" s="11"/>
      <c r="E1096" s="378"/>
      <c r="F1096" s="378"/>
      <c r="G1096" s="378"/>
      <c r="H1096" s="12"/>
      <c r="J1096" s="378"/>
      <c r="K1096" s="378"/>
      <c r="L1096" s="378"/>
      <c r="M1096" s="378"/>
      <c r="N1096" s="378"/>
      <c r="O1096" s="4"/>
    </row>
    <row r="1097" spans="1:15" s="13" customFormat="1" x14ac:dyDescent="0.35">
      <c r="A1097" s="590"/>
      <c r="B1097" s="3"/>
      <c r="C1097" s="7"/>
      <c r="D1097" s="11"/>
      <c r="E1097" s="378"/>
      <c r="F1097" s="378"/>
      <c r="G1097" s="378"/>
      <c r="H1097" s="12"/>
      <c r="J1097" s="378"/>
      <c r="K1097" s="378"/>
      <c r="L1097" s="378"/>
      <c r="M1097" s="378"/>
      <c r="N1097" s="378"/>
      <c r="O1097" s="4"/>
    </row>
    <row r="1098" spans="1:15" s="13" customFormat="1" x14ac:dyDescent="0.35">
      <c r="A1098" s="590"/>
      <c r="B1098" s="3"/>
      <c r="C1098" s="7"/>
      <c r="D1098" s="11"/>
      <c r="E1098" s="378"/>
      <c r="F1098" s="378"/>
      <c r="G1098" s="378"/>
      <c r="H1098" s="12"/>
      <c r="J1098" s="378"/>
      <c r="K1098" s="378"/>
      <c r="L1098" s="378"/>
      <c r="M1098" s="378"/>
      <c r="N1098" s="378"/>
      <c r="O1098" s="4"/>
    </row>
    <row r="1099" spans="1:15" s="13" customFormat="1" x14ac:dyDescent="0.35">
      <c r="A1099" s="590"/>
      <c r="B1099" s="3"/>
      <c r="C1099" s="7"/>
      <c r="D1099" s="11"/>
      <c r="E1099" s="378"/>
      <c r="F1099" s="378"/>
      <c r="G1099" s="378"/>
      <c r="H1099" s="12"/>
      <c r="J1099" s="378"/>
      <c r="K1099" s="378"/>
      <c r="L1099" s="378"/>
      <c r="M1099" s="378"/>
      <c r="N1099" s="378"/>
      <c r="O1099" s="4"/>
    </row>
    <row r="1100" spans="1:15" s="13" customFormat="1" x14ac:dyDescent="0.35">
      <c r="A1100" s="590"/>
      <c r="B1100" s="3"/>
      <c r="C1100" s="7"/>
      <c r="D1100" s="11"/>
      <c r="E1100" s="378"/>
      <c r="F1100" s="378"/>
      <c r="G1100" s="378"/>
      <c r="H1100" s="12"/>
      <c r="J1100" s="378"/>
      <c r="K1100" s="378"/>
      <c r="L1100" s="378"/>
      <c r="M1100" s="378"/>
      <c r="N1100" s="378"/>
      <c r="O1100" s="4"/>
    </row>
    <row r="1101" spans="1:15" s="13" customFormat="1" x14ac:dyDescent="0.35">
      <c r="A1101" s="590"/>
      <c r="B1101" s="3"/>
      <c r="C1101" s="7"/>
      <c r="D1101" s="11"/>
      <c r="E1101" s="378"/>
      <c r="F1101" s="378"/>
      <c r="G1101" s="378"/>
      <c r="H1101" s="12"/>
      <c r="J1101" s="378"/>
      <c r="K1101" s="378"/>
      <c r="L1101" s="378"/>
      <c r="M1101" s="378"/>
      <c r="N1101" s="378"/>
      <c r="O1101" s="4"/>
    </row>
    <row r="1102" spans="1:15" s="13" customFormat="1" x14ac:dyDescent="0.35">
      <c r="A1102" s="590"/>
      <c r="B1102" s="3"/>
      <c r="C1102" s="7"/>
      <c r="D1102" s="11"/>
      <c r="E1102" s="378"/>
      <c r="F1102" s="378"/>
      <c r="G1102" s="378"/>
      <c r="H1102" s="12"/>
      <c r="J1102" s="378"/>
      <c r="K1102" s="378"/>
      <c r="L1102" s="378"/>
      <c r="M1102" s="378"/>
      <c r="N1102" s="378"/>
      <c r="O1102" s="4"/>
    </row>
    <row r="1103" spans="1:15" s="13" customFormat="1" x14ac:dyDescent="0.35">
      <c r="A1103" s="590"/>
      <c r="B1103" s="3"/>
      <c r="C1103" s="7"/>
      <c r="D1103" s="11"/>
      <c r="E1103" s="378"/>
      <c r="F1103" s="378"/>
      <c r="G1103" s="378"/>
      <c r="H1103" s="12"/>
      <c r="J1103" s="378"/>
      <c r="K1103" s="378"/>
      <c r="L1103" s="378"/>
      <c r="M1103" s="378"/>
      <c r="N1103" s="378"/>
      <c r="O1103" s="4"/>
    </row>
    <row r="1104" spans="1:15" s="13" customFormat="1" x14ac:dyDescent="0.35">
      <c r="A1104" s="590"/>
      <c r="B1104" s="3"/>
      <c r="C1104" s="7"/>
      <c r="D1104" s="11"/>
      <c r="E1104" s="378"/>
      <c r="F1104" s="378"/>
      <c r="G1104" s="378"/>
      <c r="H1104" s="12"/>
      <c r="J1104" s="378"/>
      <c r="K1104" s="378"/>
      <c r="L1104" s="378"/>
      <c r="M1104" s="378"/>
      <c r="N1104" s="378"/>
      <c r="O1104" s="4"/>
    </row>
    <row r="1105" spans="1:15" s="13" customFormat="1" x14ac:dyDescent="0.35">
      <c r="A1105" s="590"/>
      <c r="B1105" s="3"/>
      <c r="C1105" s="7"/>
      <c r="D1105" s="11"/>
      <c r="E1105" s="378"/>
      <c r="F1105" s="378"/>
      <c r="G1105" s="378"/>
      <c r="H1105" s="12"/>
      <c r="J1105" s="378"/>
      <c r="K1105" s="378"/>
      <c r="L1105" s="378"/>
      <c r="M1105" s="378"/>
      <c r="N1105" s="378"/>
      <c r="O1105" s="4"/>
    </row>
    <row r="1106" spans="1:15" s="13" customFormat="1" x14ac:dyDescent="0.35">
      <c r="A1106" s="590"/>
      <c r="B1106" s="3"/>
      <c r="C1106" s="7"/>
      <c r="D1106" s="11"/>
      <c r="E1106" s="378"/>
      <c r="F1106" s="378"/>
      <c r="G1106" s="378"/>
      <c r="H1106" s="12"/>
      <c r="J1106" s="378"/>
      <c r="K1106" s="378"/>
      <c r="L1106" s="378"/>
      <c r="M1106" s="378"/>
      <c r="N1106" s="378"/>
      <c r="O1106" s="4"/>
    </row>
    <row r="1107" spans="1:15" s="13" customFormat="1" x14ac:dyDescent="0.35">
      <c r="A1107" s="590"/>
      <c r="B1107" s="3"/>
      <c r="C1107" s="7"/>
      <c r="D1107" s="16"/>
      <c r="E1107" s="4"/>
      <c r="F1107" s="4"/>
      <c r="G1107" s="4"/>
      <c r="H1107" s="3"/>
      <c r="J1107" s="378"/>
      <c r="K1107" s="378"/>
      <c r="L1107" s="378"/>
      <c r="M1107" s="378"/>
      <c r="N1107" s="378"/>
      <c r="O1107" s="4"/>
    </row>
    <row r="1108" spans="1:15" s="13" customFormat="1" x14ac:dyDescent="0.35">
      <c r="A1108" s="590"/>
      <c r="B1108" s="3"/>
      <c r="C1108" s="7"/>
      <c r="D1108" s="16"/>
      <c r="E1108" s="4"/>
      <c r="F1108" s="4"/>
      <c r="G1108" s="4"/>
      <c r="H1108" s="3"/>
      <c r="J1108" s="378"/>
      <c r="K1108" s="378"/>
      <c r="L1108" s="378"/>
      <c r="M1108" s="378"/>
      <c r="N1108" s="378"/>
      <c r="O1108" s="4"/>
    </row>
    <row r="1109" spans="1:15" s="13" customFormat="1" x14ac:dyDescent="0.35">
      <c r="A1109" s="590"/>
      <c r="B1109" s="3"/>
      <c r="C1109" s="7"/>
      <c r="D1109" s="16"/>
      <c r="E1109" s="4"/>
      <c r="F1109" s="4"/>
      <c r="G1109" s="4"/>
      <c r="H1109" s="3"/>
      <c r="J1109" s="378"/>
      <c r="K1109" s="378"/>
      <c r="L1109" s="378"/>
      <c r="M1109" s="378"/>
      <c r="N1109" s="378"/>
      <c r="O1109" s="4"/>
    </row>
    <row r="1110" spans="1:15" s="13" customFormat="1" x14ac:dyDescent="0.35">
      <c r="A1110" s="590"/>
      <c r="B1110" s="3"/>
      <c r="C1110" s="7"/>
      <c r="D1110" s="16"/>
      <c r="E1110" s="4"/>
      <c r="F1110" s="4"/>
      <c r="G1110" s="4"/>
      <c r="H1110" s="3"/>
      <c r="J1110" s="378"/>
      <c r="K1110" s="378"/>
      <c r="L1110" s="378"/>
      <c r="M1110" s="378"/>
      <c r="N1110" s="378"/>
      <c r="O1110" s="4"/>
    </row>
    <row r="1111" spans="1:15" s="13" customFormat="1" x14ac:dyDescent="0.35">
      <c r="A1111" s="590"/>
      <c r="B1111" s="3"/>
      <c r="C1111" s="7"/>
      <c r="D1111" s="16"/>
      <c r="E1111" s="4"/>
      <c r="F1111" s="4"/>
      <c r="G1111" s="4"/>
      <c r="H1111" s="3"/>
      <c r="J1111" s="378"/>
      <c r="K1111" s="378"/>
      <c r="L1111" s="378"/>
      <c r="M1111" s="378"/>
      <c r="N1111" s="378"/>
      <c r="O1111" s="4"/>
    </row>
    <row r="1112" spans="1:15" s="13" customFormat="1" x14ac:dyDescent="0.35">
      <c r="A1112" s="590"/>
      <c r="B1112" s="3"/>
      <c r="C1112" s="7"/>
      <c r="D1112" s="16"/>
      <c r="E1112" s="4"/>
      <c r="F1112" s="4"/>
      <c r="G1112" s="4"/>
      <c r="H1112" s="3"/>
      <c r="J1112" s="378"/>
      <c r="K1112" s="378"/>
      <c r="L1112" s="378"/>
      <c r="M1112" s="378"/>
      <c r="N1112" s="378"/>
      <c r="O1112" s="4"/>
    </row>
    <row r="1113" spans="1:15" s="13" customFormat="1" x14ac:dyDescent="0.35">
      <c r="A1113" s="590"/>
      <c r="B1113" s="3"/>
      <c r="C1113" s="7"/>
      <c r="D1113" s="16"/>
      <c r="E1113" s="4"/>
      <c r="F1113" s="4"/>
      <c r="G1113" s="4"/>
      <c r="H1113" s="3"/>
      <c r="J1113" s="378"/>
      <c r="K1113" s="378"/>
      <c r="L1113" s="378"/>
      <c r="M1113" s="378"/>
      <c r="N1113" s="378"/>
      <c r="O1113" s="4"/>
    </row>
    <row r="1114" spans="1:15" s="13" customFormat="1" x14ac:dyDescent="0.35">
      <c r="A1114" s="590"/>
      <c r="B1114" s="3"/>
      <c r="C1114" s="7"/>
      <c r="D1114" s="16"/>
      <c r="E1114" s="4"/>
      <c r="F1114" s="4"/>
      <c r="G1114" s="4"/>
      <c r="H1114" s="3"/>
      <c r="J1114" s="378"/>
      <c r="K1114" s="378"/>
      <c r="L1114" s="378"/>
      <c r="M1114" s="378"/>
      <c r="N1114" s="378"/>
      <c r="O1114" s="4"/>
    </row>
    <row r="1115" spans="1:15" s="13" customFormat="1" x14ac:dyDescent="0.35">
      <c r="A1115" s="590"/>
      <c r="B1115" s="3"/>
      <c r="C1115" s="7"/>
      <c r="D1115" s="16"/>
      <c r="E1115" s="4"/>
      <c r="F1115" s="4"/>
      <c r="G1115" s="4"/>
      <c r="H1115" s="3"/>
      <c r="J1115" s="378"/>
      <c r="K1115" s="378"/>
      <c r="L1115" s="378"/>
      <c r="M1115" s="378"/>
      <c r="N1115" s="378"/>
      <c r="O1115" s="4"/>
    </row>
    <row r="1116" spans="1:15" s="13" customFormat="1" x14ac:dyDescent="0.35">
      <c r="A1116" s="590"/>
      <c r="B1116" s="3"/>
      <c r="C1116" s="7"/>
      <c r="D1116" s="16"/>
      <c r="E1116" s="4"/>
      <c r="F1116" s="4"/>
      <c r="G1116" s="4"/>
      <c r="H1116" s="3"/>
      <c r="J1116" s="378"/>
      <c r="K1116" s="378"/>
      <c r="L1116" s="378"/>
      <c r="M1116" s="378"/>
      <c r="N1116" s="378"/>
      <c r="O1116" s="4"/>
    </row>
  </sheetData>
  <mergeCells count="28">
    <mergeCell ref="D990:G990"/>
    <mergeCell ref="D987:G987"/>
    <mergeCell ref="D988:G988"/>
    <mergeCell ref="B994:D994"/>
    <mergeCell ref="B1:N1"/>
    <mergeCell ref="B2:N2"/>
    <mergeCell ref="B979:G979"/>
    <mergeCell ref="D980:G980"/>
    <mergeCell ref="D982:G982"/>
    <mergeCell ref="B4:N4"/>
    <mergeCell ref="B5:N5"/>
    <mergeCell ref="M6:N6"/>
    <mergeCell ref="B996:D996"/>
    <mergeCell ref="I8:I9"/>
    <mergeCell ref="J8:N8"/>
    <mergeCell ref="E8:E9"/>
    <mergeCell ref="B8:B9"/>
    <mergeCell ref="C8:C9"/>
    <mergeCell ref="G8:G9"/>
    <mergeCell ref="D8:D9"/>
    <mergeCell ref="F8:F9"/>
    <mergeCell ref="H8:H9"/>
    <mergeCell ref="D984:G984"/>
    <mergeCell ref="D985:G985"/>
    <mergeCell ref="D989:G989"/>
    <mergeCell ref="D993:G993"/>
    <mergeCell ref="D992:G992"/>
    <mergeCell ref="D983:G983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65" fitToHeight="0" orientation="landscape" r:id="rId1"/>
  <headerFooter alignWithMargins="0">
    <oddFooter>&amp;C-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4"/>
  <sheetViews>
    <sheetView view="pageBreakPreview" zoomScaleNormal="100" zoomScaleSheetLayoutView="100" workbookViewId="0">
      <selection activeCell="B1" sqref="B1:C1"/>
    </sheetView>
  </sheetViews>
  <sheetFormatPr defaultColWidth="9.140625" defaultRowHeight="14.25" x14ac:dyDescent="0.2"/>
  <cols>
    <col min="1" max="1" width="3.7109375" style="677" customWidth="1"/>
    <col min="2" max="2" width="80.7109375" style="297" customWidth="1"/>
    <col min="3" max="3" width="15.7109375" style="297" customWidth="1"/>
    <col min="4" max="4" width="9.140625" style="297"/>
    <col min="5" max="5" width="90.42578125" style="297" customWidth="1"/>
    <col min="6" max="16384" width="9.140625" style="297"/>
  </cols>
  <sheetData>
    <row r="1" spans="1:5" ht="33.75" customHeight="1" x14ac:dyDescent="0.35">
      <c r="A1" s="976"/>
      <c r="B1" s="2257" t="s">
        <v>1311</v>
      </c>
      <c r="C1" s="2257"/>
    </row>
    <row r="2" spans="1:5" s="465" customFormat="1" ht="18.75" customHeight="1" x14ac:dyDescent="0.3">
      <c r="A2" s="976"/>
      <c r="B2" s="2258" t="s">
        <v>1303</v>
      </c>
      <c r="C2" s="2258"/>
    </row>
    <row r="3" spans="1:5" s="465" customFormat="1" ht="16.5" x14ac:dyDescent="0.3">
      <c r="A3" s="976"/>
      <c r="B3" s="2064"/>
      <c r="C3" s="2064"/>
    </row>
    <row r="4" spans="1:5" ht="19.899999999999999" customHeight="1" x14ac:dyDescent="0.2">
      <c r="A4" s="976"/>
      <c r="B4" s="2250" t="s">
        <v>122</v>
      </c>
      <c r="C4" s="2250"/>
    </row>
    <row r="5" spans="1:5" ht="19.899999999999999" customHeight="1" x14ac:dyDescent="0.2">
      <c r="A5" s="976"/>
      <c r="B5" s="2250" t="s">
        <v>318</v>
      </c>
      <c r="C5" s="2250"/>
    </row>
    <row r="6" spans="1:5" ht="33.75" customHeight="1" x14ac:dyDescent="0.2">
      <c r="A6" s="976"/>
      <c r="B6" s="2259" t="s">
        <v>1283</v>
      </c>
      <c r="C6" s="2259"/>
    </row>
    <row r="7" spans="1:5" s="977" customFormat="1" ht="19.899999999999999" customHeight="1" x14ac:dyDescent="0.3">
      <c r="A7" s="975"/>
      <c r="B7" s="2252" t="s">
        <v>0</v>
      </c>
      <c r="C7" s="2252"/>
    </row>
    <row r="8" spans="1:5" s="145" customFormat="1" ht="15" thickBot="1" x14ac:dyDescent="0.25">
      <c r="A8" s="676"/>
      <c r="B8" s="944" t="s">
        <v>1</v>
      </c>
      <c r="C8" s="943" t="s">
        <v>3</v>
      </c>
    </row>
    <row r="9" spans="1:5" ht="19.899999999999999" customHeight="1" x14ac:dyDescent="0.2">
      <c r="A9" s="198"/>
      <c r="B9" s="2253" t="s">
        <v>324</v>
      </c>
      <c r="C9" s="2255" t="s">
        <v>319</v>
      </c>
    </row>
    <row r="10" spans="1:5" ht="19.899999999999999" customHeight="1" thickBot="1" x14ac:dyDescent="0.25">
      <c r="A10" s="198"/>
      <c r="B10" s="2254"/>
      <c r="C10" s="2256"/>
    </row>
    <row r="11" spans="1:5" s="298" customFormat="1" ht="32.25" customHeight="1" thickTop="1" x14ac:dyDescent="0.2">
      <c r="A11" s="197">
        <v>1</v>
      </c>
      <c r="B11" s="191" t="s">
        <v>1143</v>
      </c>
      <c r="C11" s="1885">
        <v>10200</v>
      </c>
      <c r="D11" s="299"/>
      <c r="E11" s="300"/>
    </row>
    <row r="12" spans="1:5" s="298" customFormat="1" ht="18" customHeight="1" x14ac:dyDescent="0.2">
      <c r="A12" s="197">
        <v>2</v>
      </c>
      <c r="B12" s="191" t="s">
        <v>814</v>
      </c>
      <c r="C12" s="192">
        <f>2550-1550</f>
        <v>1000</v>
      </c>
      <c r="D12" s="299"/>
      <c r="E12" s="300"/>
    </row>
    <row r="13" spans="1:5" s="298" customFormat="1" ht="18" customHeight="1" x14ac:dyDescent="0.2">
      <c r="A13" s="197">
        <v>3</v>
      </c>
      <c r="B13" s="191" t="s">
        <v>815</v>
      </c>
      <c r="C13" s="192">
        <f>2550-1550</f>
        <v>1000</v>
      </c>
      <c r="D13" s="299"/>
      <c r="E13" s="300"/>
    </row>
    <row r="14" spans="1:5" s="298" customFormat="1" ht="18" customHeight="1" x14ac:dyDescent="0.2">
      <c r="A14" s="197">
        <v>4</v>
      </c>
      <c r="B14" s="191" t="s">
        <v>816</v>
      </c>
      <c r="C14" s="192">
        <f>850-400</f>
        <v>450</v>
      </c>
      <c r="D14" s="299"/>
      <c r="E14" s="300"/>
    </row>
    <row r="15" spans="1:5" s="298" customFormat="1" ht="18" customHeight="1" x14ac:dyDescent="0.2">
      <c r="A15" s="197">
        <v>5</v>
      </c>
      <c r="B15" s="191" t="s">
        <v>597</v>
      </c>
      <c r="C15" s="192">
        <f>553-553+500</f>
        <v>500</v>
      </c>
      <c r="D15" s="299"/>
      <c r="E15" s="300"/>
    </row>
    <row r="16" spans="1:5" s="298" customFormat="1" ht="18" customHeight="1" x14ac:dyDescent="0.2">
      <c r="A16" s="197">
        <v>6</v>
      </c>
      <c r="B16" s="191" t="s">
        <v>398</v>
      </c>
      <c r="C16" s="192">
        <f>25975+4880</f>
        <v>30855</v>
      </c>
      <c r="D16" s="299"/>
      <c r="E16" s="300"/>
    </row>
    <row r="17" spans="1:5" s="298" customFormat="1" ht="18" customHeight="1" x14ac:dyDescent="0.2">
      <c r="A17" s="197">
        <v>7</v>
      </c>
      <c r="B17" s="191" t="s">
        <v>321</v>
      </c>
      <c r="C17" s="192">
        <f>6460-5994</f>
        <v>466</v>
      </c>
      <c r="D17" s="299"/>
      <c r="E17" s="300"/>
    </row>
    <row r="18" spans="1:5" s="298" customFormat="1" ht="18" customHeight="1" x14ac:dyDescent="0.2">
      <c r="A18" s="197">
        <v>8</v>
      </c>
      <c r="B18" s="191" t="s">
        <v>320</v>
      </c>
      <c r="C18" s="192">
        <f>11900-1900-4445</f>
        <v>5555</v>
      </c>
      <c r="D18" s="535"/>
      <c r="E18" s="300"/>
    </row>
    <row r="19" spans="1:5" s="298" customFormat="1" ht="18" customHeight="1" x14ac:dyDescent="0.2">
      <c r="A19" s="197">
        <v>9</v>
      </c>
      <c r="B19" s="191" t="s">
        <v>516</v>
      </c>
      <c r="C19" s="192">
        <v>60000</v>
      </c>
      <c r="D19" s="535"/>
      <c r="E19" s="300"/>
    </row>
    <row r="20" spans="1:5" s="298" customFormat="1" ht="30.75" customHeight="1" x14ac:dyDescent="0.2">
      <c r="A20" s="197">
        <v>10</v>
      </c>
      <c r="B20" s="191" t="s">
        <v>829</v>
      </c>
      <c r="C20" s="1885">
        <v>1275</v>
      </c>
      <c r="D20" s="535"/>
      <c r="E20" s="300"/>
    </row>
    <row r="21" spans="1:5" s="298" customFormat="1" ht="18" customHeight="1" x14ac:dyDescent="0.2">
      <c r="A21" s="197">
        <v>11</v>
      </c>
      <c r="B21" s="1837" t="s">
        <v>1002</v>
      </c>
      <c r="C21" s="192">
        <v>50</v>
      </c>
      <c r="D21" s="535"/>
      <c r="E21" s="300"/>
    </row>
    <row r="22" spans="1:5" s="298" customFormat="1" ht="18" customHeight="1" x14ac:dyDescent="0.2">
      <c r="A22" s="197">
        <v>12</v>
      </c>
      <c r="B22" s="1837" t="s">
        <v>1059</v>
      </c>
      <c r="C22" s="1713">
        <v>10000</v>
      </c>
      <c r="D22" s="535"/>
      <c r="E22" s="300"/>
    </row>
    <row r="23" spans="1:5" s="298" customFormat="1" ht="18" customHeight="1" x14ac:dyDescent="0.2">
      <c r="A23" s="197">
        <v>13</v>
      </c>
      <c r="B23" s="1837" t="s">
        <v>1036</v>
      </c>
      <c r="C23" s="192">
        <v>375</v>
      </c>
      <c r="D23" s="535"/>
      <c r="E23" s="300"/>
    </row>
    <row r="24" spans="1:5" s="298" customFormat="1" ht="18" customHeight="1" x14ac:dyDescent="0.2">
      <c r="A24" s="197">
        <v>14</v>
      </c>
      <c r="B24" s="1837" t="s">
        <v>1037</v>
      </c>
      <c r="C24" s="192">
        <v>83</v>
      </c>
      <c r="D24" s="535"/>
      <c r="E24" s="300"/>
    </row>
    <row r="25" spans="1:5" s="298" customFormat="1" ht="18" customHeight="1" x14ac:dyDescent="0.2">
      <c r="A25" s="197">
        <v>15</v>
      </c>
      <c r="B25" s="1837" t="s">
        <v>1038</v>
      </c>
      <c r="C25" s="192">
        <v>250</v>
      </c>
      <c r="D25" s="535"/>
      <c r="E25" s="300"/>
    </row>
    <row r="26" spans="1:5" s="298" customFormat="1" ht="18" customHeight="1" x14ac:dyDescent="0.2">
      <c r="A26" s="197">
        <v>16</v>
      </c>
      <c r="B26" s="1714" t="s">
        <v>1043</v>
      </c>
      <c r="C26" s="1713">
        <v>1375</v>
      </c>
      <c r="D26" s="535"/>
      <c r="E26" s="300"/>
    </row>
    <row r="27" spans="1:5" s="298" customFormat="1" ht="18" customHeight="1" x14ac:dyDescent="0.2">
      <c r="A27" s="197">
        <v>17</v>
      </c>
      <c r="B27" s="1989" t="s">
        <v>1109</v>
      </c>
      <c r="C27" s="192"/>
      <c r="D27" s="535"/>
      <c r="E27" s="300"/>
    </row>
    <row r="28" spans="1:5" s="298" customFormat="1" ht="18" customHeight="1" x14ac:dyDescent="0.2">
      <c r="A28" s="197">
        <v>18</v>
      </c>
      <c r="B28" s="191" t="s">
        <v>513</v>
      </c>
      <c r="C28" s="192">
        <f>17000-8500</f>
        <v>8500</v>
      </c>
      <c r="D28" s="535"/>
      <c r="E28" s="300"/>
    </row>
    <row r="29" spans="1:5" s="298" customFormat="1" ht="18" customHeight="1" x14ac:dyDescent="0.2">
      <c r="A29" s="197">
        <v>19</v>
      </c>
      <c r="B29" s="191" t="s">
        <v>514</v>
      </c>
      <c r="C29" s="192">
        <f>28000-15500</f>
        <v>12500</v>
      </c>
      <c r="D29" s="535"/>
      <c r="E29" s="300"/>
    </row>
    <row r="30" spans="1:5" s="298" customFormat="1" ht="18" customHeight="1" x14ac:dyDescent="0.2">
      <c r="A30" s="197">
        <v>20</v>
      </c>
      <c r="B30" s="191" t="s">
        <v>357</v>
      </c>
      <c r="C30" s="192">
        <f>30000-15000</f>
        <v>15000</v>
      </c>
      <c r="D30" s="535"/>
      <c r="E30" s="300"/>
    </row>
    <row r="31" spans="1:5" s="298" customFormat="1" ht="18" customHeight="1" x14ac:dyDescent="0.2">
      <c r="A31" s="197">
        <v>21</v>
      </c>
      <c r="B31" s="191" t="s">
        <v>1077</v>
      </c>
      <c r="C31" s="192">
        <v>3000</v>
      </c>
      <c r="D31" s="535"/>
      <c r="E31" s="300"/>
    </row>
    <row r="32" spans="1:5" s="298" customFormat="1" ht="18" customHeight="1" x14ac:dyDescent="0.2">
      <c r="A32" s="197">
        <v>22</v>
      </c>
      <c r="B32" s="191" t="s">
        <v>1078</v>
      </c>
      <c r="C32" s="192">
        <v>1500</v>
      </c>
      <c r="D32" s="535"/>
      <c r="E32" s="300"/>
    </row>
    <row r="33" spans="1:5" s="298" customFormat="1" ht="18" customHeight="1" x14ac:dyDescent="0.2">
      <c r="A33" s="197">
        <v>23</v>
      </c>
      <c r="B33" s="191" t="s">
        <v>1079</v>
      </c>
      <c r="C33" s="192">
        <v>1750</v>
      </c>
      <c r="D33" s="535"/>
      <c r="E33" s="300"/>
    </row>
    <row r="34" spans="1:5" s="298" customFormat="1" ht="18" customHeight="1" x14ac:dyDescent="0.2">
      <c r="A34" s="197">
        <v>24</v>
      </c>
      <c r="B34" s="191" t="s">
        <v>1080</v>
      </c>
      <c r="C34" s="192">
        <v>3000</v>
      </c>
      <c r="D34" s="535"/>
      <c r="E34" s="300"/>
    </row>
    <row r="35" spans="1:5" s="298" customFormat="1" ht="18" customHeight="1" x14ac:dyDescent="0.2">
      <c r="A35" s="197">
        <v>25</v>
      </c>
      <c r="B35" s="191" t="s">
        <v>1081</v>
      </c>
      <c r="C35" s="192">
        <v>2500</v>
      </c>
      <c r="D35" s="535"/>
      <c r="E35" s="300"/>
    </row>
    <row r="36" spans="1:5" s="298" customFormat="1" ht="18" customHeight="1" x14ac:dyDescent="0.2">
      <c r="A36" s="197">
        <v>26</v>
      </c>
      <c r="B36" s="191" t="s">
        <v>1082</v>
      </c>
      <c r="C36" s="192">
        <v>1600</v>
      </c>
      <c r="D36" s="535"/>
      <c r="E36" s="300"/>
    </row>
    <row r="37" spans="1:5" s="298" customFormat="1" ht="18" customHeight="1" x14ac:dyDescent="0.2">
      <c r="A37" s="197">
        <v>27</v>
      </c>
      <c r="B37" s="191" t="s">
        <v>1083</v>
      </c>
      <c r="C37" s="192">
        <v>500</v>
      </c>
      <c r="D37" s="535"/>
      <c r="E37" s="300"/>
    </row>
    <row r="38" spans="1:5" s="298" customFormat="1" ht="18" customHeight="1" x14ac:dyDescent="0.2">
      <c r="A38" s="197">
        <v>28</v>
      </c>
      <c r="B38" s="191" t="s">
        <v>1084</v>
      </c>
      <c r="C38" s="192">
        <v>4750</v>
      </c>
      <c r="D38" s="535"/>
      <c r="E38" s="300"/>
    </row>
    <row r="39" spans="1:5" s="298" customFormat="1" ht="18" customHeight="1" x14ac:dyDescent="0.2">
      <c r="A39" s="197">
        <v>29</v>
      </c>
      <c r="B39" s="191" t="s">
        <v>1085</v>
      </c>
      <c r="C39" s="192">
        <v>1500</v>
      </c>
      <c r="D39" s="535"/>
      <c r="E39" s="300"/>
    </row>
    <row r="40" spans="1:5" s="298" customFormat="1" ht="18" customHeight="1" x14ac:dyDescent="0.2">
      <c r="A40" s="197">
        <v>30</v>
      </c>
      <c r="B40" s="191" t="s">
        <v>1086</v>
      </c>
      <c r="C40" s="192">
        <v>700</v>
      </c>
      <c r="D40" s="535"/>
      <c r="E40" s="300"/>
    </row>
    <row r="41" spans="1:5" s="298" customFormat="1" ht="18" customHeight="1" x14ac:dyDescent="0.2">
      <c r="A41" s="197">
        <v>31</v>
      </c>
      <c r="B41" s="191" t="s">
        <v>1144</v>
      </c>
      <c r="C41" s="192">
        <v>300</v>
      </c>
      <c r="D41" s="535"/>
      <c r="E41" s="300"/>
    </row>
    <row r="42" spans="1:5" s="298" customFormat="1" ht="18" customHeight="1" x14ac:dyDescent="0.2">
      <c r="A42" s="197">
        <v>32</v>
      </c>
      <c r="B42" s="191" t="s">
        <v>1087</v>
      </c>
      <c r="C42" s="192">
        <v>300</v>
      </c>
      <c r="D42" s="535"/>
      <c r="E42" s="300"/>
    </row>
    <row r="43" spans="1:5" s="298" customFormat="1" ht="18" customHeight="1" x14ac:dyDescent="0.2">
      <c r="A43" s="197">
        <v>33</v>
      </c>
      <c r="B43" s="191" t="s">
        <v>1088</v>
      </c>
      <c r="C43" s="192">
        <v>300</v>
      </c>
      <c r="D43" s="535"/>
      <c r="E43" s="300"/>
    </row>
    <row r="44" spans="1:5" s="298" customFormat="1" ht="18" customHeight="1" x14ac:dyDescent="0.2">
      <c r="A44" s="197">
        <v>34</v>
      </c>
      <c r="B44" s="191" t="s">
        <v>1089</v>
      </c>
      <c r="C44" s="192">
        <v>100</v>
      </c>
      <c r="D44" s="535"/>
      <c r="E44" s="300"/>
    </row>
    <row r="45" spans="1:5" s="298" customFormat="1" ht="18" customHeight="1" x14ac:dyDescent="0.2">
      <c r="A45" s="197">
        <v>35</v>
      </c>
      <c r="B45" s="191" t="s">
        <v>1090</v>
      </c>
      <c r="C45" s="192">
        <v>100</v>
      </c>
      <c r="D45" s="535"/>
      <c r="E45" s="300"/>
    </row>
    <row r="46" spans="1:5" s="298" customFormat="1" ht="18" customHeight="1" x14ac:dyDescent="0.2">
      <c r="A46" s="197">
        <v>36</v>
      </c>
      <c r="B46" s="191" t="s">
        <v>1091</v>
      </c>
      <c r="C46" s="192">
        <v>100</v>
      </c>
      <c r="D46" s="535"/>
      <c r="E46" s="300"/>
    </row>
    <row r="47" spans="1:5" s="298" customFormat="1" ht="18" customHeight="1" x14ac:dyDescent="0.2">
      <c r="A47" s="197">
        <v>37</v>
      </c>
      <c r="B47" s="191" t="s">
        <v>1092</v>
      </c>
      <c r="C47" s="192">
        <v>100</v>
      </c>
      <c r="D47" s="535"/>
      <c r="E47" s="300"/>
    </row>
    <row r="48" spans="1:5" s="298" customFormat="1" ht="18" customHeight="1" x14ac:dyDescent="0.2">
      <c r="A48" s="197">
        <v>38</v>
      </c>
      <c r="B48" s="191" t="s">
        <v>1093</v>
      </c>
      <c r="C48" s="192">
        <v>75</v>
      </c>
      <c r="D48" s="535"/>
      <c r="E48" s="300"/>
    </row>
    <row r="49" spans="1:5" s="298" customFormat="1" ht="18" customHeight="1" x14ac:dyDescent="0.2">
      <c r="A49" s="197">
        <v>39</v>
      </c>
      <c r="B49" s="191" t="s">
        <v>1094</v>
      </c>
      <c r="C49" s="192">
        <v>50</v>
      </c>
      <c r="D49" s="535"/>
      <c r="E49" s="300"/>
    </row>
    <row r="50" spans="1:5" s="298" customFormat="1" ht="18" customHeight="1" x14ac:dyDescent="0.2">
      <c r="A50" s="197">
        <v>40</v>
      </c>
      <c r="B50" s="191" t="s">
        <v>1095</v>
      </c>
      <c r="C50" s="192">
        <v>50</v>
      </c>
      <c r="D50" s="535"/>
      <c r="E50" s="300"/>
    </row>
    <row r="51" spans="1:5" s="298" customFormat="1" ht="18" customHeight="1" x14ac:dyDescent="0.2">
      <c r="A51" s="197">
        <v>41</v>
      </c>
      <c r="B51" s="191" t="s">
        <v>1096</v>
      </c>
      <c r="C51" s="192">
        <v>50</v>
      </c>
      <c r="D51" s="535"/>
      <c r="E51" s="300"/>
    </row>
    <row r="52" spans="1:5" s="298" customFormat="1" ht="18" customHeight="1" x14ac:dyDescent="0.2">
      <c r="A52" s="197">
        <v>42</v>
      </c>
      <c r="B52" s="191" t="s">
        <v>1097</v>
      </c>
      <c r="C52" s="192">
        <v>50</v>
      </c>
      <c r="D52" s="535"/>
      <c r="E52" s="300"/>
    </row>
    <row r="53" spans="1:5" s="298" customFormat="1" ht="18" customHeight="1" x14ac:dyDescent="0.2">
      <c r="A53" s="197">
        <v>43</v>
      </c>
      <c r="B53" s="191" t="s">
        <v>1098</v>
      </c>
      <c r="C53" s="192">
        <v>50</v>
      </c>
      <c r="D53" s="535"/>
      <c r="E53" s="300"/>
    </row>
    <row r="54" spans="1:5" s="298" customFormat="1" ht="18" customHeight="1" x14ac:dyDescent="0.2">
      <c r="A54" s="197">
        <v>44</v>
      </c>
      <c r="B54" s="191" t="s">
        <v>1099</v>
      </c>
      <c r="C54" s="192">
        <v>50</v>
      </c>
      <c r="D54" s="535"/>
      <c r="E54" s="300"/>
    </row>
    <row r="55" spans="1:5" s="298" customFormat="1" ht="18" customHeight="1" x14ac:dyDescent="0.2">
      <c r="A55" s="197">
        <v>45</v>
      </c>
      <c r="B55" s="191" t="s">
        <v>1100</v>
      </c>
      <c r="C55" s="192">
        <v>50</v>
      </c>
      <c r="D55" s="535"/>
      <c r="E55" s="300"/>
    </row>
    <row r="56" spans="1:5" s="298" customFormat="1" ht="18" customHeight="1" x14ac:dyDescent="0.2">
      <c r="A56" s="197">
        <v>46</v>
      </c>
      <c r="B56" s="191" t="s">
        <v>1101</v>
      </c>
      <c r="C56" s="192">
        <v>50</v>
      </c>
      <c r="D56" s="535"/>
      <c r="E56" s="300"/>
    </row>
    <row r="57" spans="1:5" s="298" customFormat="1" ht="18" customHeight="1" x14ac:dyDescent="0.2">
      <c r="A57" s="197">
        <v>47</v>
      </c>
      <c r="B57" s="191" t="s">
        <v>1102</v>
      </c>
      <c r="C57" s="192">
        <v>50</v>
      </c>
      <c r="D57" s="535"/>
      <c r="E57" s="300"/>
    </row>
    <row r="58" spans="1:5" s="298" customFormat="1" ht="18" customHeight="1" x14ac:dyDescent="0.2">
      <c r="A58" s="197">
        <v>48</v>
      </c>
      <c r="B58" s="191" t="s">
        <v>1103</v>
      </c>
      <c r="C58" s="192">
        <v>50</v>
      </c>
      <c r="D58" s="535"/>
      <c r="E58" s="300"/>
    </row>
    <row r="59" spans="1:5" s="298" customFormat="1" ht="18" customHeight="1" x14ac:dyDescent="0.3">
      <c r="A59" s="197">
        <v>49</v>
      </c>
      <c r="B59" s="1990" t="s">
        <v>1104</v>
      </c>
      <c r="C59" s="192"/>
      <c r="D59" s="535"/>
      <c r="E59" s="300"/>
    </row>
    <row r="60" spans="1:5" s="298" customFormat="1" ht="18" customHeight="1" x14ac:dyDescent="0.2">
      <c r="A60" s="197">
        <v>50</v>
      </c>
      <c r="B60" s="191" t="s">
        <v>1105</v>
      </c>
      <c r="C60" s="192">
        <v>600</v>
      </c>
      <c r="D60" s="535"/>
      <c r="E60" s="300"/>
    </row>
    <row r="61" spans="1:5" s="298" customFormat="1" ht="18" customHeight="1" x14ac:dyDescent="0.2">
      <c r="A61" s="197">
        <v>51</v>
      </c>
      <c r="B61" s="191" t="s">
        <v>1106</v>
      </c>
      <c r="C61" s="192">
        <v>600</v>
      </c>
      <c r="D61" s="535"/>
      <c r="E61" s="300"/>
    </row>
    <row r="62" spans="1:5" s="298" customFormat="1" ht="18" customHeight="1" x14ac:dyDescent="0.2">
      <c r="A62" s="197">
        <v>52</v>
      </c>
      <c r="B62" s="191" t="s">
        <v>1107</v>
      </c>
      <c r="C62" s="192">
        <v>600</v>
      </c>
      <c r="D62" s="535"/>
      <c r="E62" s="300"/>
    </row>
    <row r="63" spans="1:5" s="298" customFormat="1" ht="18" customHeight="1" thickBot="1" x14ac:dyDescent="0.25">
      <c r="A63" s="197">
        <v>53</v>
      </c>
      <c r="B63" s="191" t="s">
        <v>1108</v>
      </c>
      <c r="C63" s="192">
        <v>1800</v>
      </c>
      <c r="D63" s="535"/>
      <c r="E63" s="300"/>
    </row>
    <row r="64" spans="1:5" ht="30" customHeight="1" thickBot="1" x14ac:dyDescent="0.25">
      <c r="A64" s="197"/>
      <c r="B64" s="193" t="s">
        <v>13</v>
      </c>
      <c r="C64" s="194">
        <f>SUM(C11:C63)</f>
        <v>185709</v>
      </c>
    </row>
  </sheetData>
  <mergeCells count="8">
    <mergeCell ref="B7:C7"/>
    <mergeCell ref="B9:B10"/>
    <mergeCell ref="C9:C10"/>
    <mergeCell ref="B1:C1"/>
    <mergeCell ref="B2:C2"/>
    <mergeCell ref="B4:C4"/>
    <mergeCell ref="B5:C5"/>
    <mergeCell ref="B6:C6"/>
  </mergeCells>
  <printOptions horizontalCentered="1"/>
  <pageMargins left="0.19685039370078741" right="0.19685039370078741" top="0.59055118110236227" bottom="0.59055118110236227" header="0.31496062992125984" footer="0.31496062992125984"/>
  <pageSetup paperSize="9" fitToHeight="0" orientation="portrait" r:id="rId1"/>
  <headerFooter>
    <oddFooter>&amp;C- &amp;P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335"/>
  <sheetViews>
    <sheetView view="pageBreakPreview" topLeftCell="A4" zoomScaleNormal="100" zoomScaleSheetLayoutView="100" workbookViewId="0">
      <selection activeCell="B1" sqref="B1:M1"/>
    </sheetView>
  </sheetViews>
  <sheetFormatPr defaultColWidth="9.140625" defaultRowHeight="15" x14ac:dyDescent="0.3"/>
  <cols>
    <col min="1" max="1" width="3.7109375" style="729" customWidth="1"/>
    <col min="2" max="2" width="5.7109375" style="720" customWidth="1"/>
    <col min="3" max="3" width="5.7109375" style="721" customWidth="1"/>
    <col min="4" max="4" width="59.7109375" style="722" customWidth="1"/>
    <col min="5" max="7" width="10.7109375" style="718" customWidth="1"/>
    <col min="8" max="8" width="6.7109375" style="723" customWidth="1"/>
    <col min="9" max="11" width="14.85546875" style="718" customWidth="1"/>
    <col min="12" max="12" width="15.7109375" style="718" customWidth="1"/>
    <col min="13" max="13" width="13.7109375" style="728" customWidth="1"/>
    <col min="14" max="16384" width="9.140625" style="719"/>
  </cols>
  <sheetData>
    <row r="1" spans="1:251" ht="17.25" x14ac:dyDescent="0.35">
      <c r="A1" s="2057"/>
      <c r="B1" s="2260" t="s">
        <v>1312</v>
      </c>
      <c r="C1" s="2260"/>
      <c r="D1" s="2260"/>
      <c r="E1" s="2260"/>
      <c r="F1" s="2260"/>
      <c r="G1" s="2260"/>
      <c r="H1" s="2260"/>
      <c r="I1" s="2260"/>
      <c r="J1" s="2260"/>
      <c r="K1" s="2260"/>
      <c r="L1" s="2260"/>
      <c r="M1" s="2260"/>
    </row>
    <row r="2" spans="1:251" s="418" customFormat="1" ht="18" customHeight="1" x14ac:dyDescent="0.3">
      <c r="A2" s="2057"/>
      <c r="B2" s="2261" t="s">
        <v>1295</v>
      </c>
      <c r="C2" s="2261"/>
      <c r="D2" s="2261"/>
      <c r="E2" s="2261"/>
      <c r="F2" s="2261"/>
      <c r="G2" s="2261"/>
      <c r="H2" s="2261"/>
      <c r="I2" s="2261"/>
      <c r="J2" s="2261"/>
      <c r="K2" s="2261"/>
      <c r="L2" s="2261"/>
      <c r="M2" s="2261"/>
      <c r="N2" s="1591"/>
      <c r="O2" s="1591"/>
      <c r="P2" s="1591"/>
      <c r="Q2" s="1591"/>
      <c r="R2" s="1591"/>
      <c r="S2" s="1591"/>
      <c r="T2" s="1591"/>
      <c r="U2" s="1591"/>
      <c r="V2" s="1591"/>
      <c r="W2" s="1591"/>
      <c r="X2" s="1591"/>
      <c r="Y2" s="1591"/>
      <c r="Z2" s="1591"/>
      <c r="AA2" s="1591"/>
      <c r="AB2" s="1591"/>
      <c r="AC2" s="1591"/>
      <c r="AD2" s="1591"/>
      <c r="AE2" s="1591"/>
      <c r="AF2" s="1591"/>
      <c r="AG2" s="1591"/>
      <c r="AH2" s="1591"/>
      <c r="AI2" s="1591"/>
      <c r="AJ2" s="1591"/>
      <c r="AK2" s="1591"/>
      <c r="AL2" s="1591"/>
      <c r="AM2" s="1591"/>
      <c r="AN2" s="1591"/>
      <c r="AO2" s="1591"/>
      <c r="AP2" s="1591"/>
      <c r="AQ2" s="1591"/>
      <c r="AR2" s="1591"/>
      <c r="AS2" s="1591"/>
      <c r="AT2" s="1591"/>
      <c r="AU2" s="1591"/>
      <c r="AV2" s="1591"/>
      <c r="AW2" s="1591"/>
      <c r="AX2" s="1591"/>
      <c r="AY2" s="1591"/>
      <c r="AZ2" s="1591"/>
      <c r="BA2" s="1591"/>
      <c r="BB2" s="1591"/>
      <c r="BC2" s="1591"/>
      <c r="BD2" s="1591"/>
      <c r="BE2" s="1591"/>
      <c r="BF2" s="1591"/>
      <c r="BG2" s="1591"/>
      <c r="BH2" s="1591"/>
      <c r="BI2" s="1591"/>
      <c r="BJ2" s="1591"/>
      <c r="BK2" s="1591"/>
      <c r="BL2" s="1591"/>
      <c r="BM2" s="1591"/>
      <c r="BN2" s="1591"/>
      <c r="BO2" s="1591"/>
      <c r="BP2" s="1591"/>
      <c r="BQ2" s="1591"/>
      <c r="BR2" s="1591"/>
      <c r="BS2" s="1591"/>
      <c r="BT2" s="1591"/>
      <c r="BU2" s="1591"/>
      <c r="BV2" s="1591"/>
      <c r="BW2" s="1591"/>
      <c r="BX2" s="1591"/>
      <c r="BY2" s="1591"/>
      <c r="BZ2" s="1591"/>
      <c r="CA2" s="1591"/>
      <c r="CB2" s="1591"/>
      <c r="CC2" s="1591"/>
      <c r="CD2" s="1591"/>
      <c r="CE2" s="1591"/>
      <c r="CF2" s="1591"/>
      <c r="CG2" s="1591"/>
      <c r="CH2" s="1591"/>
      <c r="CI2" s="1591"/>
      <c r="CJ2" s="1591"/>
      <c r="CK2" s="1591"/>
      <c r="CL2" s="1591"/>
      <c r="CM2" s="1591"/>
      <c r="CN2" s="1591"/>
      <c r="CO2" s="1591"/>
      <c r="CP2" s="1591"/>
      <c r="CQ2" s="1591"/>
      <c r="CR2" s="1591"/>
      <c r="CS2" s="1591"/>
      <c r="CT2" s="1591"/>
      <c r="CU2" s="1591"/>
      <c r="CV2" s="1591"/>
      <c r="CW2" s="1591"/>
      <c r="CX2" s="1591"/>
      <c r="CY2" s="1591"/>
      <c r="CZ2" s="1591"/>
      <c r="DA2" s="1591"/>
      <c r="DB2" s="1591"/>
      <c r="DC2" s="1591"/>
      <c r="DD2" s="1591"/>
      <c r="DE2" s="1591"/>
      <c r="DF2" s="1591"/>
      <c r="DG2" s="1591"/>
      <c r="DH2" s="1591"/>
      <c r="DI2" s="1591"/>
      <c r="DJ2" s="1591"/>
      <c r="DK2" s="1591"/>
      <c r="DL2" s="1591"/>
      <c r="DM2" s="1591"/>
      <c r="DN2" s="1591"/>
      <c r="DO2" s="1591"/>
      <c r="DP2" s="1591"/>
      <c r="DQ2" s="1591"/>
      <c r="DR2" s="1591"/>
      <c r="DS2" s="1591"/>
      <c r="DT2" s="1591"/>
      <c r="DU2" s="1591"/>
      <c r="DV2" s="1591"/>
      <c r="DW2" s="1591"/>
      <c r="DX2" s="1591"/>
      <c r="DY2" s="1591"/>
      <c r="DZ2" s="1591"/>
      <c r="EA2" s="1591"/>
      <c r="EB2" s="1591"/>
      <c r="EC2" s="1591"/>
      <c r="ED2" s="1591"/>
      <c r="EE2" s="1591"/>
      <c r="EF2" s="1591"/>
      <c r="EG2" s="1591"/>
      <c r="EH2" s="1591"/>
      <c r="EI2" s="1591"/>
      <c r="EJ2" s="1591"/>
      <c r="EK2" s="1591"/>
      <c r="EL2" s="1591"/>
      <c r="EM2" s="1591"/>
      <c r="EN2" s="1591"/>
      <c r="EO2" s="1591"/>
      <c r="EP2" s="1591"/>
      <c r="EQ2" s="1591"/>
      <c r="ER2" s="1591"/>
      <c r="ES2" s="1591"/>
      <c r="ET2" s="1591"/>
      <c r="EU2" s="1591"/>
      <c r="EV2" s="1591"/>
      <c r="EW2" s="1591"/>
      <c r="EX2" s="1591"/>
      <c r="EY2" s="1591"/>
      <c r="EZ2" s="1591"/>
      <c r="FA2" s="1591"/>
      <c r="FB2" s="1591"/>
      <c r="FC2" s="1591"/>
      <c r="FD2" s="1591"/>
      <c r="FE2" s="1591"/>
      <c r="FF2" s="1591"/>
      <c r="FG2" s="1591"/>
      <c r="FH2" s="1591"/>
      <c r="FI2" s="1591"/>
      <c r="FJ2" s="1591"/>
      <c r="FK2" s="1591"/>
      <c r="FL2" s="1591"/>
      <c r="FM2" s="1591"/>
      <c r="FN2" s="1591"/>
      <c r="FO2" s="1591"/>
      <c r="FP2" s="1591"/>
      <c r="FQ2" s="1591"/>
      <c r="FR2" s="1591"/>
      <c r="FS2" s="1591"/>
      <c r="FT2" s="1591"/>
      <c r="FU2" s="1591"/>
      <c r="FV2" s="1591"/>
      <c r="FW2" s="1591"/>
      <c r="FX2" s="1591"/>
      <c r="FY2" s="1591"/>
      <c r="FZ2" s="1591"/>
      <c r="GA2" s="1591"/>
      <c r="GB2" s="1591"/>
      <c r="GC2" s="1591"/>
      <c r="GD2" s="1591"/>
      <c r="GE2" s="1591"/>
      <c r="GF2" s="1591"/>
      <c r="GG2" s="1591"/>
      <c r="GH2" s="1591"/>
      <c r="GI2" s="1591"/>
      <c r="GJ2" s="1591"/>
      <c r="GK2" s="1591"/>
      <c r="GL2" s="1591"/>
      <c r="GM2" s="1591"/>
      <c r="GN2" s="1591"/>
      <c r="GO2" s="1591"/>
      <c r="GP2" s="1591"/>
      <c r="GQ2" s="1591"/>
      <c r="GR2" s="1591"/>
      <c r="GS2" s="1591"/>
      <c r="GT2" s="1591"/>
      <c r="GU2" s="1591"/>
      <c r="GV2" s="1591"/>
      <c r="GW2" s="1591"/>
      <c r="GX2" s="1591"/>
      <c r="GY2" s="1591"/>
      <c r="GZ2" s="1591"/>
      <c r="HA2" s="1591"/>
      <c r="HB2" s="1591"/>
      <c r="HC2" s="1591"/>
      <c r="HD2" s="1591"/>
      <c r="HE2" s="1591"/>
      <c r="HF2" s="1591"/>
      <c r="HG2" s="1591"/>
      <c r="HH2" s="1591"/>
      <c r="HI2" s="1591"/>
      <c r="HJ2" s="1591"/>
      <c r="HK2" s="1591"/>
      <c r="HL2" s="1591"/>
      <c r="HM2" s="1591"/>
      <c r="HN2" s="1591"/>
      <c r="HO2" s="1591"/>
      <c r="HP2" s="1591"/>
      <c r="HQ2" s="1591"/>
      <c r="HR2" s="1591"/>
      <c r="HS2" s="1591"/>
      <c r="HT2" s="1591"/>
      <c r="HU2" s="1591"/>
      <c r="HV2" s="1591"/>
      <c r="HW2" s="1591"/>
      <c r="HX2" s="1591"/>
      <c r="HY2" s="1591"/>
      <c r="HZ2" s="1591"/>
      <c r="IA2" s="1591"/>
      <c r="IB2" s="1591"/>
      <c r="IC2" s="1591"/>
      <c r="ID2" s="1591"/>
      <c r="IE2" s="1591"/>
      <c r="IF2" s="1591"/>
      <c r="IG2" s="1591"/>
      <c r="IH2" s="1591"/>
      <c r="II2" s="1591"/>
      <c r="IJ2" s="1591"/>
      <c r="IK2" s="1591"/>
      <c r="IL2" s="1591"/>
      <c r="IM2" s="1591"/>
      <c r="IN2" s="1591"/>
      <c r="IO2" s="1591"/>
      <c r="IP2" s="1591"/>
      <c r="IQ2" s="1591"/>
    </row>
    <row r="3" spans="1:251" s="418" customFormat="1" ht="18" customHeight="1" x14ac:dyDescent="0.3">
      <c r="A3" s="2057"/>
      <c r="B3" s="2055"/>
      <c r="C3" s="2055"/>
      <c r="D3" s="2055"/>
      <c r="E3" s="2055"/>
      <c r="F3" s="2055"/>
      <c r="G3" s="2055"/>
      <c r="H3" s="2055"/>
      <c r="I3" s="2055"/>
      <c r="J3" s="2055"/>
      <c r="K3" s="2055"/>
      <c r="L3" s="2055"/>
      <c r="M3" s="2055"/>
      <c r="N3" s="1591"/>
      <c r="O3" s="1591"/>
      <c r="P3" s="1591"/>
      <c r="Q3" s="1591"/>
      <c r="R3" s="1591"/>
      <c r="S3" s="1591"/>
      <c r="T3" s="1591"/>
      <c r="U3" s="1591"/>
      <c r="V3" s="1591"/>
      <c r="W3" s="1591"/>
      <c r="X3" s="1591"/>
      <c r="Y3" s="1591"/>
      <c r="Z3" s="1591"/>
      <c r="AA3" s="1591"/>
      <c r="AB3" s="1591"/>
      <c r="AC3" s="1591"/>
      <c r="AD3" s="1591"/>
      <c r="AE3" s="1591"/>
      <c r="AF3" s="1591"/>
      <c r="AG3" s="1591"/>
      <c r="AH3" s="1591"/>
      <c r="AI3" s="1591"/>
      <c r="AJ3" s="1591"/>
      <c r="AK3" s="1591"/>
      <c r="AL3" s="1591"/>
      <c r="AM3" s="1591"/>
      <c r="AN3" s="1591"/>
      <c r="AO3" s="1591"/>
      <c r="AP3" s="1591"/>
      <c r="AQ3" s="1591"/>
      <c r="AR3" s="1591"/>
      <c r="AS3" s="1591"/>
      <c r="AT3" s="1591"/>
      <c r="AU3" s="1591"/>
      <c r="AV3" s="1591"/>
      <c r="AW3" s="1591"/>
      <c r="AX3" s="1591"/>
      <c r="AY3" s="1591"/>
      <c r="AZ3" s="1591"/>
      <c r="BA3" s="1591"/>
      <c r="BB3" s="1591"/>
      <c r="BC3" s="1591"/>
      <c r="BD3" s="1591"/>
      <c r="BE3" s="1591"/>
      <c r="BF3" s="1591"/>
      <c r="BG3" s="1591"/>
      <c r="BH3" s="1591"/>
      <c r="BI3" s="1591"/>
      <c r="BJ3" s="1591"/>
      <c r="BK3" s="1591"/>
      <c r="BL3" s="1591"/>
      <c r="BM3" s="1591"/>
      <c r="BN3" s="1591"/>
      <c r="BO3" s="1591"/>
      <c r="BP3" s="1591"/>
      <c r="BQ3" s="1591"/>
      <c r="BR3" s="1591"/>
      <c r="BS3" s="1591"/>
      <c r="BT3" s="1591"/>
      <c r="BU3" s="1591"/>
      <c r="BV3" s="1591"/>
      <c r="BW3" s="1591"/>
      <c r="BX3" s="1591"/>
      <c r="BY3" s="1591"/>
      <c r="BZ3" s="1591"/>
      <c r="CA3" s="1591"/>
      <c r="CB3" s="1591"/>
      <c r="CC3" s="1591"/>
      <c r="CD3" s="1591"/>
      <c r="CE3" s="1591"/>
      <c r="CF3" s="1591"/>
      <c r="CG3" s="1591"/>
      <c r="CH3" s="1591"/>
      <c r="CI3" s="1591"/>
      <c r="CJ3" s="1591"/>
      <c r="CK3" s="1591"/>
      <c r="CL3" s="1591"/>
      <c r="CM3" s="1591"/>
      <c r="CN3" s="1591"/>
      <c r="CO3" s="1591"/>
      <c r="CP3" s="1591"/>
      <c r="CQ3" s="1591"/>
      <c r="CR3" s="1591"/>
      <c r="CS3" s="1591"/>
      <c r="CT3" s="1591"/>
      <c r="CU3" s="1591"/>
      <c r="CV3" s="1591"/>
      <c r="CW3" s="1591"/>
      <c r="CX3" s="1591"/>
      <c r="CY3" s="1591"/>
      <c r="CZ3" s="1591"/>
      <c r="DA3" s="1591"/>
      <c r="DB3" s="1591"/>
      <c r="DC3" s="1591"/>
      <c r="DD3" s="1591"/>
      <c r="DE3" s="1591"/>
      <c r="DF3" s="1591"/>
      <c r="DG3" s="1591"/>
      <c r="DH3" s="1591"/>
      <c r="DI3" s="1591"/>
      <c r="DJ3" s="1591"/>
      <c r="DK3" s="1591"/>
      <c r="DL3" s="1591"/>
      <c r="DM3" s="1591"/>
      <c r="DN3" s="1591"/>
      <c r="DO3" s="1591"/>
      <c r="DP3" s="1591"/>
      <c r="DQ3" s="1591"/>
      <c r="DR3" s="1591"/>
      <c r="DS3" s="1591"/>
      <c r="DT3" s="1591"/>
      <c r="DU3" s="1591"/>
      <c r="DV3" s="1591"/>
      <c r="DW3" s="1591"/>
      <c r="DX3" s="1591"/>
      <c r="DY3" s="1591"/>
      <c r="DZ3" s="1591"/>
      <c r="EA3" s="1591"/>
      <c r="EB3" s="1591"/>
      <c r="EC3" s="1591"/>
      <c r="ED3" s="1591"/>
      <c r="EE3" s="1591"/>
      <c r="EF3" s="1591"/>
      <c r="EG3" s="1591"/>
      <c r="EH3" s="1591"/>
      <c r="EI3" s="1591"/>
      <c r="EJ3" s="1591"/>
      <c r="EK3" s="1591"/>
      <c r="EL3" s="1591"/>
      <c r="EM3" s="1591"/>
      <c r="EN3" s="1591"/>
      <c r="EO3" s="1591"/>
      <c r="EP3" s="1591"/>
      <c r="EQ3" s="1591"/>
      <c r="ER3" s="1591"/>
      <c r="ES3" s="1591"/>
      <c r="ET3" s="1591"/>
      <c r="EU3" s="1591"/>
      <c r="EV3" s="1591"/>
      <c r="EW3" s="1591"/>
      <c r="EX3" s="1591"/>
      <c r="EY3" s="1591"/>
      <c r="EZ3" s="1591"/>
      <c r="FA3" s="1591"/>
      <c r="FB3" s="1591"/>
      <c r="FC3" s="1591"/>
      <c r="FD3" s="1591"/>
      <c r="FE3" s="1591"/>
      <c r="FF3" s="1591"/>
      <c r="FG3" s="1591"/>
      <c r="FH3" s="1591"/>
      <c r="FI3" s="1591"/>
      <c r="FJ3" s="1591"/>
      <c r="FK3" s="1591"/>
      <c r="FL3" s="1591"/>
      <c r="FM3" s="1591"/>
      <c r="FN3" s="1591"/>
      <c r="FO3" s="1591"/>
      <c r="FP3" s="1591"/>
      <c r="FQ3" s="1591"/>
      <c r="FR3" s="1591"/>
      <c r="FS3" s="1591"/>
      <c r="FT3" s="1591"/>
      <c r="FU3" s="1591"/>
      <c r="FV3" s="1591"/>
      <c r="FW3" s="1591"/>
      <c r="FX3" s="1591"/>
      <c r="FY3" s="1591"/>
      <c r="FZ3" s="1591"/>
      <c r="GA3" s="1591"/>
      <c r="GB3" s="1591"/>
      <c r="GC3" s="1591"/>
      <c r="GD3" s="1591"/>
      <c r="GE3" s="1591"/>
      <c r="GF3" s="1591"/>
      <c r="GG3" s="1591"/>
      <c r="GH3" s="1591"/>
      <c r="GI3" s="1591"/>
      <c r="GJ3" s="1591"/>
      <c r="GK3" s="1591"/>
      <c r="GL3" s="1591"/>
      <c r="GM3" s="1591"/>
      <c r="GN3" s="1591"/>
      <c r="GO3" s="1591"/>
      <c r="GP3" s="1591"/>
      <c r="GQ3" s="1591"/>
      <c r="GR3" s="1591"/>
      <c r="GS3" s="1591"/>
      <c r="GT3" s="1591"/>
      <c r="GU3" s="1591"/>
      <c r="GV3" s="1591"/>
      <c r="GW3" s="1591"/>
      <c r="GX3" s="1591"/>
      <c r="GY3" s="1591"/>
      <c r="GZ3" s="1591"/>
      <c r="HA3" s="1591"/>
      <c r="HB3" s="1591"/>
      <c r="HC3" s="1591"/>
      <c r="HD3" s="1591"/>
      <c r="HE3" s="1591"/>
      <c r="HF3" s="1591"/>
      <c r="HG3" s="1591"/>
      <c r="HH3" s="1591"/>
      <c r="HI3" s="1591"/>
      <c r="HJ3" s="1591"/>
      <c r="HK3" s="1591"/>
      <c r="HL3" s="1591"/>
      <c r="HM3" s="1591"/>
      <c r="HN3" s="1591"/>
      <c r="HO3" s="1591"/>
      <c r="HP3" s="1591"/>
      <c r="HQ3" s="1591"/>
      <c r="HR3" s="1591"/>
      <c r="HS3" s="1591"/>
      <c r="HT3" s="1591"/>
      <c r="HU3" s="1591"/>
      <c r="HV3" s="1591"/>
      <c r="HW3" s="1591"/>
      <c r="HX3" s="1591"/>
      <c r="HY3" s="1591"/>
      <c r="HZ3" s="1591"/>
      <c r="IA3" s="1591"/>
      <c r="IB3" s="1591"/>
      <c r="IC3" s="1591"/>
      <c r="ID3" s="1591"/>
      <c r="IE3" s="1591"/>
      <c r="IF3" s="1591"/>
      <c r="IG3" s="1591"/>
      <c r="IH3" s="1591"/>
      <c r="II3" s="1591"/>
      <c r="IJ3" s="1591"/>
      <c r="IK3" s="1591"/>
      <c r="IL3" s="1591"/>
      <c r="IM3" s="1591"/>
      <c r="IN3" s="1591"/>
      <c r="IO3" s="1591"/>
      <c r="IP3" s="1591"/>
      <c r="IQ3" s="1591"/>
    </row>
    <row r="4" spans="1:251" s="418" customFormat="1" ht="18" customHeight="1" x14ac:dyDescent="0.35">
      <c r="A4" s="729"/>
      <c r="B4" s="2265" t="s">
        <v>14</v>
      </c>
      <c r="C4" s="2265"/>
      <c r="D4" s="2265"/>
      <c r="E4" s="2265"/>
      <c r="F4" s="2265"/>
      <c r="G4" s="2265"/>
      <c r="H4" s="2265"/>
      <c r="I4" s="2265"/>
      <c r="J4" s="2265"/>
      <c r="K4" s="2265"/>
      <c r="L4" s="2265"/>
      <c r="M4" s="2265"/>
    </row>
    <row r="5" spans="1:251" s="418" customFormat="1" ht="18" customHeight="1" x14ac:dyDescent="0.3">
      <c r="A5" s="729"/>
      <c r="B5" s="2266" t="s">
        <v>1284</v>
      </c>
      <c r="C5" s="2266"/>
      <c r="D5" s="2266"/>
      <c r="E5" s="2266"/>
      <c r="F5" s="2266"/>
      <c r="G5" s="2266"/>
      <c r="H5" s="2266"/>
      <c r="I5" s="2266"/>
      <c r="J5" s="2266"/>
      <c r="K5" s="2266"/>
      <c r="L5" s="2266"/>
      <c r="M5" s="2266"/>
    </row>
    <row r="6" spans="1:251" ht="18" customHeight="1" x14ac:dyDescent="0.3">
      <c r="M6" s="724" t="s">
        <v>0</v>
      </c>
    </row>
    <row r="7" spans="1:251" s="134" customFormat="1" ht="18" customHeight="1" thickBot="1" x14ac:dyDescent="0.25">
      <c r="A7" s="729"/>
      <c r="B7" s="752" t="s">
        <v>1</v>
      </c>
      <c r="C7" s="753" t="s">
        <v>3</v>
      </c>
      <c r="D7" s="753" t="s">
        <v>2</v>
      </c>
      <c r="E7" s="753" t="s">
        <v>4</v>
      </c>
      <c r="F7" s="753" t="s">
        <v>5</v>
      </c>
      <c r="G7" s="753" t="s">
        <v>15</v>
      </c>
      <c r="H7" s="753" t="s">
        <v>16</v>
      </c>
      <c r="I7" s="753" t="s">
        <v>17</v>
      </c>
      <c r="J7" s="753" t="s">
        <v>36</v>
      </c>
      <c r="K7" s="753" t="s">
        <v>30</v>
      </c>
      <c r="L7" s="753" t="s">
        <v>23</v>
      </c>
      <c r="M7" s="753" t="s">
        <v>37</v>
      </c>
      <c r="N7" s="729"/>
      <c r="O7" s="729"/>
      <c r="P7" s="729"/>
      <c r="Q7" s="729"/>
      <c r="R7" s="729"/>
      <c r="S7" s="729"/>
      <c r="T7" s="729"/>
      <c r="U7" s="729"/>
      <c r="V7" s="729"/>
      <c r="W7" s="729"/>
      <c r="X7" s="729"/>
      <c r="Y7" s="729"/>
      <c r="Z7" s="729"/>
      <c r="AA7" s="729"/>
      <c r="AB7" s="729"/>
      <c r="AC7" s="729"/>
      <c r="AD7" s="729"/>
      <c r="AE7" s="729"/>
      <c r="AF7" s="729"/>
      <c r="AG7" s="729"/>
      <c r="AH7" s="729"/>
      <c r="AI7" s="729"/>
      <c r="AJ7" s="729"/>
      <c r="AK7" s="729"/>
      <c r="AL7" s="729"/>
      <c r="AM7" s="729"/>
      <c r="AN7" s="729"/>
      <c r="AO7" s="729"/>
      <c r="AP7" s="729"/>
      <c r="AQ7" s="729"/>
      <c r="AR7" s="729"/>
      <c r="AS7" s="729"/>
      <c r="AT7" s="729"/>
      <c r="AU7" s="729"/>
      <c r="AV7" s="729"/>
      <c r="AW7" s="729"/>
      <c r="AX7" s="729"/>
      <c r="AY7" s="729"/>
      <c r="AZ7" s="729"/>
      <c r="BA7" s="729"/>
      <c r="BB7" s="729"/>
      <c r="BC7" s="729"/>
      <c r="BD7" s="729"/>
      <c r="BE7" s="729"/>
      <c r="BF7" s="729"/>
      <c r="BG7" s="729"/>
      <c r="BH7" s="729"/>
      <c r="BI7" s="729"/>
      <c r="BJ7" s="729"/>
      <c r="BK7" s="729"/>
      <c r="BL7" s="729"/>
      <c r="BM7" s="729"/>
      <c r="BN7" s="729"/>
      <c r="BO7" s="729"/>
      <c r="BP7" s="729"/>
      <c r="BQ7" s="729"/>
      <c r="BR7" s="729"/>
      <c r="BS7" s="729"/>
      <c r="BT7" s="729"/>
      <c r="BU7" s="729"/>
      <c r="BV7" s="729"/>
      <c r="BW7" s="729"/>
      <c r="BX7" s="729"/>
      <c r="BY7" s="729"/>
      <c r="BZ7" s="729"/>
      <c r="CA7" s="729"/>
      <c r="CB7" s="729"/>
      <c r="CC7" s="729"/>
      <c r="CD7" s="729"/>
      <c r="CE7" s="729"/>
      <c r="CF7" s="729"/>
      <c r="CG7" s="729"/>
      <c r="CH7" s="729"/>
      <c r="CI7" s="729"/>
      <c r="CJ7" s="729"/>
      <c r="CK7" s="729"/>
      <c r="CL7" s="729"/>
      <c r="CM7" s="729"/>
      <c r="CN7" s="729"/>
      <c r="CO7" s="729"/>
      <c r="CP7" s="729"/>
      <c r="CQ7" s="729"/>
      <c r="CR7" s="729"/>
      <c r="CS7" s="729"/>
      <c r="CT7" s="729"/>
      <c r="CU7" s="729"/>
      <c r="CV7" s="729"/>
      <c r="CW7" s="729"/>
      <c r="CX7" s="729"/>
      <c r="CY7" s="729"/>
      <c r="CZ7" s="729"/>
      <c r="DA7" s="729"/>
      <c r="DB7" s="729"/>
      <c r="DC7" s="729"/>
      <c r="DD7" s="729"/>
      <c r="DE7" s="729"/>
      <c r="DF7" s="729"/>
      <c r="DG7" s="729"/>
      <c r="DH7" s="729"/>
      <c r="DI7" s="729"/>
      <c r="DJ7" s="729"/>
      <c r="DK7" s="729"/>
      <c r="DL7" s="729"/>
      <c r="DM7" s="729"/>
      <c r="DN7" s="729"/>
      <c r="DO7" s="729"/>
      <c r="DP7" s="729"/>
      <c r="DQ7" s="729"/>
      <c r="DR7" s="729"/>
      <c r="DS7" s="729"/>
      <c r="DT7" s="729"/>
      <c r="DU7" s="729"/>
      <c r="DV7" s="729"/>
      <c r="DW7" s="729"/>
      <c r="DX7" s="729"/>
      <c r="DY7" s="729"/>
      <c r="DZ7" s="729"/>
      <c r="EA7" s="729"/>
      <c r="EB7" s="729"/>
      <c r="EC7" s="729"/>
      <c r="ED7" s="729"/>
      <c r="EE7" s="729"/>
      <c r="EF7" s="729"/>
      <c r="EG7" s="729"/>
      <c r="EH7" s="729"/>
      <c r="EI7" s="729"/>
      <c r="EJ7" s="729"/>
      <c r="EK7" s="729"/>
      <c r="EL7" s="729"/>
      <c r="EM7" s="729"/>
      <c r="EN7" s="729"/>
      <c r="EO7" s="729"/>
      <c r="EP7" s="729"/>
      <c r="EQ7" s="729"/>
      <c r="ER7" s="729"/>
      <c r="ES7" s="729"/>
      <c r="ET7" s="729"/>
      <c r="EU7" s="729"/>
      <c r="EV7" s="729"/>
      <c r="EW7" s="729"/>
      <c r="EX7" s="729"/>
      <c r="EY7" s="729"/>
      <c r="EZ7" s="729"/>
      <c r="FA7" s="729"/>
      <c r="FB7" s="729"/>
      <c r="FC7" s="729"/>
      <c r="FD7" s="729"/>
      <c r="FE7" s="729"/>
      <c r="FF7" s="729"/>
      <c r="FG7" s="729"/>
      <c r="FH7" s="729"/>
      <c r="FI7" s="729"/>
      <c r="FJ7" s="729"/>
      <c r="FK7" s="729"/>
      <c r="FL7" s="729"/>
      <c r="FM7" s="729"/>
      <c r="FN7" s="729"/>
      <c r="FO7" s="729"/>
      <c r="FP7" s="729"/>
      <c r="FQ7" s="729"/>
      <c r="FR7" s="729"/>
      <c r="FS7" s="729"/>
      <c r="FT7" s="729"/>
      <c r="FU7" s="729"/>
      <c r="FV7" s="729"/>
      <c r="FW7" s="729"/>
      <c r="FX7" s="729"/>
      <c r="FY7" s="729"/>
      <c r="FZ7" s="729"/>
      <c r="GA7" s="729"/>
      <c r="GB7" s="729"/>
      <c r="GC7" s="729"/>
      <c r="GD7" s="729"/>
      <c r="GE7" s="729"/>
      <c r="GF7" s="729"/>
      <c r="GG7" s="729"/>
      <c r="GH7" s="729"/>
      <c r="GI7" s="729"/>
      <c r="GJ7" s="729"/>
      <c r="GK7" s="729"/>
      <c r="GL7" s="729"/>
      <c r="GM7" s="729"/>
      <c r="GN7" s="729"/>
      <c r="GO7" s="729"/>
      <c r="GP7" s="729"/>
      <c r="GQ7" s="729"/>
      <c r="GR7" s="729"/>
      <c r="GS7" s="729"/>
      <c r="GT7" s="729"/>
      <c r="GU7" s="729"/>
      <c r="GV7" s="729"/>
      <c r="GW7" s="729"/>
      <c r="GX7" s="729"/>
      <c r="GY7" s="729"/>
      <c r="GZ7" s="729"/>
      <c r="HA7" s="729"/>
      <c r="HB7" s="729"/>
      <c r="HC7" s="729"/>
      <c r="HD7" s="729"/>
      <c r="HE7" s="729"/>
      <c r="HF7" s="729"/>
      <c r="HG7" s="729"/>
      <c r="HH7" s="729"/>
      <c r="HI7" s="729"/>
      <c r="HJ7" s="729"/>
      <c r="HK7" s="729"/>
      <c r="HL7" s="729"/>
      <c r="HM7" s="729"/>
      <c r="HN7" s="729"/>
      <c r="HO7" s="729"/>
      <c r="HP7" s="729"/>
      <c r="HQ7" s="729"/>
      <c r="HR7" s="729"/>
      <c r="HS7" s="729"/>
      <c r="HT7" s="729"/>
      <c r="HU7" s="729"/>
      <c r="HV7" s="729"/>
      <c r="HW7" s="729"/>
      <c r="HX7" s="729"/>
      <c r="HY7" s="729"/>
      <c r="HZ7" s="729"/>
      <c r="IA7" s="729"/>
      <c r="IB7" s="729"/>
      <c r="IC7" s="729"/>
      <c r="ID7" s="729"/>
      <c r="IE7" s="729"/>
      <c r="IF7" s="729"/>
      <c r="IG7" s="729"/>
      <c r="IH7" s="729"/>
      <c r="II7" s="729"/>
      <c r="IJ7" s="729"/>
      <c r="IK7" s="729"/>
      <c r="IL7" s="729"/>
      <c r="IM7" s="729"/>
      <c r="IN7" s="729"/>
      <c r="IO7" s="729"/>
      <c r="IP7" s="729"/>
      <c r="IQ7" s="729"/>
    </row>
    <row r="8" spans="1:251" ht="30" customHeight="1" x14ac:dyDescent="0.3">
      <c r="B8" s="2267" t="s">
        <v>18</v>
      </c>
      <c r="C8" s="2270" t="s">
        <v>19</v>
      </c>
      <c r="D8" s="2273" t="s">
        <v>6</v>
      </c>
      <c r="E8" s="2276" t="s">
        <v>21</v>
      </c>
      <c r="F8" s="2276" t="s">
        <v>643</v>
      </c>
      <c r="G8" s="2279" t="s">
        <v>1019</v>
      </c>
      <c r="H8" s="2282" t="s">
        <v>302</v>
      </c>
      <c r="I8" s="2285" t="s">
        <v>634</v>
      </c>
      <c r="J8" s="2286"/>
      <c r="K8" s="2286"/>
      <c r="L8" s="2287"/>
      <c r="M8" s="2288" t="s">
        <v>644</v>
      </c>
    </row>
    <row r="9" spans="1:251" ht="45.75" customHeight="1" x14ac:dyDescent="0.3">
      <c r="B9" s="2268"/>
      <c r="C9" s="2271"/>
      <c r="D9" s="2274"/>
      <c r="E9" s="2277"/>
      <c r="F9" s="2277"/>
      <c r="G9" s="2280"/>
      <c r="H9" s="2283"/>
      <c r="I9" s="723" t="s">
        <v>39</v>
      </c>
      <c r="J9" s="2291" t="s">
        <v>163</v>
      </c>
      <c r="K9" s="2291"/>
      <c r="L9" s="2292" t="s">
        <v>129</v>
      </c>
      <c r="M9" s="2289"/>
    </row>
    <row r="10" spans="1:251" ht="53.25" customHeight="1" thickBot="1" x14ac:dyDescent="0.35">
      <c r="B10" s="2269"/>
      <c r="C10" s="2272"/>
      <c r="D10" s="2275"/>
      <c r="E10" s="2278"/>
      <c r="F10" s="2278"/>
      <c r="G10" s="2281"/>
      <c r="H10" s="2284"/>
      <c r="I10" s="955" t="s">
        <v>42</v>
      </c>
      <c r="J10" s="754" t="s">
        <v>231</v>
      </c>
      <c r="K10" s="754" t="s">
        <v>164</v>
      </c>
      <c r="L10" s="2293"/>
      <c r="M10" s="2290"/>
    </row>
    <row r="11" spans="1:251" ht="23.25" customHeight="1" x14ac:dyDescent="0.3">
      <c r="A11" s="730">
        <v>1</v>
      </c>
      <c r="B11" s="954">
        <v>18</v>
      </c>
      <c r="C11" s="947" t="s">
        <v>31</v>
      </c>
      <c r="D11" s="741"/>
      <c r="E11" s="725"/>
      <c r="F11" s="742"/>
      <c r="G11" s="1797"/>
      <c r="H11" s="985"/>
      <c r="I11" s="956"/>
      <c r="J11" s="755"/>
      <c r="K11" s="755"/>
      <c r="L11" s="756"/>
      <c r="M11" s="743"/>
    </row>
    <row r="12" spans="1:251" ht="38.1" customHeight="1" x14ac:dyDescent="0.3">
      <c r="A12" s="730">
        <v>2</v>
      </c>
      <c r="B12" s="744"/>
      <c r="C12" s="749">
        <v>1</v>
      </c>
      <c r="D12" s="424" t="s">
        <v>1266</v>
      </c>
      <c r="E12" s="746">
        <f>F12+G12+L16+M13</f>
        <v>15906</v>
      </c>
      <c r="F12" s="747"/>
      <c r="G12" s="1798">
        <v>5652</v>
      </c>
      <c r="H12" s="986" t="s">
        <v>24</v>
      </c>
      <c r="I12" s="957"/>
      <c r="J12" s="757"/>
      <c r="K12" s="757"/>
      <c r="L12" s="758"/>
      <c r="M12" s="748"/>
    </row>
    <row r="13" spans="1:251" s="1477" customFormat="1" ht="18" customHeight="1" x14ac:dyDescent="0.3">
      <c r="A13" s="783">
        <v>3</v>
      </c>
      <c r="B13" s="1467"/>
      <c r="C13" s="1592"/>
      <c r="D13" s="1593" t="s">
        <v>311</v>
      </c>
      <c r="E13" s="1470"/>
      <c r="F13" s="1471"/>
      <c r="G13" s="1801"/>
      <c r="H13" s="1472"/>
      <c r="I13" s="1473"/>
      <c r="J13" s="1594">
        <v>4554</v>
      </c>
      <c r="K13" s="1594"/>
      <c r="L13" s="1475">
        <f t="shared" ref="L13:L246" si="0">SUM(I13:K13)</f>
        <v>4554</v>
      </c>
      <c r="M13" s="1476"/>
    </row>
    <row r="14" spans="1:251" s="1477" customFormat="1" ht="18" customHeight="1" x14ac:dyDescent="0.3">
      <c r="A14" s="730">
        <v>4</v>
      </c>
      <c r="B14" s="1467"/>
      <c r="C14" s="1592"/>
      <c r="D14" s="1599" t="s">
        <v>1072</v>
      </c>
      <c r="E14" s="1470"/>
      <c r="F14" s="1471"/>
      <c r="G14" s="1801"/>
      <c r="H14" s="1472"/>
      <c r="I14" s="1473"/>
      <c r="J14" s="1771">
        <v>6254</v>
      </c>
      <c r="K14" s="1771"/>
      <c r="L14" s="1497">
        <f t="shared" si="0"/>
        <v>6254</v>
      </c>
      <c r="M14" s="1476"/>
    </row>
    <row r="15" spans="1:251" s="1488" customFormat="1" ht="18" customHeight="1" x14ac:dyDescent="0.3">
      <c r="A15" s="730">
        <v>5</v>
      </c>
      <c r="B15" s="1478"/>
      <c r="C15" s="1595"/>
      <c r="D15" s="1596" t="s">
        <v>987</v>
      </c>
      <c r="E15" s="1481"/>
      <c r="F15" s="1482"/>
      <c r="G15" s="1799"/>
      <c r="H15" s="1483"/>
      <c r="I15" s="1484"/>
      <c r="J15" s="1597">
        <v>4000</v>
      </c>
      <c r="K15" s="1597"/>
      <c r="L15" s="1486">
        <f t="shared" si="0"/>
        <v>4000</v>
      </c>
      <c r="M15" s="1487"/>
    </row>
    <row r="16" spans="1:251" s="1499" customFormat="1" ht="18" customHeight="1" x14ac:dyDescent="0.3">
      <c r="A16" s="783">
        <v>6</v>
      </c>
      <c r="B16" s="1489"/>
      <c r="C16" s="1598"/>
      <c r="D16" s="1599" t="s">
        <v>1151</v>
      </c>
      <c r="E16" s="1492"/>
      <c r="F16" s="1493"/>
      <c r="G16" s="1800"/>
      <c r="H16" s="1494"/>
      <c r="I16" s="1495"/>
      <c r="J16" s="1495">
        <f>SUM(J14:J15)</f>
        <v>10254</v>
      </c>
      <c r="K16" s="1495">
        <f t="shared" ref="K16" si="1">SUM(K13:K15)</f>
        <v>0</v>
      </c>
      <c r="L16" s="1497">
        <f t="shared" si="0"/>
        <v>10254</v>
      </c>
      <c r="M16" s="1498"/>
    </row>
    <row r="17" spans="1:13" ht="22.5" customHeight="1" x14ac:dyDescent="0.3">
      <c r="A17" s="730">
        <v>7</v>
      </c>
      <c r="B17" s="744"/>
      <c r="C17" s="745">
        <v>2</v>
      </c>
      <c r="D17" s="423" t="s">
        <v>751</v>
      </c>
      <c r="E17" s="746">
        <f>F17+G17+L21+M18</f>
        <v>218705</v>
      </c>
      <c r="F17" s="747">
        <f>83462</f>
        <v>83462</v>
      </c>
      <c r="G17" s="1798">
        <f>134105</f>
        <v>134105</v>
      </c>
      <c r="H17" s="986" t="s">
        <v>24</v>
      </c>
      <c r="I17" s="957"/>
      <c r="J17" s="757"/>
      <c r="K17" s="757"/>
      <c r="L17" s="758"/>
      <c r="M17" s="748"/>
    </row>
    <row r="18" spans="1:13" s="1477" customFormat="1" ht="18" customHeight="1" x14ac:dyDescent="0.3">
      <c r="A18" s="730">
        <v>8</v>
      </c>
      <c r="B18" s="1467"/>
      <c r="C18" s="1592"/>
      <c r="D18" s="1593" t="s">
        <v>311</v>
      </c>
      <c r="E18" s="1470"/>
      <c r="F18" s="1471"/>
      <c r="G18" s="1801"/>
      <c r="H18" s="1472"/>
      <c r="I18" s="1473">
        <v>500</v>
      </c>
      <c r="J18" s="1594">
        <v>638</v>
      </c>
      <c r="K18" s="1594"/>
      <c r="L18" s="1475">
        <f t="shared" ref="L18:L20" si="2">SUM(I18:K18)</f>
        <v>1138</v>
      </c>
      <c r="M18" s="1476"/>
    </row>
    <row r="19" spans="1:13" s="1477" customFormat="1" ht="18" customHeight="1" x14ac:dyDescent="0.3">
      <c r="A19" s="783">
        <v>9</v>
      </c>
      <c r="B19" s="1467"/>
      <c r="C19" s="1592"/>
      <c r="D19" s="1599" t="s">
        <v>1072</v>
      </c>
      <c r="E19" s="1470"/>
      <c r="F19" s="1471"/>
      <c r="G19" s="1801"/>
      <c r="H19" s="1472"/>
      <c r="I19" s="1495">
        <v>500</v>
      </c>
      <c r="J19" s="1771">
        <v>638</v>
      </c>
      <c r="K19" s="1771"/>
      <c r="L19" s="1497">
        <f t="shared" si="2"/>
        <v>1138</v>
      </c>
      <c r="M19" s="1476"/>
    </row>
    <row r="20" spans="1:13" s="1488" customFormat="1" ht="18" customHeight="1" x14ac:dyDescent="0.3">
      <c r="A20" s="730">
        <v>10</v>
      </c>
      <c r="B20" s="1478"/>
      <c r="C20" s="1595"/>
      <c r="D20" s="1596" t="s">
        <v>963</v>
      </c>
      <c r="E20" s="1481"/>
      <c r="F20" s="1482"/>
      <c r="G20" s="1799"/>
      <c r="H20" s="1483"/>
      <c r="I20" s="1484"/>
      <c r="J20" s="1597"/>
      <c r="K20" s="1597"/>
      <c r="L20" s="1486">
        <f t="shared" si="2"/>
        <v>0</v>
      </c>
      <c r="M20" s="1487"/>
    </row>
    <row r="21" spans="1:13" s="1499" customFormat="1" ht="18" customHeight="1" x14ac:dyDescent="0.3">
      <c r="A21" s="730">
        <v>11</v>
      </c>
      <c r="B21" s="1489"/>
      <c r="C21" s="1598"/>
      <c r="D21" s="1599" t="s">
        <v>1151</v>
      </c>
      <c r="E21" s="1492"/>
      <c r="F21" s="1493"/>
      <c r="G21" s="1800"/>
      <c r="H21" s="1494"/>
      <c r="I21" s="1495">
        <f>SUM(I19:I20)</f>
        <v>500</v>
      </c>
      <c r="J21" s="1495">
        <f t="shared" ref="J21:K21" si="3">SUM(J19:J20)</f>
        <v>638</v>
      </c>
      <c r="K21" s="1495">
        <f t="shared" si="3"/>
        <v>0</v>
      </c>
      <c r="L21" s="1497">
        <f>SUM(I21:K21)</f>
        <v>1138</v>
      </c>
      <c r="M21" s="1498"/>
    </row>
    <row r="22" spans="1:13" ht="38.1" customHeight="1" x14ac:dyDescent="0.3">
      <c r="A22" s="783">
        <v>12</v>
      </c>
      <c r="B22" s="744"/>
      <c r="C22" s="749">
        <v>3</v>
      </c>
      <c r="D22" s="424" t="s">
        <v>752</v>
      </c>
      <c r="E22" s="746">
        <f>F22+G22+L26+M23</f>
        <v>74702</v>
      </c>
      <c r="F22" s="746">
        <v>18391</v>
      </c>
      <c r="G22" s="1798">
        <f>26497+3</f>
        <v>26500</v>
      </c>
      <c r="H22" s="986" t="s">
        <v>24</v>
      </c>
      <c r="I22" s="958"/>
      <c r="J22" s="746"/>
      <c r="K22" s="746"/>
      <c r="L22" s="759"/>
      <c r="M22" s="748"/>
    </row>
    <row r="23" spans="1:13" s="1477" customFormat="1" ht="18" customHeight="1" x14ac:dyDescent="0.3">
      <c r="A23" s="730">
        <v>13</v>
      </c>
      <c r="B23" s="1467"/>
      <c r="C23" s="1592"/>
      <c r="D23" s="1593" t="s">
        <v>311</v>
      </c>
      <c r="E23" s="1470"/>
      <c r="F23" s="1471"/>
      <c r="G23" s="1801"/>
      <c r="H23" s="1472"/>
      <c r="I23" s="1473">
        <v>327</v>
      </c>
      <c r="J23" s="1594">
        <v>29484</v>
      </c>
      <c r="K23" s="1594"/>
      <c r="L23" s="1475">
        <f t="shared" si="0"/>
        <v>29811</v>
      </c>
      <c r="M23" s="1476"/>
    </row>
    <row r="24" spans="1:13" s="1477" customFormat="1" ht="18" customHeight="1" x14ac:dyDescent="0.3">
      <c r="A24" s="730">
        <v>14</v>
      </c>
      <c r="B24" s="1467"/>
      <c r="C24" s="1592"/>
      <c r="D24" s="1599" t="s">
        <v>1072</v>
      </c>
      <c r="E24" s="1470"/>
      <c r="F24" s="1471"/>
      <c r="G24" s="1801"/>
      <c r="H24" s="1472"/>
      <c r="I24" s="1495">
        <v>327</v>
      </c>
      <c r="J24" s="1771">
        <v>29484</v>
      </c>
      <c r="K24" s="1594"/>
      <c r="L24" s="1497">
        <f t="shared" ref="L24" si="4">SUM(I24:K24)</f>
        <v>29811</v>
      </c>
      <c r="M24" s="1476"/>
    </row>
    <row r="25" spans="1:13" s="1488" customFormat="1" ht="18" customHeight="1" x14ac:dyDescent="0.3">
      <c r="A25" s="783">
        <v>15</v>
      </c>
      <c r="B25" s="1478"/>
      <c r="C25" s="1595"/>
      <c r="D25" s="1596" t="s">
        <v>963</v>
      </c>
      <c r="E25" s="1481"/>
      <c r="F25" s="1482"/>
      <c r="G25" s="1799"/>
      <c r="H25" s="1483"/>
      <c r="I25" s="1484"/>
      <c r="J25" s="1597"/>
      <c r="K25" s="1597"/>
      <c r="L25" s="1486">
        <f t="shared" si="0"/>
        <v>0</v>
      </c>
      <c r="M25" s="1487"/>
    </row>
    <row r="26" spans="1:13" s="1499" customFormat="1" ht="18" customHeight="1" x14ac:dyDescent="0.3">
      <c r="A26" s="730">
        <v>16</v>
      </c>
      <c r="B26" s="1489"/>
      <c r="C26" s="1598"/>
      <c r="D26" s="1599" t="s">
        <v>1151</v>
      </c>
      <c r="E26" s="1492"/>
      <c r="F26" s="1493"/>
      <c r="G26" s="1800"/>
      <c r="H26" s="1494"/>
      <c r="I26" s="1495">
        <f>SUM(I24:I25)</f>
        <v>327</v>
      </c>
      <c r="J26" s="1495">
        <f t="shared" ref="J26:K26" si="5">SUM(J24:J25)</f>
        <v>29484</v>
      </c>
      <c r="K26" s="1495">
        <f t="shared" si="5"/>
        <v>0</v>
      </c>
      <c r="L26" s="1497">
        <f t="shared" si="0"/>
        <v>29811</v>
      </c>
      <c r="M26" s="1498"/>
    </row>
    <row r="27" spans="1:13" ht="22.5" customHeight="1" x14ac:dyDescent="0.3">
      <c r="A27" s="730">
        <v>17</v>
      </c>
      <c r="B27" s="744"/>
      <c r="C27" s="745">
        <v>4</v>
      </c>
      <c r="D27" s="423" t="s">
        <v>753</v>
      </c>
      <c r="E27" s="746">
        <f>F27+G27+L31+M28</f>
        <v>3175</v>
      </c>
      <c r="F27" s="746"/>
      <c r="G27" s="1798"/>
      <c r="H27" s="986" t="s">
        <v>24</v>
      </c>
      <c r="I27" s="958"/>
      <c r="J27" s="746"/>
      <c r="K27" s="746"/>
      <c r="L27" s="759"/>
      <c r="M27" s="748"/>
    </row>
    <row r="28" spans="1:13" s="1477" customFormat="1" ht="18" customHeight="1" x14ac:dyDescent="0.3">
      <c r="A28" s="783">
        <v>18</v>
      </c>
      <c r="B28" s="1467"/>
      <c r="C28" s="1592"/>
      <c r="D28" s="1593" t="s">
        <v>311</v>
      </c>
      <c r="E28" s="1470"/>
      <c r="F28" s="1471"/>
      <c r="G28" s="1801"/>
      <c r="H28" s="1472"/>
      <c r="I28" s="1473"/>
      <c r="J28" s="1594">
        <v>3175</v>
      </c>
      <c r="K28" s="1594"/>
      <c r="L28" s="1475">
        <f t="shared" ref="L28:L31" si="6">SUM(I28:K28)</f>
        <v>3175</v>
      </c>
      <c r="M28" s="1476"/>
    </row>
    <row r="29" spans="1:13" s="1477" customFormat="1" ht="18" customHeight="1" x14ac:dyDescent="0.3">
      <c r="A29" s="730">
        <v>19</v>
      </c>
      <c r="B29" s="1467"/>
      <c r="C29" s="1592"/>
      <c r="D29" s="1599" t="s">
        <v>1072</v>
      </c>
      <c r="E29" s="1470"/>
      <c r="F29" s="1471"/>
      <c r="G29" s="1801"/>
      <c r="H29" s="1472"/>
      <c r="I29" s="1473"/>
      <c r="J29" s="1771">
        <v>3175</v>
      </c>
      <c r="K29" s="1594"/>
      <c r="L29" s="1497">
        <f t="shared" ref="L29" si="7">SUM(I29:K29)</f>
        <v>3175</v>
      </c>
      <c r="M29" s="1476"/>
    </row>
    <row r="30" spans="1:13" s="1488" customFormat="1" ht="18" customHeight="1" x14ac:dyDescent="0.3">
      <c r="A30" s="730">
        <v>20</v>
      </c>
      <c r="B30" s="1478"/>
      <c r="C30" s="1595"/>
      <c r="D30" s="1596" t="s">
        <v>963</v>
      </c>
      <c r="E30" s="1481"/>
      <c r="F30" s="1482"/>
      <c r="G30" s="1799"/>
      <c r="H30" s="1483"/>
      <c r="I30" s="1484"/>
      <c r="J30" s="1597"/>
      <c r="K30" s="1597"/>
      <c r="L30" s="1486">
        <f t="shared" si="6"/>
        <v>0</v>
      </c>
      <c r="M30" s="1487"/>
    </row>
    <row r="31" spans="1:13" s="1499" customFormat="1" ht="18" customHeight="1" x14ac:dyDescent="0.3">
      <c r="A31" s="783">
        <v>21</v>
      </c>
      <c r="B31" s="1489"/>
      <c r="C31" s="1598"/>
      <c r="D31" s="1599" t="s">
        <v>1151</v>
      </c>
      <c r="E31" s="1492"/>
      <c r="F31" s="1493"/>
      <c r="G31" s="1800"/>
      <c r="H31" s="1494"/>
      <c r="I31" s="1495"/>
      <c r="J31" s="1495">
        <f>SUM(J29:J30)</f>
        <v>3175</v>
      </c>
      <c r="K31" s="1495">
        <f>SUM(K29:K30)</f>
        <v>0</v>
      </c>
      <c r="L31" s="1497">
        <f t="shared" si="6"/>
        <v>3175</v>
      </c>
      <c r="M31" s="1498"/>
    </row>
    <row r="32" spans="1:13" ht="38.1" customHeight="1" x14ac:dyDescent="0.3">
      <c r="A32" s="730">
        <v>22</v>
      </c>
      <c r="B32" s="744"/>
      <c r="C32" s="749">
        <v>5</v>
      </c>
      <c r="D32" s="424" t="s">
        <v>754</v>
      </c>
      <c r="E32" s="746">
        <f>F32+G32+L36+M33</f>
        <v>1905</v>
      </c>
      <c r="F32" s="746"/>
      <c r="G32" s="1798"/>
      <c r="H32" s="986" t="s">
        <v>24</v>
      </c>
      <c r="I32" s="958"/>
      <c r="J32" s="746"/>
      <c r="K32" s="746"/>
      <c r="L32" s="759"/>
      <c r="M32" s="748"/>
    </row>
    <row r="33" spans="1:14" s="1477" customFormat="1" ht="18" customHeight="1" x14ac:dyDescent="0.3">
      <c r="A33" s="730">
        <v>23</v>
      </c>
      <c r="B33" s="1467"/>
      <c r="C33" s="1592"/>
      <c r="D33" s="1593" t="s">
        <v>311</v>
      </c>
      <c r="E33" s="1470"/>
      <c r="F33" s="1471"/>
      <c r="G33" s="1801"/>
      <c r="H33" s="1472"/>
      <c r="I33" s="1473"/>
      <c r="J33" s="1594">
        <v>2000</v>
      </c>
      <c r="K33" s="1594"/>
      <c r="L33" s="1475">
        <f t="shared" si="0"/>
        <v>2000</v>
      </c>
      <c r="M33" s="1476"/>
    </row>
    <row r="34" spans="1:14" s="1477" customFormat="1" ht="18" customHeight="1" x14ac:dyDescent="0.3">
      <c r="A34" s="783">
        <v>24</v>
      </c>
      <c r="B34" s="1467"/>
      <c r="C34" s="1592"/>
      <c r="D34" s="1599" t="s">
        <v>1072</v>
      </c>
      <c r="E34" s="1470"/>
      <c r="F34" s="1471"/>
      <c r="G34" s="1801"/>
      <c r="H34" s="1472"/>
      <c r="I34" s="1473"/>
      <c r="J34" s="1771">
        <v>1905</v>
      </c>
      <c r="K34" s="1594"/>
      <c r="L34" s="1497">
        <f t="shared" ref="L34" si="8">SUM(I34:K34)</f>
        <v>1905</v>
      </c>
      <c r="M34" s="1476"/>
    </row>
    <row r="35" spans="1:14" s="1488" customFormat="1" ht="18" customHeight="1" x14ac:dyDescent="0.3">
      <c r="A35" s="730">
        <v>25</v>
      </c>
      <c r="B35" s="1478"/>
      <c r="C35" s="1595"/>
      <c r="D35" s="1596" t="s">
        <v>986</v>
      </c>
      <c r="E35" s="1481"/>
      <c r="F35" s="1482"/>
      <c r="G35" s="1799"/>
      <c r="H35" s="1483"/>
      <c r="I35" s="1484"/>
      <c r="J35" s="1597"/>
      <c r="K35" s="1597"/>
      <c r="L35" s="1486">
        <f t="shared" si="0"/>
        <v>0</v>
      </c>
      <c r="M35" s="1487"/>
    </row>
    <row r="36" spans="1:14" s="1499" customFormat="1" ht="18" customHeight="1" x14ac:dyDescent="0.3">
      <c r="A36" s="730">
        <v>26</v>
      </c>
      <c r="B36" s="1489"/>
      <c r="C36" s="1598"/>
      <c r="D36" s="1599" t="s">
        <v>1151</v>
      </c>
      <c r="E36" s="1492"/>
      <c r="F36" s="1493"/>
      <c r="G36" s="1800"/>
      <c r="H36" s="1494"/>
      <c r="I36" s="1495"/>
      <c r="J36" s="1495">
        <f>SUM(J34:J35)</f>
        <v>1905</v>
      </c>
      <c r="K36" s="1495">
        <f>SUM(K34:K35)</f>
        <v>0</v>
      </c>
      <c r="L36" s="1497">
        <f t="shared" si="0"/>
        <v>1905</v>
      </c>
      <c r="M36" s="1498"/>
    </row>
    <row r="37" spans="1:14" ht="38.1" customHeight="1" x14ac:dyDescent="0.3">
      <c r="A37" s="783">
        <v>27</v>
      </c>
      <c r="B37" s="744"/>
      <c r="C37" s="749">
        <v>6</v>
      </c>
      <c r="D37" s="424" t="s">
        <v>755</v>
      </c>
      <c r="E37" s="746">
        <f>F37+G37+L41+M38</f>
        <v>4260</v>
      </c>
      <c r="F37" s="747"/>
      <c r="G37" s="1798">
        <v>305</v>
      </c>
      <c r="H37" s="986" t="s">
        <v>24</v>
      </c>
      <c r="I37" s="957"/>
      <c r="J37" s="757"/>
      <c r="K37" s="757"/>
      <c r="L37" s="758"/>
      <c r="M37" s="748"/>
    </row>
    <row r="38" spans="1:14" s="1477" customFormat="1" ht="18" customHeight="1" x14ac:dyDescent="0.3">
      <c r="A38" s="730">
        <v>28</v>
      </c>
      <c r="B38" s="1467"/>
      <c r="C38" s="1592"/>
      <c r="D38" s="1593" t="s">
        <v>311</v>
      </c>
      <c r="E38" s="1470"/>
      <c r="F38" s="1471"/>
      <c r="G38" s="1801"/>
      <c r="H38" s="1472"/>
      <c r="I38" s="1473"/>
      <c r="J38" s="1594">
        <v>3955</v>
      </c>
      <c r="K38" s="1594"/>
      <c r="L38" s="1475">
        <f t="shared" ref="L38:L41" si="9">SUM(I38:K38)</f>
        <v>3955</v>
      </c>
      <c r="M38" s="1476"/>
    </row>
    <row r="39" spans="1:14" s="1477" customFormat="1" ht="18" customHeight="1" x14ac:dyDescent="0.3">
      <c r="A39" s="730">
        <v>29</v>
      </c>
      <c r="B39" s="1467"/>
      <c r="C39" s="1592"/>
      <c r="D39" s="1599" t="s">
        <v>1072</v>
      </c>
      <c r="E39" s="1470"/>
      <c r="F39" s="1471"/>
      <c r="G39" s="1801"/>
      <c r="H39" s="1472"/>
      <c r="I39" s="1473"/>
      <c r="J39" s="1771">
        <v>3955</v>
      </c>
      <c r="K39" s="1594"/>
      <c r="L39" s="1497">
        <f t="shared" ref="L39" si="10">SUM(I39:K39)</f>
        <v>3955</v>
      </c>
      <c r="M39" s="1476"/>
    </row>
    <row r="40" spans="1:14" s="1488" customFormat="1" ht="18" customHeight="1" x14ac:dyDescent="0.3">
      <c r="A40" s="783">
        <v>30</v>
      </c>
      <c r="B40" s="1478"/>
      <c r="C40" s="1595"/>
      <c r="D40" s="1596" t="s">
        <v>963</v>
      </c>
      <c r="E40" s="1481"/>
      <c r="F40" s="1482"/>
      <c r="G40" s="1799"/>
      <c r="H40" s="1483"/>
      <c r="I40" s="1484"/>
      <c r="J40" s="1597"/>
      <c r="K40" s="1597"/>
      <c r="L40" s="1486">
        <f t="shared" si="9"/>
        <v>0</v>
      </c>
      <c r="M40" s="1487"/>
    </row>
    <row r="41" spans="1:14" s="1499" customFormat="1" ht="18" customHeight="1" x14ac:dyDescent="0.3">
      <c r="A41" s="730">
        <v>31</v>
      </c>
      <c r="B41" s="1489"/>
      <c r="C41" s="1598"/>
      <c r="D41" s="1599" t="s">
        <v>1151</v>
      </c>
      <c r="E41" s="1492"/>
      <c r="F41" s="1493"/>
      <c r="G41" s="1800"/>
      <c r="H41" s="1494"/>
      <c r="I41" s="1495"/>
      <c r="J41" s="1495">
        <f>SUM(J39:J40)</f>
        <v>3955</v>
      </c>
      <c r="K41" s="1495">
        <f>SUM(K39:K40)</f>
        <v>0</v>
      </c>
      <c r="L41" s="1497">
        <f t="shared" si="9"/>
        <v>3955</v>
      </c>
      <c r="M41" s="1498"/>
    </row>
    <row r="42" spans="1:14" ht="22.5" customHeight="1" x14ac:dyDescent="0.3">
      <c r="A42" s="730">
        <v>32</v>
      </c>
      <c r="B42" s="744"/>
      <c r="C42" s="745">
        <v>7</v>
      </c>
      <c r="D42" s="423" t="s">
        <v>756</v>
      </c>
      <c r="E42" s="746">
        <f>F42+G42+L46+M43</f>
        <v>3000</v>
      </c>
      <c r="F42" s="747"/>
      <c r="G42" s="1798"/>
      <c r="H42" s="986" t="s">
        <v>24</v>
      </c>
      <c r="I42" s="957"/>
      <c r="J42" s="757"/>
      <c r="K42" s="757"/>
      <c r="L42" s="758"/>
      <c r="M42" s="748"/>
      <c r="N42" s="731"/>
    </row>
    <row r="43" spans="1:14" s="1477" customFormat="1" ht="18" customHeight="1" x14ac:dyDescent="0.3">
      <c r="A43" s="783">
        <v>33</v>
      </c>
      <c r="B43" s="1467"/>
      <c r="C43" s="1592"/>
      <c r="D43" s="1593" t="s">
        <v>311</v>
      </c>
      <c r="E43" s="1470"/>
      <c r="F43" s="1471"/>
      <c r="G43" s="1801"/>
      <c r="H43" s="1472"/>
      <c r="I43" s="1473"/>
      <c r="J43" s="1594">
        <v>3000</v>
      </c>
      <c r="K43" s="1594"/>
      <c r="L43" s="1475">
        <f t="shared" si="0"/>
        <v>3000</v>
      </c>
      <c r="M43" s="1476"/>
    </row>
    <row r="44" spans="1:14" s="1477" customFormat="1" ht="18" customHeight="1" x14ac:dyDescent="0.3">
      <c r="A44" s="730">
        <v>34</v>
      </c>
      <c r="B44" s="1467"/>
      <c r="C44" s="1592"/>
      <c r="D44" s="1599" t="s">
        <v>1072</v>
      </c>
      <c r="E44" s="1470"/>
      <c r="F44" s="1471"/>
      <c r="G44" s="1801"/>
      <c r="H44" s="1472"/>
      <c r="I44" s="1473"/>
      <c r="J44" s="1771">
        <v>3000</v>
      </c>
      <c r="K44" s="1594"/>
      <c r="L44" s="1497">
        <f t="shared" ref="L44" si="11">SUM(I44:K44)</f>
        <v>3000</v>
      </c>
      <c r="M44" s="1476"/>
    </row>
    <row r="45" spans="1:14" s="1488" customFormat="1" ht="18" customHeight="1" x14ac:dyDescent="0.3">
      <c r="A45" s="730">
        <v>35</v>
      </c>
      <c r="B45" s="1478"/>
      <c r="C45" s="1595"/>
      <c r="D45" s="1596" t="s">
        <v>963</v>
      </c>
      <c r="E45" s="1481"/>
      <c r="F45" s="1482"/>
      <c r="G45" s="1799"/>
      <c r="H45" s="1483"/>
      <c r="I45" s="1484"/>
      <c r="J45" s="1597"/>
      <c r="K45" s="1597"/>
      <c r="L45" s="1486">
        <f t="shared" si="0"/>
        <v>0</v>
      </c>
      <c r="M45" s="1487"/>
    </row>
    <row r="46" spans="1:14" s="1499" customFormat="1" ht="18" customHeight="1" x14ac:dyDescent="0.3">
      <c r="A46" s="783">
        <v>36</v>
      </c>
      <c r="B46" s="1489"/>
      <c r="C46" s="1598"/>
      <c r="D46" s="1599" t="s">
        <v>1151</v>
      </c>
      <c r="E46" s="1492"/>
      <c r="F46" s="1493"/>
      <c r="G46" s="1800"/>
      <c r="H46" s="1494"/>
      <c r="I46" s="1495"/>
      <c r="J46" s="1495">
        <f>SUM(J44:J45)</f>
        <v>3000</v>
      </c>
      <c r="K46" s="1495">
        <f>SUM(K44:K45)</f>
        <v>0</v>
      </c>
      <c r="L46" s="1497">
        <f t="shared" si="0"/>
        <v>3000</v>
      </c>
      <c r="M46" s="1498"/>
    </row>
    <row r="47" spans="1:14" ht="22.5" customHeight="1" x14ac:dyDescent="0.3">
      <c r="A47" s="730">
        <v>37</v>
      </c>
      <c r="B47" s="744"/>
      <c r="C47" s="745">
        <v>8</v>
      </c>
      <c r="D47" s="423" t="s">
        <v>757</v>
      </c>
      <c r="E47" s="746">
        <f>F47+G47+L51+M48</f>
        <v>25000</v>
      </c>
      <c r="F47" s="747"/>
      <c r="G47" s="1798">
        <v>12491</v>
      </c>
      <c r="H47" s="986" t="s">
        <v>24</v>
      </c>
      <c r="I47" s="957"/>
      <c r="J47" s="757"/>
      <c r="K47" s="757"/>
      <c r="L47" s="758"/>
      <c r="M47" s="748"/>
    </row>
    <row r="48" spans="1:14" s="1477" customFormat="1" ht="18" customHeight="1" x14ac:dyDescent="0.3">
      <c r="A48" s="730">
        <v>38</v>
      </c>
      <c r="B48" s="1467"/>
      <c r="C48" s="1592"/>
      <c r="D48" s="1593" t="s">
        <v>311</v>
      </c>
      <c r="E48" s="1470"/>
      <c r="F48" s="1471"/>
      <c r="G48" s="1801"/>
      <c r="H48" s="1472"/>
      <c r="I48" s="1473"/>
      <c r="J48" s="1594">
        <v>12509</v>
      </c>
      <c r="K48" s="1594"/>
      <c r="L48" s="1475">
        <f t="shared" ref="L48:L51" si="12">SUM(I48:K48)</f>
        <v>12509</v>
      </c>
      <c r="M48" s="1476"/>
    </row>
    <row r="49" spans="1:13" s="1477" customFormat="1" ht="18" customHeight="1" x14ac:dyDescent="0.3">
      <c r="A49" s="783">
        <v>39</v>
      </c>
      <c r="B49" s="1467"/>
      <c r="C49" s="1592"/>
      <c r="D49" s="1599" t="s">
        <v>1072</v>
      </c>
      <c r="E49" s="1470"/>
      <c r="F49" s="1471"/>
      <c r="G49" s="1801"/>
      <c r="H49" s="1472"/>
      <c r="I49" s="1473"/>
      <c r="J49" s="1771">
        <v>12509</v>
      </c>
      <c r="K49" s="1594"/>
      <c r="L49" s="1497">
        <f t="shared" ref="L49" si="13">SUM(I49:K49)</f>
        <v>12509</v>
      </c>
      <c r="M49" s="1476"/>
    </row>
    <row r="50" spans="1:13" s="1488" customFormat="1" ht="18" customHeight="1" x14ac:dyDescent="0.3">
      <c r="A50" s="730">
        <v>40</v>
      </c>
      <c r="B50" s="1478"/>
      <c r="C50" s="1595"/>
      <c r="D50" s="1596" t="s">
        <v>963</v>
      </c>
      <c r="E50" s="1481"/>
      <c r="F50" s="1482"/>
      <c r="G50" s="1799"/>
      <c r="H50" s="1483"/>
      <c r="I50" s="1484"/>
      <c r="J50" s="1597"/>
      <c r="K50" s="1597"/>
      <c r="L50" s="1486">
        <f t="shared" si="12"/>
        <v>0</v>
      </c>
      <c r="M50" s="1487"/>
    </row>
    <row r="51" spans="1:13" s="1499" customFormat="1" ht="18" customHeight="1" x14ac:dyDescent="0.3">
      <c r="A51" s="730">
        <v>41</v>
      </c>
      <c r="B51" s="1489"/>
      <c r="C51" s="1598"/>
      <c r="D51" s="1599" t="s">
        <v>1151</v>
      </c>
      <c r="E51" s="1492"/>
      <c r="F51" s="1493"/>
      <c r="G51" s="1800"/>
      <c r="H51" s="1494"/>
      <c r="I51" s="1495"/>
      <c r="J51" s="1495">
        <f>SUM(J49:J50)</f>
        <v>12509</v>
      </c>
      <c r="K51" s="1495">
        <f>SUM(K49:K50)</f>
        <v>0</v>
      </c>
      <c r="L51" s="1497">
        <f t="shared" si="12"/>
        <v>12509</v>
      </c>
      <c r="M51" s="1498"/>
    </row>
    <row r="52" spans="1:13" ht="22.5" customHeight="1" x14ac:dyDescent="0.3">
      <c r="A52" s="783">
        <v>42</v>
      </c>
      <c r="B52" s="744"/>
      <c r="C52" s="745">
        <v>9</v>
      </c>
      <c r="D52" s="1037" t="s">
        <v>785</v>
      </c>
      <c r="E52" s="746">
        <f>F52+G52+L56+M53</f>
        <v>3520</v>
      </c>
      <c r="F52" s="747">
        <f>3210+110</f>
        <v>3320</v>
      </c>
      <c r="G52" s="1798">
        <v>100</v>
      </c>
      <c r="H52" s="986" t="s">
        <v>24</v>
      </c>
      <c r="I52" s="957"/>
      <c r="J52" s="757"/>
      <c r="K52" s="757"/>
      <c r="L52" s="758"/>
      <c r="M52" s="748"/>
    </row>
    <row r="53" spans="1:13" s="1477" customFormat="1" ht="18" customHeight="1" x14ac:dyDescent="0.3">
      <c r="A53" s="730">
        <v>43</v>
      </c>
      <c r="B53" s="1467"/>
      <c r="C53" s="1592"/>
      <c r="D53" s="1593" t="s">
        <v>311</v>
      </c>
      <c r="E53" s="1470"/>
      <c r="F53" s="1471"/>
      <c r="G53" s="1801"/>
      <c r="H53" s="1472"/>
      <c r="I53" s="1473"/>
      <c r="J53" s="1594">
        <v>100</v>
      </c>
      <c r="K53" s="1594"/>
      <c r="L53" s="1475">
        <f t="shared" si="0"/>
        <v>100</v>
      </c>
      <c r="M53" s="1476"/>
    </row>
    <row r="54" spans="1:13" s="1477" customFormat="1" ht="18" customHeight="1" x14ac:dyDescent="0.3">
      <c r="A54" s="730">
        <v>44</v>
      </c>
      <c r="B54" s="1467"/>
      <c r="C54" s="1592"/>
      <c r="D54" s="1599" t="s">
        <v>1072</v>
      </c>
      <c r="E54" s="1470"/>
      <c r="F54" s="1471"/>
      <c r="G54" s="1801"/>
      <c r="H54" s="1472"/>
      <c r="I54" s="1473"/>
      <c r="J54" s="1771">
        <v>100</v>
      </c>
      <c r="K54" s="1594"/>
      <c r="L54" s="1497">
        <f t="shared" ref="L54" si="14">SUM(I54:K54)</f>
        <v>100</v>
      </c>
      <c r="M54" s="1476"/>
    </row>
    <row r="55" spans="1:13" s="1488" customFormat="1" ht="18" customHeight="1" x14ac:dyDescent="0.3">
      <c r="A55" s="783">
        <v>45</v>
      </c>
      <c r="B55" s="1478"/>
      <c r="C55" s="1595"/>
      <c r="D55" s="1596" t="s">
        <v>963</v>
      </c>
      <c r="E55" s="1481"/>
      <c r="F55" s="1482"/>
      <c r="G55" s="1799"/>
      <c r="H55" s="1483"/>
      <c r="I55" s="1484"/>
      <c r="J55" s="1597"/>
      <c r="K55" s="1597"/>
      <c r="L55" s="1486">
        <f t="shared" si="0"/>
        <v>0</v>
      </c>
      <c r="M55" s="1487"/>
    </row>
    <row r="56" spans="1:13" s="1499" customFormat="1" ht="18" customHeight="1" x14ac:dyDescent="0.3">
      <c r="A56" s="730">
        <v>46</v>
      </c>
      <c r="B56" s="1489"/>
      <c r="C56" s="1598"/>
      <c r="D56" s="1599" t="s">
        <v>1151</v>
      </c>
      <c r="E56" s="1492"/>
      <c r="F56" s="1493"/>
      <c r="G56" s="1800"/>
      <c r="H56" s="1494"/>
      <c r="I56" s="1495"/>
      <c r="J56" s="1495">
        <f>SUM(J54:J55)</f>
        <v>100</v>
      </c>
      <c r="K56" s="1495">
        <f>SUM(K54:K55)</f>
        <v>0</v>
      </c>
      <c r="L56" s="1497">
        <f t="shared" si="0"/>
        <v>100</v>
      </c>
      <c r="M56" s="1498"/>
    </row>
    <row r="57" spans="1:13" ht="22.5" customHeight="1" x14ac:dyDescent="0.3">
      <c r="A57" s="730">
        <v>47</v>
      </c>
      <c r="B57" s="744"/>
      <c r="C57" s="745">
        <v>10</v>
      </c>
      <c r="D57" s="1037" t="s">
        <v>786</v>
      </c>
      <c r="E57" s="746">
        <f>F57+G57+L61+M58</f>
        <v>165780</v>
      </c>
      <c r="F57" s="747">
        <f>84090+35890</f>
        <v>119980</v>
      </c>
      <c r="G57" s="1798">
        <v>22900</v>
      </c>
      <c r="H57" s="986" t="s">
        <v>24</v>
      </c>
      <c r="I57" s="957"/>
      <c r="J57" s="757"/>
      <c r="K57" s="757"/>
      <c r="L57" s="758"/>
      <c r="M57" s="748"/>
    </row>
    <row r="58" spans="1:13" s="1477" customFormat="1" ht="18" customHeight="1" x14ac:dyDescent="0.3">
      <c r="A58" s="783">
        <v>48</v>
      </c>
      <c r="B58" s="1467"/>
      <c r="C58" s="1592"/>
      <c r="D58" s="1593" t="s">
        <v>311</v>
      </c>
      <c r="E58" s="1470"/>
      <c r="F58" s="1471"/>
      <c r="G58" s="1801"/>
      <c r="H58" s="1472"/>
      <c r="I58" s="1473"/>
      <c r="J58" s="1594">
        <v>22900</v>
      </c>
      <c r="K58" s="1594"/>
      <c r="L58" s="1475">
        <f t="shared" ref="L58:L61" si="15">SUM(I58:K58)</f>
        <v>22900</v>
      </c>
      <c r="M58" s="1476"/>
    </row>
    <row r="59" spans="1:13" s="1477" customFormat="1" ht="18" customHeight="1" x14ac:dyDescent="0.3">
      <c r="A59" s="730">
        <v>49</v>
      </c>
      <c r="B59" s="1467"/>
      <c r="C59" s="1592"/>
      <c r="D59" s="1599" t="s">
        <v>1072</v>
      </c>
      <c r="E59" s="1470"/>
      <c r="F59" s="1471"/>
      <c r="G59" s="1801"/>
      <c r="H59" s="1472"/>
      <c r="I59" s="1473"/>
      <c r="J59" s="1771">
        <v>22900</v>
      </c>
      <c r="K59" s="1594"/>
      <c r="L59" s="1497">
        <f t="shared" ref="L59" si="16">SUM(I59:K59)</f>
        <v>22900</v>
      </c>
      <c r="M59" s="1476"/>
    </row>
    <row r="60" spans="1:13" s="1488" customFormat="1" ht="18" customHeight="1" x14ac:dyDescent="0.3">
      <c r="A60" s="730">
        <v>50</v>
      </c>
      <c r="B60" s="1478"/>
      <c r="C60" s="1595"/>
      <c r="D60" s="1596" t="s">
        <v>963</v>
      </c>
      <c r="E60" s="1481"/>
      <c r="F60" s="1482"/>
      <c r="G60" s="1799"/>
      <c r="H60" s="1483"/>
      <c r="I60" s="1484"/>
      <c r="J60" s="1597"/>
      <c r="K60" s="1597"/>
      <c r="L60" s="1486">
        <f t="shared" si="15"/>
        <v>0</v>
      </c>
      <c r="M60" s="1487"/>
    </row>
    <row r="61" spans="1:13" s="1499" customFormat="1" ht="18" customHeight="1" x14ac:dyDescent="0.3">
      <c r="A61" s="783">
        <v>51</v>
      </c>
      <c r="B61" s="1489"/>
      <c r="C61" s="1598"/>
      <c r="D61" s="1599" t="s">
        <v>1151</v>
      </c>
      <c r="E61" s="1492"/>
      <c r="F61" s="1493"/>
      <c r="G61" s="1800"/>
      <c r="H61" s="1494"/>
      <c r="I61" s="1495"/>
      <c r="J61" s="1495">
        <f>SUM(J59:J60)</f>
        <v>22900</v>
      </c>
      <c r="K61" s="1495">
        <f>SUM(K59:K60)</f>
        <v>0</v>
      </c>
      <c r="L61" s="1497">
        <f t="shared" si="15"/>
        <v>22900</v>
      </c>
      <c r="M61" s="1498"/>
    </row>
    <row r="62" spans="1:13" ht="22.5" customHeight="1" x14ac:dyDescent="0.3">
      <c r="A62" s="730">
        <v>52</v>
      </c>
      <c r="B62" s="744"/>
      <c r="C62" s="745">
        <v>11</v>
      </c>
      <c r="D62" s="1037" t="s">
        <v>787</v>
      </c>
      <c r="E62" s="746">
        <f>F62+G62+L66+M63</f>
        <v>100080</v>
      </c>
      <c r="F62" s="747">
        <f>100050+10</f>
        <v>100060</v>
      </c>
      <c r="G62" s="1798">
        <v>10</v>
      </c>
      <c r="H62" s="986" t="s">
        <v>24</v>
      </c>
      <c r="I62" s="957"/>
      <c r="J62" s="757"/>
      <c r="K62" s="757"/>
      <c r="L62" s="758"/>
      <c r="M62" s="748"/>
    </row>
    <row r="63" spans="1:13" s="1477" customFormat="1" ht="18" customHeight="1" x14ac:dyDescent="0.3">
      <c r="A63" s="730">
        <v>53</v>
      </c>
      <c r="B63" s="1467"/>
      <c r="C63" s="1592"/>
      <c r="D63" s="1593" t="s">
        <v>311</v>
      </c>
      <c r="E63" s="1470"/>
      <c r="F63" s="1471"/>
      <c r="G63" s="1801"/>
      <c r="H63" s="1472"/>
      <c r="I63" s="1473"/>
      <c r="J63" s="1594">
        <v>10</v>
      </c>
      <c r="K63" s="1594"/>
      <c r="L63" s="1475">
        <f t="shared" si="0"/>
        <v>10</v>
      </c>
      <c r="M63" s="1476"/>
    </row>
    <row r="64" spans="1:13" s="1477" customFormat="1" ht="18" customHeight="1" x14ac:dyDescent="0.3">
      <c r="A64" s="783">
        <v>54</v>
      </c>
      <c r="B64" s="1467"/>
      <c r="C64" s="1592"/>
      <c r="D64" s="1599" t="s">
        <v>1072</v>
      </c>
      <c r="E64" s="1470"/>
      <c r="F64" s="1471"/>
      <c r="G64" s="1801"/>
      <c r="H64" s="1472"/>
      <c r="I64" s="1473"/>
      <c r="J64" s="1594">
        <v>10</v>
      </c>
      <c r="K64" s="1594"/>
      <c r="L64" s="1497">
        <f t="shared" ref="L64" si="17">SUM(I64:K64)</f>
        <v>10</v>
      </c>
      <c r="M64" s="1476"/>
    </row>
    <row r="65" spans="1:13" s="1488" customFormat="1" ht="18" customHeight="1" x14ac:dyDescent="0.3">
      <c r="A65" s="730">
        <v>55</v>
      </c>
      <c r="B65" s="1478"/>
      <c r="C65" s="1595"/>
      <c r="D65" s="1596" t="s">
        <v>963</v>
      </c>
      <c r="E65" s="1481"/>
      <c r="F65" s="1482"/>
      <c r="G65" s="1799"/>
      <c r="H65" s="1483"/>
      <c r="I65" s="1484"/>
      <c r="J65" s="1597"/>
      <c r="K65" s="1597"/>
      <c r="L65" s="1486">
        <f t="shared" si="0"/>
        <v>0</v>
      </c>
      <c r="M65" s="1487"/>
    </row>
    <row r="66" spans="1:13" s="1499" customFormat="1" ht="18" customHeight="1" x14ac:dyDescent="0.3">
      <c r="A66" s="730">
        <v>56</v>
      </c>
      <c r="B66" s="1489"/>
      <c r="C66" s="1598"/>
      <c r="D66" s="1599" t="s">
        <v>1151</v>
      </c>
      <c r="E66" s="1492"/>
      <c r="F66" s="1493"/>
      <c r="G66" s="1800"/>
      <c r="H66" s="1494"/>
      <c r="I66" s="1495"/>
      <c r="J66" s="1495">
        <f>SUM(J64:J65)</f>
        <v>10</v>
      </c>
      <c r="K66" s="1495">
        <f>SUM(K64:K65)</f>
        <v>0</v>
      </c>
      <c r="L66" s="1497">
        <f t="shared" si="0"/>
        <v>10</v>
      </c>
      <c r="M66" s="1498"/>
    </row>
    <row r="67" spans="1:13" ht="22.5" customHeight="1" x14ac:dyDescent="0.3">
      <c r="A67" s="783">
        <v>57</v>
      </c>
      <c r="B67" s="744"/>
      <c r="C67" s="745">
        <v>12</v>
      </c>
      <c r="D67" s="1037" t="s">
        <v>788</v>
      </c>
      <c r="E67" s="746">
        <f>F67+G67+L71+M68</f>
        <v>739920</v>
      </c>
      <c r="F67" s="747">
        <f>379950+119990</f>
        <v>499940</v>
      </c>
      <c r="G67" s="1798">
        <v>119990</v>
      </c>
      <c r="H67" s="986" t="s">
        <v>24</v>
      </c>
      <c r="I67" s="957"/>
      <c r="J67" s="757"/>
      <c r="K67" s="757"/>
      <c r="L67" s="758"/>
      <c r="M67" s="748"/>
    </row>
    <row r="68" spans="1:13" s="1477" customFormat="1" ht="18" customHeight="1" x14ac:dyDescent="0.3">
      <c r="A68" s="730">
        <v>58</v>
      </c>
      <c r="B68" s="1467"/>
      <c r="C68" s="1592"/>
      <c r="D68" s="1593" t="s">
        <v>311</v>
      </c>
      <c r="E68" s="1470"/>
      <c r="F68" s="1471"/>
      <c r="G68" s="1801"/>
      <c r="H68" s="1472"/>
      <c r="I68" s="1473"/>
      <c r="J68" s="1594">
        <v>119990</v>
      </c>
      <c r="K68" s="1594"/>
      <c r="L68" s="1475">
        <f t="shared" ref="L68:L71" si="18">SUM(I68:K68)</f>
        <v>119990</v>
      </c>
      <c r="M68" s="1476"/>
    </row>
    <row r="69" spans="1:13" s="1477" customFormat="1" ht="18" customHeight="1" x14ac:dyDescent="0.3">
      <c r="A69" s="730">
        <v>59</v>
      </c>
      <c r="B69" s="1467"/>
      <c r="C69" s="1592"/>
      <c r="D69" s="1599" t="s">
        <v>1072</v>
      </c>
      <c r="E69" s="1470"/>
      <c r="F69" s="1471"/>
      <c r="G69" s="1801"/>
      <c r="H69" s="1472"/>
      <c r="I69" s="1473"/>
      <c r="J69" s="1771">
        <v>119990</v>
      </c>
      <c r="K69" s="1594"/>
      <c r="L69" s="1497">
        <f t="shared" ref="L69" si="19">SUM(I69:K69)</f>
        <v>119990</v>
      </c>
      <c r="M69" s="1476"/>
    </row>
    <row r="70" spans="1:13" s="1488" customFormat="1" ht="18" customHeight="1" x14ac:dyDescent="0.3">
      <c r="A70" s="783">
        <v>60</v>
      </c>
      <c r="B70" s="1478"/>
      <c r="C70" s="1595"/>
      <c r="D70" s="1596" t="s">
        <v>963</v>
      </c>
      <c r="E70" s="1481"/>
      <c r="F70" s="1482"/>
      <c r="G70" s="1799"/>
      <c r="H70" s="1483"/>
      <c r="I70" s="1484"/>
      <c r="J70" s="1597"/>
      <c r="K70" s="1597"/>
      <c r="L70" s="1486">
        <f t="shared" si="18"/>
        <v>0</v>
      </c>
      <c r="M70" s="1487"/>
    </row>
    <row r="71" spans="1:13" s="1499" customFormat="1" ht="18" customHeight="1" x14ac:dyDescent="0.3">
      <c r="A71" s="730">
        <v>61</v>
      </c>
      <c r="B71" s="1489"/>
      <c r="C71" s="1598"/>
      <c r="D71" s="1599" t="s">
        <v>1151</v>
      </c>
      <c r="E71" s="1492"/>
      <c r="F71" s="1493"/>
      <c r="G71" s="1800"/>
      <c r="H71" s="1494"/>
      <c r="I71" s="1495"/>
      <c r="J71" s="1495">
        <f>SUM(J69:J70)</f>
        <v>119990</v>
      </c>
      <c r="K71" s="1495">
        <f>SUM(K69:K70)</f>
        <v>0</v>
      </c>
      <c r="L71" s="1497">
        <f t="shared" si="18"/>
        <v>119990</v>
      </c>
      <c r="M71" s="1498"/>
    </row>
    <row r="72" spans="1:13" ht="22.5" customHeight="1" x14ac:dyDescent="0.3">
      <c r="A72" s="730">
        <v>62</v>
      </c>
      <c r="B72" s="744"/>
      <c r="C72" s="745">
        <v>13</v>
      </c>
      <c r="D72" s="1037" t="s">
        <v>833</v>
      </c>
      <c r="E72" s="746">
        <f>F72+G72+L76+M73</f>
        <v>251652</v>
      </c>
      <c r="F72" s="747"/>
      <c r="G72" s="1798"/>
      <c r="H72" s="986" t="s">
        <v>24</v>
      </c>
      <c r="I72" s="957"/>
      <c r="J72" s="757"/>
      <c r="K72" s="757"/>
      <c r="L72" s="758"/>
      <c r="M72" s="748"/>
    </row>
    <row r="73" spans="1:13" s="1477" customFormat="1" ht="18" customHeight="1" x14ac:dyDescent="0.3">
      <c r="A73" s="783">
        <v>63</v>
      </c>
      <c r="B73" s="1467"/>
      <c r="C73" s="1592"/>
      <c r="D73" s="1593" t="s">
        <v>311</v>
      </c>
      <c r="E73" s="1470"/>
      <c r="F73" s="1471"/>
      <c r="G73" s="1801"/>
      <c r="H73" s="1472"/>
      <c r="I73" s="1473"/>
      <c r="J73" s="1594">
        <v>251652</v>
      </c>
      <c r="K73" s="1594"/>
      <c r="L73" s="1475">
        <f t="shared" si="0"/>
        <v>251652</v>
      </c>
      <c r="M73" s="1476"/>
    </row>
    <row r="74" spans="1:13" s="1477" customFormat="1" ht="18" customHeight="1" x14ac:dyDescent="0.3">
      <c r="A74" s="730">
        <v>64</v>
      </c>
      <c r="B74" s="1467"/>
      <c r="C74" s="1592"/>
      <c r="D74" s="1599" t="s">
        <v>1072</v>
      </c>
      <c r="E74" s="1470"/>
      <c r="F74" s="1471"/>
      <c r="G74" s="1801"/>
      <c r="H74" s="1472"/>
      <c r="I74" s="1473"/>
      <c r="J74" s="1771">
        <v>251652</v>
      </c>
      <c r="K74" s="1594"/>
      <c r="L74" s="1497">
        <f t="shared" ref="L74" si="20">SUM(I74:K74)</f>
        <v>251652</v>
      </c>
      <c r="M74" s="1476"/>
    </row>
    <row r="75" spans="1:13" s="1488" customFormat="1" ht="18" customHeight="1" x14ac:dyDescent="0.3">
      <c r="A75" s="730">
        <v>65</v>
      </c>
      <c r="B75" s="1478"/>
      <c r="C75" s="1595"/>
      <c r="D75" s="1596" t="s">
        <v>963</v>
      </c>
      <c r="E75" s="1481"/>
      <c r="F75" s="1482"/>
      <c r="G75" s="1799"/>
      <c r="H75" s="1483"/>
      <c r="I75" s="1484"/>
      <c r="J75" s="1597"/>
      <c r="K75" s="1597"/>
      <c r="L75" s="1486">
        <f t="shared" si="0"/>
        <v>0</v>
      </c>
      <c r="M75" s="1487"/>
    </row>
    <row r="76" spans="1:13" s="1499" customFormat="1" ht="18" customHeight="1" x14ac:dyDescent="0.3">
      <c r="A76" s="783">
        <v>66</v>
      </c>
      <c r="B76" s="1489"/>
      <c r="C76" s="1598"/>
      <c r="D76" s="1599" t="s">
        <v>1151</v>
      </c>
      <c r="E76" s="1492"/>
      <c r="F76" s="1493"/>
      <c r="G76" s="1800"/>
      <c r="H76" s="1494"/>
      <c r="I76" s="1495"/>
      <c r="J76" s="1495">
        <f>SUM(J74:J75)</f>
        <v>251652</v>
      </c>
      <c r="K76" s="1495">
        <f>SUM(K74:K75)</f>
        <v>0</v>
      </c>
      <c r="L76" s="1497">
        <f t="shared" si="0"/>
        <v>251652</v>
      </c>
      <c r="M76" s="1498"/>
    </row>
    <row r="77" spans="1:13" ht="22.5" customHeight="1" x14ac:dyDescent="0.3">
      <c r="A77" s="730">
        <v>67</v>
      </c>
      <c r="B77" s="744"/>
      <c r="C77" s="745">
        <v>14</v>
      </c>
      <c r="D77" s="1037" t="s">
        <v>789</v>
      </c>
      <c r="E77" s="746">
        <f>F77+G77+L81+M78</f>
        <v>3600</v>
      </c>
      <c r="F77" s="747">
        <v>100</v>
      </c>
      <c r="G77" s="1798">
        <v>1500</v>
      </c>
      <c r="H77" s="986" t="s">
        <v>24</v>
      </c>
      <c r="I77" s="957"/>
      <c r="J77" s="757"/>
      <c r="K77" s="757"/>
      <c r="L77" s="758"/>
      <c r="M77" s="748"/>
    </row>
    <row r="78" spans="1:13" s="1477" customFormat="1" ht="18" customHeight="1" x14ac:dyDescent="0.3">
      <c r="A78" s="730">
        <v>68</v>
      </c>
      <c r="B78" s="1467"/>
      <c r="C78" s="1592"/>
      <c r="D78" s="1593" t="s">
        <v>311</v>
      </c>
      <c r="E78" s="1470"/>
      <c r="F78" s="1471"/>
      <c r="G78" s="1801"/>
      <c r="H78" s="1472"/>
      <c r="I78" s="1473"/>
      <c r="J78" s="1594">
        <v>2000</v>
      </c>
      <c r="K78" s="1594"/>
      <c r="L78" s="1475">
        <f t="shared" ref="L78:L81" si="21">SUM(I78:K78)</f>
        <v>2000</v>
      </c>
      <c r="M78" s="1476"/>
    </row>
    <row r="79" spans="1:13" s="1477" customFormat="1" ht="18" customHeight="1" x14ac:dyDescent="0.3">
      <c r="A79" s="783">
        <v>69</v>
      </c>
      <c r="B79" s="1467"/>
      <c r="C79" s="1592"/>
      <c r="D79" s="1599" t="s">
        <v>1072</v>
      </c>
      <c r="E79" s="1470"/>
      <c r="F79" s="1471"/>
      <c r="G79" s="1801"/>
      <c r="H79" s="1472"/>
      <c r="I79" s="1473"/>
      <c r="J79" s="1771">
        <v>2000</v>
      </c>
      <c r="K79" s="1594"/>
      <c r="L79" s="1497">
        <f t="shared" ref="L79" si="22">SUM(I79:K79)</f>
        <v>2000</v>
      </c>
      <c r="M79" s="1476"/>
    </row>
    <row r="80" spans="1:13" s="1488" customFormat="1" ht="18" customHeight="1" x14ac:dyDescent="0.3">
      <c r="A80" s="730">
        <v>70</v>
      </c>
      <c r="B80" s="1478"/>
      <c r="C80" s="1595"/>
      <c r="D80" s="1596" t="s">
        <v>963</v>
      </c>
      <c r="E80" s="1481"/>
      <c r="F80" s="1482"/>
      <c r="G80" s="1799"/>
      <c r="H80" s="1483"/>
      <c r="I80" s="1484"/>
      <c r="J80" s="1597"/>
      <c r="K80" s="1597"/>
      <c r="L80" s="1486">
        <f t="shared" si="21"/>
        <v>0</v>
      </c>
      <c r="M80" s="1487"/>
    </row>
    <row r="81" spans="1:15" s="1499" customFormat="1" ht="18" customHeight="1" x14ac:dyDescent="0.3">
      <c r="A81" s="730">
        <v>71</v>
      </c>
      <c r="B81" s="1489"/>
      <c r="C81" s="1598"/>
      <c r="D81" s="1599" t="s">
        <v>1151</v>
      </c>
      <c r="E81" s="1492"/>
      <c r="F81" s="1493"/>
      <c r="G81" s="1800"/>
      <c r="H81" s="1494"/>
      <c r="I81" s="1495"/>
      <c r="J81" s="1495">
        <f>SUM(J79:J80)</f>
        <v>2000</v>
      </c>
      <c r="K81" s="1495">
        <f>SUM(K79:K80)</f>
        <v>0</v>
      </c>
      <c r="L81" s="1497">
        <f t="shared" si="21"/>
        <v>2000</v>
      </c>
      <c r="M81" s="1498"/>
    </row>
    <row r="82" spans="1:15" ht="22.5" customHeight="1" x14ac:dyDescent="0.3">
      <c r="A82" s="783">
        <v>72</v>
      </c>
      <c r="B82" s="744"/>
      <c r="C82" s="745">
        <v>15</v>
      </c>
      <c r="D82" s="1037" t="s">
        <v>790</v>
      </c>
      <c r="E82" s="746">
        <f>F82+G82+L86+M83</f>
        <v>376100</v>
      </c>
      <c r="F82" s="747">
        <v>82900</v>
      </c>
      <c r="G82" s="1798">
        <v>195200</v>
      </c>
      <c r="H82" s="986" t="s">
        <v>24</v>
      </c>
      <c r="I82" s="957"/>
      <c r="J82" s="757"/>
      <c r="K82" s="757"/>
      <c r="L82" s="758"/>
      <c r="M82" s="748"/>
    </row>
    <row r="83" spans="1:15" s="1477" customFormat="1" ht="18" customHeight="1" x14ac:dyDescent="0.3">
      <c r="A83" s="730">
        <v>73</v>
      </c>
      <c r="B83" s="1467"/>
      <c r="C83" s="1592"/>
      <c r="D83" s="1593" t="s">
        <v>311</v>
      </c>
      <c r="E83" s="1470"/>
      <c r="F83" s="1471"/>
      <c r="G83" s="1801"/>
      <c r="H83" s="1472"/>
      <c r="I83" s="1473"/>
      <c r="J83" s="1594">
        <v>98000</v>
      </c>
      <c r="K83" s="1594"/>
      <c r="L83" s="1475">
        <f t="shared" si="0"/>
        <v>98000</v>
      </c>
      <c r="M83" s="1476"/>
    </row>
    <row r="84" spans="1:15" s="1477" customFormat="1" ht="18" customHeight="1" x14ac:dyDescent="0.3">
      <c r="A84" s="730">
        <v>74</v>
      </c>
      <c r="B84" s="1467"/>
      <c r="C84" s="1592"/>
      <c r="D84" s="1599" t="s">
        <v>1072</v>
      </c>
      <c r="E84" s="1470"/>
      <c r="F84" s="1471"/>
      <c r="G84" s="1801"/>
      <c r="H84" s="1472"/>
      <c r="I84" s="1473"/>
      <c r="J84" s="1771">
        <v>98000</v>
      </c>
      <c r="K84" s="1594"/>
      <c r="L84" s="1497">
        <f t="shared" ref="L84" si="23">SUM(I84:K84)</f>
        <v>98000</v>
      </c>
      <c r="M84" s="1476"/>
    </row>
    <row r="85" spans="1:15" s="1488" customFormat="1" ht="18" customHeight="1" x14ac:dyDescent="0.3">
      <c r="A85" s="783">
        <v>75</v>
      </c>
      <c r="B85" s="1478"/>
      <c r="C85" s="1595"/>
      <c r="D85" s="1596" t="s">
        <v>963</v>
      </c>
      <c r="E85" s="1481"/>
      <c r="F85" s="1482"/>
      <c r="G85" s="1799"/>
      <c r="H85" s="1483"/>
      <c r="I85" s="1484"/>
      <c r="J85" s="1597"/>
      <c r="K85" s="1597"/>
      <c r="L85" s="1486">
        <f t="shared" si="0"/>
        <v>0</v>
      </c>
      <c r="M85" s="1487"/>
    </row>
    <row r="86" spans="1:15" s="1499" customFormat="1" ht="18" customHeight="1" x14ac:dyDescent="0.3">
      <c r="A86" s="730">
        <v>76</v>
      </c>
      <c r="B86" s="1489"/>
      <c r="C86" s="1598"/>
      <c r="D86" s="1599" t="s">
        <v>1151</v>
      </c>
      <c r="E86" s="1492"/>
      <c r="F86" s="1493"/>
      <c r="G86" s="1800"/>
      <c r="H86" s="1494"/>
      <c r="I86" s="1495"/>
      <c r="J86" s="1495">
        <f>SUM(J84:J85)</f>
        <v>98000</v>
      </c>
      <c r="K86" s="1495">
        <f>SUM(K84:K85)</f>
        <v>0</v>
      </c>
      <c r="L86" s="1497">
        <f t="shared" si="0"/>
        <v>98000</v>
      </c>
      <c r="M86" s="1498"/>
    </row>
    <row r="87" spans="1:15" ht="66.75" customHeight="1" x14ac:dyDescent="0.3">
      <c r="A87" s="730">
        <v>77</v>
      </c>
      <c r="B87" s="744"/>
      <c r="C87" s="749">
        <v>16</v>
      </c>
      <c r="D87" s="1045" t="s">
        <v>758</v>
      </c>
      <c r="E87" s="746">
        <f>F87+G87+L91+M88</f>
        <v>39628</v>
      </c>
      <c r="F87" s="747">
        <f>11933+7351</f>
        <v>19284</v>
      </c>
      <c r="G87" s="1798">
        <v>12596</v>
      </c>
      <c r="H87" s="986" t="s">
        <v>24</v>
      </c>
      <c r="I87" s="957"/>
      <c r="J87" s="757"/>
      <c r="K87" s="757"/>
      <c r="L87" s="758"/>
      <c r="M87" s="748"/>
    </row>
    <row r="88" spans="1:15" s="1477" customFormat="1" ht="18" customHeight="1" x14ac:dyDescent="0.3">
      <c r="A88" s="783">
        <v>78</v>
      </c>
      <c r="B88" s="1467"/>
      <c r="C88" s="1592"/>
      <c r="D88" s="1593" t="s">
        <v>311</v>
      </c>
      <c r="E88" s="1470"/>
      <c r="F88" s="1471"/>
      <c r="G88" s="1801"/>
      <c r="H88" s="1472"/>
      <c r="I88" s="1473"/>
      <c r="J88" s="1594">
        <v>13952</v>
      </c>
      <c r="K88" s="1594"/>
      <c r="L88" s="1475">
        <f t="shared" ref="L88:L91" si="24">SUM(I88:K88)</f>
        <v>13952</v>
      </c>
      <c r="M88" s="1476"/>
    </row>
    <row r="89" spans="1:15" s="1477" customFormat="1" ht="18" customHeight="1" x14ac:dyDescent="0.3">
      <c r="A89" s="730">
        <v>79</v>
      </c>
      <c r="B89" s="1467"/>
      <c r="C89" s="1592"/>
      <c r="D89" s="1599" t="s">
        <v>1072</v>
      </c>
      <c r="E89" s="1470"/>
      <c r="F89" s="1471"/>
      <c r="G89" s="1801"/>
      <c r="H89" s="1472"/>
      <c r="I89" s="1473"/>
      <c r="J89" s="1771">
        <v>7748</v>
      </c>
      <c r="K89" s="1594"/>
      <c r="L89" s="1497">
        <f t="shared" ref="L89" si="25">SUM(I89:K89)</f>
        <v>7748</v>
      </c>
      <c r="M89" s="1476"/>
    </row>
    <row r="90" spans="1:15" s="1488" customFormat="1" ht="18" customHeight="1" x14ac:dyDescent="0.3">
      <c r="A90" s="730">
        <v>80</v>
      </c>
      <c r="B90" s="1478"/>
      <c r="C90" s="1595"/>
      <c r="D90" s="1596" t="s">
        <v>986</v>
      </c>
      <c r="E90" s="1481"/>
      <c r="F90" s="1482"/>
      <c r="G90" s="1799"/>
      <c r="H90" s="1483"/>
      <c r="I90" s="1484"/>
      <c r="J90" s="1597"/>
      <c r="K90" s="1597"/>
      <c r="L90" s="1486">
        <f t="shared" si="24"/>
        <v>0</v>
      </c>
      <c r="M90" s="1487"/>
    </row>
    <row r="91" spans="1:15" s="1499" customFormat="1" ht="18" customHeight="1" x14ac:dyDescent="0.3">
      <c r="A91" s="783">
        <v>81</v>
      </c>
      <c r="B91" s="1489"/>
      <c r="C91" s="1598"/>
      <c r="D91" s="1599" t="s">
        <v>1151</v>
      </c>
      <c r="E91" s="1492"/>
      <c r="F91" s="1493"/>
      <c r="G91" s="1800"/>
      <c r="H91" s="1494"/>
      <c r="I91" s="1495"/>
      <c r="J91" s="1495">
        <f>SUM(J89:J90)</f>
        <v>7748</v>
      </c>
      <c r="K91" s="1495">
        <f>SUM(K89:K90)</f>
        <v>0</v>
      </c>
      <c r="L91" s="1497">
        <f t="shared" si="24"/>
        <v>7748</v>
      </c>
      <c r="M91" s="1498"/>
    </row>
    <row r="92" spans="1:15" ht="22.5" customHeight="1" x14ac:dyDescent="0.3">
      <c r="A92" s="730">
        <v>82</v>
      </c>
      <c r="B92" s="744"/>
      <c r="C92" s="745">
        <v>17</v>
      </c>
      <c r="D92" s="1037" t="s">
        <v>759</v>
      </c>
      <c r="E92" s="746">
        <f>F92+G92+L96+M93</f>
        <v>3058</v>
      </c>
      <c r="F92" s="747">
        <v>2058</v>
      </c>
      <c r="G92" s="1798">
        <v>269</v>
      </c>
      <c r="H92" s="986" t="s">
        <v>24</v>
      </c>
      <c r="I92" s="957"/>
      <c r="J92" s="757"/>
      <c r="K92" s="757"/>
      <c r="L92" s="758"/>
      <c r="M92" s="748"/>
      <c r="N92" s="731"/>
      <c r="O92" s="731"/>
    </row>
    <row r="93" spans="1:15" s="1477" customFormat="1" ht="18" customHeight="1" x14ac:dyDescent="0.3">
      <c r="A93" s="730">
        <v>83</v>
      </c>
      <c r="B93" s="1467"/>
      <c r="C93" s="1592"/>
      <c r="D93" s="1593" t="s">
        <v>311</v>
      </c>
      <c r="E93" s="1470"/>
      <c r="F93" s="1471"/>
      <c r="G93" s="1801"/>
      <c r="H93" s="1472"/>
      <c r="I93" s="1473"/>
      <c r="J93" s="1594">
        <v>7173</v>
      </c>
      <c r="K93" s="1594"/>
      <c r="L93" s="1475">
        <f t="shared" si="0"/>
        <v>7173</v>
      </c>
      <c r="M93" s="1476"/>
    </row>
    <row r="94" spans="1:15" s="1477" customFormat="1" ht="18" customHeight="1" x14ac:dyDescent="0.3">
      <c r="A94" s="783">
        <v>84</v>
      </c>
      <c r="B94" s="1467"/>
      <c r="C94" s="1592"/>
      <c r="D94" s="1599" t="s">
        <v>1072</v>
      </c>
      <c r="E94" s="1470"/>
      <c r="F94" s="1471"/>
      <c r="G94" s="1801"/>
      <c r="H94" s="1472"/>
      <c r="I94" s="1473"/>
      <c r="J94" s="1771">
        <v>731</v>
      </c>
      <c r="K94" s="1594"/>
      <c r="L94" s="1497">
        <f t="shared" ref="L94" si="26">SUM(I94:K94)</f>
        <v>731</v>
      </c>
      <c r="M94" s="1476"/>
    </row>
    <row r="95" spans="1:15" s="1488" customFormat="1" ht="18" customHeight="1" x14ac:dyDescent="0.3">
      <c r="A95" s="730">
        <v>85</v>
      </c>
      <c r="B95" s="1478"/>
      <c r="C95" s="1595"/>
      <c r="D95" s="1596" t="s">
        <v>986</v>
      </c>
      <c r="E95" s="1481"/>
      <c r="F95" s="1482"/>
      <c r="G95" s="1799"/>
      <c r="H95" s="1483"/>
      <c r="I95" s="1484"/>
      <c r="J95" s="1597"/>
      <c r="K95" s="1597"/>
      <c r="L95" s="1486">
        <f t="shared" si="0"/>
        <v>0</v>
      </c>
      <c r="M95" s="1487"/>
    </row>
    <row r="96" spans="1:15" s="1499" customFormat="1" ht="18" customHeight="1" x14ac:dyDescent="0.3">
      <c r="A96" s="730">
        <v>86</v>
      </c>
      <c r="B96" s="1489"/>
      <c r="C96" s="1598"/>
      <c r="D96" s="1599" t="s">
        <v>1151</v>
      </c>
      <c r="E96" s="1492"/>
      <c r="F96" s="1493"/>
      <c r="G96" s="1800"/>
      <c r="H96" s="1494"/>
      <c r="I96" s="1495"/>
      <c r="J96" s="1495">
        <f>SUM(J94:J95)</f>
        <v>731</v>
      </c>
      <c r="K96" s="1495">
        <f t="shared" ref="K96" si="27">SUM(K93:K95)</f>
        <v>0</v>
      </c>
      <c r="L96" s="1497">
        <f t="shared" si="0"/>
        <v>731</v>
      </c>
      <c r="M96" s="1498"/>
    </row>
    <row r="97" spans="1:15" ht="22.5" customHeight="1" x14ac:dyDescent="0.3">
      <c r="A97" s="783">
        <v>87</v>
      </c>
      <c r="B97" s="744"/>
      <c r="C97" s="745">
        <v>18</v>
      </c>
      <c r="D97" s="1037" t="s">
        <v>760</v>
      </c>
      <c r="E97" s="746">
        <f>F97+G97+L101+M98</f>
        <v>3145</v>
      </c>
      <c r="F97" s="747">
        <f>248+251</f>
        <v>499</v>
      </c>
      <c r="G97" s="1798">
        <v>1455</v>
      </c>
      <c r="H97" s="986" t="s">
        <v>24</v>
      </c>
      <c r="I97" s="957"/>
      <c r="J97" s="757"/>
      <c r="K97" s="757"/>
      <c r="L97" s="758"/>
      <c r="M97" s="748"/>
      <c r="N97" s="750"/>
      <c r="O97" s="731"/>
    </row>
    <row r="98" spans="1:15" s="1477" customFormat="1" ht="18" customHeight="1" x14ac:dyDescent="0.3">
      <c r="A98" s="730">
        <v>88</v>
      </c>
      <c r="B98" s="1467"/>
      <c r="C98" s="1592"/>
      <c r="D98" s="1593" t="s">
        <v>311</v>
      </c>
      <c r="E98" s="1470"/>
      <c r="F98" s="1471"/>
      <c r="G98" s="1801"/>
      <c r="H98" s="1472"/>
      <c r="I98" s="1473"/>
      <c r="J98" s="1594">
        <v>5046</v>
      </c>
      <c r="K98" s="1594"/>
      <c r="L98" s="1475">
        <f t="shared" ref="L98:L101" si="28">SUM(I98:K98)</f>
        <v>5046</v>
      </c>
      <c r="M98" s="1476"/>
    </row>
    <row r="99" spans="1:15" s="1477" customFormat="1" ht="18" customHeight="1" x14ac:dyDescent="0.3">
      <c r="A99" s="730">
        <v>89</v>
      </c>
      <c r="B99" s="1467"/>
      <c r="C99" s="1592"/>
      <c r="D99" s="1599" t="s">
        <v>1072</v>
      </c>
      <c r="E99" s="1470"/>
      <c r="F99" s="1471"/>
      <c r="G99" s="1801"/>
      <c r="H99" s="1472"/>
      <c r="I99" s="1473"/>
      <c r="J99" s="1771">
        <v>1191</v>
      </c>
      <c r="K99" s="1594"/>
      <c r="L99" s="1497">
        <f t="shared" ref="L99" si="29">SUM(I99:K99)</f>
        <v>1191</v>
      </c>
      <c r="M99" s="1476"/>
    </row>
    <row r="100" spans="1:15" s="1488" customFormat="1" ht="18" customHeight="1" x14ac:dyDescent="0.3">
      <c r="A100" s="783">
        <v>90</v>
      </c>
      <c r="B100" s="1478"/>
      <c r="C100" s="1595"/>
      <c r="D100" s="1596" t="s">
        <v>986</v>
      </c>
      <c r="E100" s="1481"/>
      <c r="F100" s="1482"/>
      <c r="G100" s="1799"/>
      <c r="H100" s="1483"/>
      <c r="I100" s="1484"/>
      <c r="J100" s="1597"/>
      <c r="K100" s="1597"/>
      <c r="L100" s="1486">
        <f t="shared" si="28"/>
        <v>0</v>
      </c>
      <c r="M100" s="1487"/>
    </row>
    <row r="101" spans="1:15" s="1499" customFormat="1" ht="18" customHeight="1" x14ac:dyDescent="0.3">
      <c r="A101" s="730">
        <v>91</v>
      </c>
      <c r="B101" s="1489"/>
      <c r="C101" s="1598"/>
      <c r="D101" s="1599" t="s">
        <v>1151</v>
      </c>
      <c r="E101" s="1492"/>
      <c r="F101" s="1493"/>
      <c r="G101" s="1800"/>
      <c r="H101" s="1494"/>
      <c r="I101" s="1495"/>
      <c r="J101" s="1495">
        <f>SUM(J99:J100)</f>
        <v>1191</v>
      </c>
      <c r="K101" s="1495">
        <f>SUM(K99:K100)</f>
        <v>0</v>
      </c>
      <c r="L101" s="1497">
        <f t="shared" si="28"/>
        <v>1191</v>
      </c>
      <c r="M101" s="1498"/>
    </row>
    <row r="102" spans="1:15" ht="38.1" customHeight="1" x14ac:dyDescent="0.3">
      <c r="A102" s="730">
        <v>92</v>
      </c>
      <c r="B102" s="744"/>
      <c r="C102" s="749">
        <v>19</v>
      </c>
      <c r="D102" s="424" t="s">
        <v>791</v>
      </c>
      <c r="E102" s="746">
        <f>F102+G102+L106+M103</f>
        <v>9000</v>
      </c>
      <c r="F102" s="747">
        <f>3500+2500</f>
        <v>6000</v>
      </c>
      <c r="G102" s="1798">
        <v>3000</v>
      </c>
      <c r="H102" s="986" t="s">
        <v>24</v>
      </c>
      <c r="I102" s="957"/>
      <c r="J102" s="757"/>
      <c r="K102" s="757"/>
      <c r="L102" s="758"/>
      <c r="M102" s="748"/>
      <c r="N102" s="750"/>
      <c r="O102" s="731"/>
    </row>
    <row r="103" spans="1:15" s="1477" customFormat="1" ht="18" customHeight="1" x14ac:dyDescent="0.3">
      <c r="A103" s="783">
        <v>93</v>
      </c>
      <c r="B103" s="1467"/>
      <c r="C103" s="1592"/>
      <c r="D103" s="1593" t="s">
        <v>311</v>
      </c>
      <c r="E103" s="1470"/>
      <c r="F103" s="1471"/>
      <c r="G103" s="1801"/>
      <c r="H103" s="1472"/>
      <c r="I103" s="1473"/>
      <c r="J103" s="1594">
        <v>2000</v>
      </c>
      <c r="K103" s="1594"/>
      <c r="L103" s="1475">
        <f t="shared" si="0"/>
        <v>2000</v>
      </c>
      <c r="M103" s="1476"/>
    </row>
    <row r="104" spans="1:15" s="1477" customFormat="1" ht="18" customHeight="1" x14ac:dyDescent="0.3">
      <c r="A104" s="730">
        <v>94</v>
      </c>
      <c r="B104" s="1467"/>
      <c r="C104" s="1592"/>
      <c r="D104" s="1599" t="s">
        <v>1072</v>
      </c>
      <c r="E104" s="1470"/>
      <c r="F104" s="1471"/>
      <c r="G104" s="1801"/>
      <c r="H104" s="1472"/>
      <c r="I104" s="1473"/>
      <c r="J104" s="1771">
        <v>0</v>
      </c>
      <c r="K104" s="1594"/>
      <c r="L104" s="1497">
        <f t="shared" ref="L104" si="30">SUM(I104:K104)</f>
        <v>0</v>
      </c>
      <c r="M104" s="1476"/>
    </row>
    <row r="105" spans="1:15" s="1488" customFormat="1" ht="18" customHeight="1" x14ac:dyDescent="0.3">
      <c r="A105" s="730">
        <v>95</v>
      </c>
      <c r="B105" s="1478"/>
      <c r="C105" s="1595"/>
      <c r="D105" s="1596" t="s">
        <v>1007</v>
      </c>
      <c r="E105" s="1481"/>
      <c r="F105" s="1482"/>
      <c r="G105" s="1799"/>
      <c r="H105" s="1483"/>
      <c r="I105" s="1484"/>
      <c r="J105" s="1597"/>
      <c r="K105" s="1597"/>
      <c r="L105" s="1486">
        <f t="shared" si="0"/>
        <v>0</v>
      </c>
      <c r="M105" s="1487"/>
    </row>
    <row r="106" spans="1:15" s="1499" customFormat="1" ht="18" customHeight="1" x14ac:dyDescent="0.3">
      <c r="A106" s="783">
        <v>96</v>
      </c>
      <c r="B106" s="1489"/>
      <c r="C106" s="1598"/>
      <c r="D106" s="1599" t="s">
        <v>1151</v>
      </c>
      <c r="E106" s="1492"/>
      <c r="F106" s="1493"/>
      <c r="G106" s="1800"/>
      <c r="H106" s="1494"/>
      <c r="I106" s="1495"/>
      <c r="J106" s="1495">
        <f>SUM(J104:J105)</f>
        <v>0</v>
      </c>
      <c r="K106" s="1495">
        <f>SUM(K104:K105)</f>
        <v>0</v>
      </c>
      <c r="L106" s="1497">
        <f t="shared" si="0"/>
        <v>0</v>
      </c>
      <c r="M106" s="1498"/>
    </row>
    <row r="107" spans="1:15" ht="22.5" customHeight="1" x14ac:dyDescent="0.3">
      <c r="A107" s="730">
        <v>97</v>
      </c>
      <c r="B107" s="744"/>
      <c r="C107" s="745">
        <v>20</v>
      </c>
      <c r="D107" s="423" t="s">
        <v>761</v>
      </c>
      <c r="E107" s="746">
        <f>F107+G107+L111+M108</f>
        <v>29323</v>
      </c>
      <c r="F107" s="747"/>
      <c r="G107" s="1798">
        <v>29323</v>
      </c>
      <c r="H107" s="986" t="s">
        <v>24</v>
      </c>
      <c r="I107" s="957"/>
      <c r="J107" s="757"/>
      <c r="K107" s="757"/>
      <c r="L107" s="758"/>
      <c r="M107" s="748"/>
      <c r="N107" s="750"/>
      <c r="O107" s="731"/>
    </row>
    <row r="108" spans="1:15" s="1477" customFormat="1" ht="18" customHeight="1" x14ac:dyDescent="0.3">
      <c r="A108" s="730">
        <v>98</v>
      </c>
      <c r="B108" s="1467"/>
      <c r="C108" s="1592"/>
      <c r="D108" s="1593" t="s">
        <v>311</v>
      </c>
      <c r="E108" s="1470"/>
      <c r="F108" s="1471"/>
      <c r="G108" s="1801"/>
      <c r="H108" s="1472"/>
      <c r="I108" s="1473"/>
      <c r="J108" s="1594">
        <v>677</v>
      </c>
      <c r="K108" s="1594"/>
      <c r="L108" s="1475">
        <f t="shared" ref="L108:L111" si="31">SUM(I108:K108)</f>
        <v>677</v>
      </c>
      <c r="M108" s="1476"/>
    </row>
    <row r="109" spans="1:15" s="1477" customFormat="1" ht="18" customHeight="1" x14ac:dyDescent="0.3">
      <c r="A109" s="783">
        <v>99</v>
      </c>
      <c r="B109" s="1467"/>
      <c r="C109" s="1592"/>
      <c r="D109" s="1599" t="s">
        <v>1072</v>
      </c>
      <c r="E109" s="1470"/>
      <c r="F109" s="1471"/>
      <c r="G109" s="1801"/>
      <c r="H109" s="1472"/>
      <c r="I109" s="1473"/>
      <c r="J109" s="1771">
        <v>0</v>
      </c>
      <c r="K109" s="1594"/>
      <c r="L109" s="1497">
        <f t="shared" ref="L109" si="32">SUM(I109:K109)</f>
        <v>0</v>
      </c>
      <c r="M109" s="1476"/>
    </row>
    <row r="110" spans="1:15" s="1488" customFormat="1" ht="18" customHeight="1" x14ac:dyDescent="0.3">
      <c r="A110" s="730">
        <v>100</v>
      </c>
      <c r="B110" s="1478"/>
      <c r="C110" s="1595"/>
      <c r="D110" s="1596" t="s">
        <v>987</v>
      </c>
      <c r="E110" s="1481"/>
      <c r="F110" s="1482"/>
      <c r="G110" s="1799"/>
      <c r="H110" s="1483"/>
      <c r="I110" s="1484"/>
      <c r="J110" s="1597"/>
      <c r="K110" s="1597"/>
      <c r="L110" s="1486">
        <f t="shared" si="31"/>
        <v>0</v>
      </c>
      <c r="M110" s="1487"/>
    </row>
    <row r="111" spans="1:15" s="1499" customFormat="1" ht="18" customHeight="1" x14ac:dyDescent="0.3">
      <c r="A111" s="730">
        <v>101</v>
      </c>
      <c r="B111" s="1489"/>
      <c r="C111" s="1598"/>
      <c r="D111" s="1599" t="s">
        <v>1151</v>
      </c>
      <c r="E111" s="1492"/>
      <c r="F111" s="1493"/>
      <c r="G111" s="1800"/>
      <c r="H111" s="1494"/>
      <c r="I111" s="1495"/>
      <c r="J111" s="1495">
        <f>SUM(J109:J110)</f>
        <v>0</v>
      </c>
      <c r="K111" s="1495">
        <f>SUM(K109:K110)</f>
        <v>0</v>
      </c>
      <c r="L111" s="1497">
        <f t="shared" si="31"/>
        <v>0</v>
      </c>
      <c r="M111" s="1498"/>
    </row>
    <row r="112" spans="1:15" ht="22.5" customHeight="1" x14ac:dyDescent="0.3">
      <c r="A112" s="783">
        <v>102</v>
      </c>
      <c r="B112" s="744"/>
      <c r="C112" s="745">
        <v>21</v>
      </c>
      <c r="D112" s="423" t="s">
        <v>706</v>
      </c>
      <c r="E112" s="746">
        <f>F112+G112+L116+M113</f>
        <v>15536</v>
      </c>
      <c r="F112" s="747">
        <v>11091</v>
      </c>
      <c r="G112" s="1798"/>
      <c r="H112" s="986" t="s">
        <v>24</v>
      </c>
      <c r="I112" s="957"/>
      <c r="J112" s="757"/>
      <c r="K112" s="757"/>
      <c r="L112" s="758"/>
      <c r="M112" s="748"/>
    </row>
    <row r="113" spans="1:13" s="1477" customFormat="1" ht="18" customHeight="1" x14ac:dyDescent="0.3">
      <c r="A113" s="730">
        <v>103</v>
      </c>
      <c r="B113" s="1467"/>
      <c r="C113" s="1592"/>
      <c r="D113" s="1593" t="s">
        <v>311</v>
      </c>
      <c r="E113" s="1470"/>
      <c r="F113" s="1471"/>
      <c r="G113" s="1801"/>
      <c r="H113" s="1472"/>
      <c r="I113" s="1473"/>
      <c r="J113" s="1594">
        <v>5309</v>
      </c>
      <c r="K113" s="1594"/>
      <c r="L113" s="1475">
        <f t="shared" si="0"/>
        <v>5309</v>
      </c>
      <c r="M113" s="1476"/>
    </row>
    <row r="114" spans="1:13" s="1477" customFormat="1" ht="18" customHeight="1" x14ac:dyDescent="0.3">
      <c r="A114" s="730">
        <v>104</v>
      </c>
      <c r="B114" s="1467"/>
      <c r="C114" s="1592"/>
      <c r="D114" s="1599" t="s">
        <v>1072</v>
      </c>
      <c r="E114" s="1470"/>
      <c r="F114" s="1471"/>
      <c r="G114" s="1801"/>
      <c r="H114" s="1472"/>
      <c r="I114" s="1473"/>
      <c r="J114" s="1771">
        <v>4445</v>
      </c>
      <c r="K114" s="1594"/>
      <c r="L114" s="1497">
        <f t="shared" ref="L114" si="33">SUM(I114:K114)</f>
        <v>4445</v>
      </c>
      <c r="M114" s="1476"/>
    </row>
    <row r="115" spans="1:13" s="1488" customFormat="1" ht="18" customHeight="1" x14ac:dyDescent="0.3">
      <c r="A115" s="783">
        <v>105</v>
      </c>
      <c r="B115" s="1478"/>
      <c r="C115" s="1595"/>
      <c r="D115" s="1596" t="s">
        <v>986</v>
      </c>
      <c r="E115" s="1481"/>
      <c r="F115" s="1482"/>
      <c r="G115" s="1799"/>
      <c r="H115" s="1483"/>
      <c r="I115" s="1484"/>
      <c r="J115" s="1597"/>
      <c r="K115" s="1597"/>
      <c r="L115" s="1486">
        <f t="shared" si="0"/>
        <v>0</v>
      </c>
      <c r="M115" s="1487"/>
    </row>
    <row r="116" spans="1:13" s="1499" customFormat="1" ht="18" customHeight="1" x14ac:dyDescent="0.3">
      <c r="A116" s="730">
        <v>106</v>
      </c>
      <c r="B116" s="1489"/>
      <c r="C116" s="1598"/>
      <c r="D116" s="1599" t="s">
        <v>1151</v>
      </c>
      <c r="E116" s="1492"/>
      <c r="F116" s="1493"/>
      <c r="G116" s="1800"/>
      <c r="H116" s="1494"/>
      <c r="I116" s="1495"/>
      <c r="J116" s="1495">
        <f>SUM(J114:J115)</f>
        <v>4445</v>
      </c>
      <c r="K116" s="1495">
        <f>SUM(K114:K115)</f>
        <v>0</v>
      </c>
      <c r="L116" s="1497">
        <f t="shared" si="0"/>
        <v>4445</v>
      </c>
      <c r="M116" s="1498"/>
    </row>
    <row r="117" spans="1:13" ht="38.1" customHeight="1" x14ac:dyDescent="0.3">
      <c r="A117" s="730">
        <v>107</v>
      </c>
      <c r="B117" s="744"/>
      <c r="C117" s="749">
        <v>22</v>
      </c>
      <c r="D117" s="424" t="s">
        <v>762</v>
      </c>
      <c r="E117" s="746">
        <f>F117+G117+L121+M118</f>
        <v>19000</v>
      </c>
      <c r="F117" s="747"/>
      <c r="G117" s="1798"/>
      <c r="H117" s="986" t="s">
        <v>24</v>
      </c>
      <c r="I117" s="957"/>
      <c r="J117" s="757"/>
      <c r="K117" s="757"/>
      <c r="L117" s="758"/>
      <c r="M117" s="748"/>
    </row>
    <row r="118" spans="1:13" s="1477" customFormat="1" ht="18" customHeight="1" x14ac:dyDescent="0.3">
      <c r="A118" s="783">
        <v>108</v>
      </c>
      <c r="B118" s="1467"/>
      <c r="C118" s="1592"/>
      <c r="D118" s="1593" t="s">
        <v>311</v>
      </c>
      <c r="E118" s="1470"/>
      <c r="F118" s="1471"/>
      <c r="G118" s="1801"/>
      <c r="H118" s="1472"/>
      <c r="I118" s="1473"/>
      <c r="J118" s="1594">
        <v>19000</v>
      </c>
      <c r="K118" s="1594"/>
      <c r="L118" s="1475">
        <f t="shared" ref="L118:L121" si="34">SUM(I118:K118)</f>
        <v>19000</v>
      </c>
      <c r="M118" s="1476"/>
    </row>
    <row r="119" spans="1:13" s="1477" customFormat="1" ht="18" customHeight="1" x14ac:dyDescent="0.3">
      <c r="A119" s="730">
        <v>109</v>
      </c>
      <c r="B119" s="1467"/>
      <c r="C119" s="1592"/>
      <c r="D119" s="1599" t="s">
        <v>1072</v>
      </c>
      <c r="E119" s="1470"/>
      <c r="F119" s="1471"/>
      <c r="G119" s="1801"/>
      <c r="H119" s="1472"/>
      <c r="I119" s="1473"/>
      <c r="J119" s="1771">
        <v>19000</v>
      </c>
      <c r="K119" s="1594"/>
      <c r="L119" s="1497">
        <f t="shared" ref="L119" si="35">SUM(I119:K119)</f>
        <v>19000</v>
      </c>
      <c r="M119" s="1476"/>
    </row>
    <row r="120" spans="1:13" s="1488" customFormat="1" ht="18" customHeight="1" x14ac:dyDescent="0.3">
      <c r="A120" s="730">
        <v>110</v>
      </c>
      <c r="B120" s="1478"/>
      <c r="C120" s="1595"/>
      <c r="D120" s="1596" t="s">
        <v>963</v>
      </c>
      <c r="E120" s="1481"/>
      <c r="F120" s="1482"/>
      <c r="G120" s="1799"/>
      <c r="H120" s="1483"/>
      <c r="I120" s="1484"/>
      <c r="J120" s="1597"/>
      <c r="K120" s="1597"/>
      <c r="L120" s="1486">
        <f t="shared" si="34"/>
        <v>0</v>
      </c>
      <c r="M120" s="1487"/>
    </row>
    <row r="121" spans="1:13" s="1499" customFormat="1" ht="18" customHeight="1" x14ac:dyDescent="0.3">
      <c r="A121" s="783">
        <v>111</v>
      </c>
      <c r="B121" s="1489"/>
      <c r="C121" s="1598"/>
      <c r="D121" s="1599" t="s">
        <v>1151</v>
      </c>
      <c r="E121" s="1492"/>
      <c r="F121" s="1493"/>
      <c r="G121" s="1800"/>
      <c r="H121" s="1494"/>
      <c r="I121" s="1495"/>
      <c r="J121" s="1495">
        <f>SUM(J119:J120)</f>
        <v>19000</v>
      </c>
      <c r="K121" s="1495">
        <f>SUM(K119:K120)</f>
        <v>0</v>
      </c>
      <c r="L121" s="1497">
        <f t="shared" si="34"/>
        <v>19000</v>
      </c>
      <c r="M121" s="1498"/>
    </row>
    <row r="122" spans="1:13" ht="22.5" customHeight="1" x14ac:dyDescent="0.3">
      <c r="A122" s="730">
        <v>112</v>
      </c>
      <c r="B122" s="744"/>
      <c r="C122" s="745">
        <v>23</v>
      </c>
      <c r="D122" s="423" t="s">
        <v>573</v>
      </c>
      <c r="E122" s="746">
        <f>F122+G122+L126+M123</f>
        <v>35198</v>
      </c>
      <c r="F122" s="747">
        <v>8127</v>
      </c>
      <c r="G122" s="1798">
        <v>11065</v>
      </c>
      <c r="H122" s="986" t="s">
        <v>24</v>
      </c>
      <c r="I122" s="957"/>
      <c r="J122" s="757"/>
      <c r="K122" s="757"/>
      <c r="L122" s="758"/>
      <c r="M122" s="748"/>
    </row>
    <row r="123" spans="1:13" s="1477" customFormat="1" ht="18" customHeight="1" x14ac:dyDescent="0.3">
      <c r="A123" s="730">
        <v>113</v>
      </c>
      <c r="B123" s="1467"/>
      <c r="C123" s="1592"/>
      <c r="D123" s="1593" t="s">
        <v>311</v>
      </c>
      <c r="E123" s="1470"/>
      <c r="F123" s="1471"/>
      <c r="G123" s="1801"/>
      <c r="H123" s="1472"/>
      <c r="I123" s="1473">
        <v>9612</v>
      </c>
      <c r="J123" s="1594">
        <v>11194</v>
      </c>
      <c r="K123" s="1594"/>
      <c r="L123" s="1475">
        <f t="shared" si="0"/>
        <v>20806</v>
      </c>
      <c r="M123" s="1476"/>
    </row>
    <row r="124" spans="1:13" s="1477" customFormat="1" ht="18" customHeight="1" x14ac:dyDescent="0.3">
      <c r="A124" s="783">
        <v>114</v>
      </c>
      <c r="B124" s="1467"/>
      <c r="C124" s="1592"/>
      <c r="D124" s="1599" t="s">
        <v>1072</v>
      </c>
      <c r="E124" s="1470"/>
      <c r="F124" s="1471"/>
      <c r="G124" s="1801"/>
      <c r="H124" s="1472"/>
      <c r="I124" s="1495">
        <v>9612</v>
      </c>
      <c r="J124" s="1771">
        <v>10394</v>
      </c>
      <c r="K124" s="1594"/>
      <c r="L124" s="1497">
        <f t="shared" ref="L124" si="36">SUM(I124:K124)</f>
        <v>20006</v>
      </c>
      <c r="M124" s="1476"/>
    </row>
    <row r="125" spans="1:13" s="1488" customFormat="1" ht="18" customHeight="1" x14ac:dyDescent="0.3">
      <c r="A125" s="730">
        <v>115</v>
      </c>
      <c r="B125" s="1478"/>
      <c r="C125" s="1595"/>
      <c r="D125" s="1596" t="s">
        <v>987</v>
      </c>
      <c r="E125" s="1481"/>
      <c r="F125" s="1482"/>
      <c r="G125" s="1799"/>
      <c r="H125" s="1483"/>
      <c r="I125" s="1484"/>
      <c r="J125" s="1597">
        <v>-4000</v>
      </c>
      <c r="K125" s="1597"/>
      <c r="L125" s="1486">
        <f t="shared" si="0"/>
        <v>-4000</v>
      </c>
      <c r="M125" s="1487"/>
    </row>
    <row r="126" spans="1:13" s="1499" customFormat="1" ht="18" customHeight="1" x14ac:dyDescent="0.3">
      <c r="A126" s="730">
        <v>116</v>
      </c>
      <c r="B126" s="1489"/>
      <c r="C126" s="1598"/>
      <c r="D126" s="1599" t="s">
        <v>1151</v>
      </c>
      <c r="E126" s="1492"/>
      <c r="F126" s="1493"/>
      <c r="G126" s="1800"/>
      <c r="H126" s="1494"/>
      <c r="I126" s="1495">
        <f>SUM(I124:I125)</f>
        <v>9612</v>
      </c>
      <c r="J126" s="1495">
        <f>SUM(J124:J125)</f>
        <v>6394</v>
      </c>
      <c r="K126" s="1495">
        <f t="shared" ref="K126" si="37">SUM(K123:K125)</f>
        <v>0</v>
      </c>
      <c r="L126" s="1497">
        <f t="shared" si="0"/>
        <v>16006</v>
      </c>
      <c r="M126" s="1498"/>
    </row>
    <row r="127" spans="1:13" ht="22.5" customHeight="1" x14ac:dyDescent="0.3">
      <c r="A127" s="783">
        <v>117</v>
      </c>
      <c r="B127" s="744"/>
      <c r="C127" s="745">
        <v>24</v>
      </c>
      <c r="D127" s="423" t="s">
        <v>792</v>
      </c>
      <c r="E127" s="746">
        <f>F127+G127+L131+M128</f>
        <v>3120</v>
      </c>
      <c r="F127" s="747"/>
      <c r="G127" s="1798"/>
      <c r="H127" s="986" t="s">
        <v>24</v>
      </c>
      <c r="I127" s="957"/>
      <c r="J127" s="757"/>
      <c r="K127" s="757"/>
      <c r="L127" s="758"/>
      <c r="M127" s="748"/>
    </row>
    <row r="128" spans="1:13" s="1477" customFormat="1" ht="18" customHeight="1" x14ac:dyDescent="0.3">
      <c r="A128" s="730">
        <v>118</v>
      </c>
      <c r="B128" s="1467"/>
      <c r="C128" s="1592"/>
      <c r="D128" s="1593" t="s">
        <v>311</v>
      </c>
      <c r="E128" s="1470"/>
      <c r="F128" s="1471"/>
      <c r="G128" s="1801"/>
      <c r="H128" s="1472"/>
      <c r="I128" s="1473"/>
      <c r="J128" s="1594">
        <v>7620</v>
      </c>
      <c r="K128" s="1594"/>
      <c r="L128" s="1475">
        <f t="shared" ref="L128:L131" si="38">SUM(I128:K128)</f>
        <v>7620</v>
      </c>
      <c r="M128" s="1476"/>
    </row>
    <row r="129" spans="1:13" s="1477" customFormat="1" ht="18" customHeight="1" x14ac:dyDescent="0.3">
      <c r="A129" s="730">
        <v>119</v>
      </c>
      <c r="B129" s="1467"/>
      <c r="C129" s="1592"/>
      <c r="D129" s="1599" t="s">
        <v>1072</v>
      </c>
      <c r="E129" s="1470"/>
      <c r="F129" s="1471"/>
      <c r="G129" s="1801"/>
      <c r="H129" s="1472"/>
      <c r="I129" s="1473"/>
      <c r="J129" s="1771">
        <v>3120</v>
      </c>
      <c r="K129" s="1594"/>
      <c r="L129" s="1497">
        <f t="shared" ref="L129" si="39">SUM(I129:K129)</f>
        <v>3120</v>
      </c>
      <c r="M129" s="1476"/>
    </row>
    <row r="130" spans="1:13" s="1488" customFormat="1" ht="18" customHeight="1" x14ac:dyDescent="0.3">
      <c r="A130" s="783">
        <v>120</v>
      </c>
      <c r="B130" s="1478"/>
      <c r="C130" s="1595"/>
      <c r="D130" s="1596" t="s">
        <v>986</v>
      </c>
      <c r="E130" s="1481"/>
      <c r="F130" s="1482"/>
      <c r="G130" s="1799"/>
      <c r="H130" s="1483"/>
      <c r="I130" s="1484"/>
      <c r="J130" s="1597"/>
      <c r="K130" s="1597"/>
      <c r="L130" s="1486">
        <f t="shared" si="38"/>
        <v>0</v>
      </c>
      <c r="M130" s="1487"/>
    </row>
    <row r="131" spans="1:13" s="1499" customFormat="1" ht="18" customHeight="1" x14ac:dyDescent="0.3">
      <c r="A131" s="730">
        <v>121</v>
      </c>
      <c r="B131" s="1489"/>
      <c r="C131" s="1598"/>
      <c r="D131" s="1599" t="s">
        <v>1151</v>
      </c>
      <c r="E131" s="1492"/>
      <c r="F131" s="1493"/>
      <c r="G131" s="1800"/>
      <c r="H131" s="1494"/>
      <c r="I131" s="1495">
        <f>SUM(I130)</f>
        <v>0</v>
      </c>
      <c r="J131" s="1495">
        <f>SUM(J129:J130)</f>
        <v>3120</v>
      </c>
      <c r="K131" s="1495">
        <f>SUM(K129:K130)</f>
        <v>0</v>
      </c>
      <c r="L131" s="1497">
        <f t="shared" si="38"/>
        <v>3120</v>
      </c>
      <c r="M131" s="1498"/>
    </row>
    <row r="132" spans="1:13" ht="38.1" customHeight="1" x14ac:dyDescent="0.3">
      <c r="A132" s="730">
        <v>122</v>
      </c>
      <c r="B132" s="744"/>
      <c r="C132" s="749">
        <v>25</v>
      </c>
      <c r="D132" s="424" t="s">
        <v>793</v>
      </c>
      <c r="E132" s="746">
        <f>F132+G132+L136+M133</f>
        <v>21891</v>
      </c>
      <c r="F132" s="747"/>
      <c r="G132" s="1798"/>
      <c r="H132" s="986" t="s">
        <v>24</v>
      </c>
      <c r="I132" s="957"/>
      <c r="J132" s="757"/>
      <c r="K132" s="757"/>
      <c r="L132" s="758"/>
      <c r="M132" s="748"/>
    </row>
    <row r="133" spans="1:13" s="1477" customFormat="1" ht="18" customHeight="1" x14ac:dyDescent="0.3">
      <c r="A133" s="783">
        <v>123</v>
      </c>
      <c r="B133" s="1467"/>
      <c r="C133" s="1592"/>
      <c r="D133" s="1593" t="s">
        <v>311</v>
      </c>
      <c r="E133" s="1470"/>
      <c r="F133" s="1471"/>
      <c r="G133" s="1801"/>
      <c r="H133" s="1472"/>
      <c r="I133" s="1473"/>
      <c r="J133" s="1594">
        <v>21891</v>
      </c>
      <c r="K133" s="1594"/>
      <c r="L133" s="1475">
        <f t="shared" si="0"/>
        <v>21891</v>
      </c>
      <c r="M133" s="1476"/>
    </row>
    <row r="134" spans="1:13" s="1477" customFormat="1" ht="18" customHeight="1" x14ac:dyDescent="0.3">
      <c r="A134" s="730">
        <v>124</v>
      </c>
      <c r="B134" s="1467"/>
      <c r="C134" s="1592"/>
      <c r="D134" s="1599" t="s">
        <v>1072</v>
      </c>
      <c r="E134" s="1470"/>
      <c r="F134" s="1471"/>
      <c r="G134" s="1801"/>
      <c r="H134" s="1472"/>
      <c r="I134" s="1473"/>
      <c r="J134" s="1771">
        <v>21891</v>
      </c>
      <c r="K134" s="1594"/>
      <c r="L134" s="1497">
        <f t="shared" ref="L134" si="40">SUM(I134:K134)</f>
        <v>21891</v>
      </c>
      <c r="M134" s="1476"/>
    </row>
    <row r="135" spans="1:13" s="1488" customFormat="1" ht="18" customHeight="1" x14ac:dyDescent="0.3">
      <c r="A135" s="730">
        <v>125</v>
      </c>
      <c r="B135" s="1478"/>
      <c r="C135" s="1595"/>
      <c r="D135" s="1596" t="s">
        <v>963</v>
      </c>
      <c r="E135" s="1481"/>
      <c r="F135" s="1482"/>
      <c r="G135" s="1799"/>
      <c r="H135" s="1483"/>
      <c r="I135" s="1484"/>
      <c r="J135" s="1597"/>
      <c r="K135" s="1597"/>
      <c r="L135" s="1486">
        <f t="shared" si="0"/>
        <v>0</v>
      </c>
      <c r="M135" s="1487"/>
    </row>
    <row r="136" spans="1:13" s="1499" customFormat="1" ht="18" customHeight="1" x14ac:dyDescent="0.3">
      <c r="A136" s="783">
        <v>126</v>
      </c>
      <c r="B136" s="1489"/>
      <c r="C136" s="1598"/>
      <c r="D136" s="1599" t="s">
        <v>1151</v>
      </c>
      <c r="E136" s="1492"/>
      <c r="F136" s="1493"/>
      <c r="G136" s="1800"/>
      <c r="H136" s="1494"/>
      <c r="I136" s="1495"/>
      <c r="J136" s="1495">
        <f>SUM(J134:J135)</f>
        <v>21891</v>
      </c>
      <c r="K136" s="1495">
        <f>SUM(K134:K135)</f>
        <v>0</v>
      </c>
      <c r="L136" s="1497">
        <f t="shared" si="0"/>
        <v>21891</v>
      </c>
      <c r="M136" s="1498"/>
    </row>
    <row r="137" spans="1:13" ht="38.1" customHeight="1" x14ac:dyDescent="0.3">
      <c r="A137" s="730">
        <v>127</v>
      </c>
      <c r="B137" s="744"/>
      <c r="C137" s="749">
        <v>26</v>
      </c>
      <c r="D137" s="424" t="s">
        <v>794</v>
      </c>
      <c r="E137" s="746">
        <f>F137+G137+L141+M138</f>
        <v>20620</v>
      </c>
      <c r="F137" s="747"/>
      <c r="G137" s="1798"/>
      <c r="H137" s="986" t="s">
        <v>24</v>
      </c>
      <c r="I137" s="957"/>
      <c r="J137" s="757"/>
      <c r="K137" s="757"/>
      <c r="L137" s="758"/>
      <c r="M137" s="748"/>
    </row>
    <row r="138" spans="1:13" s="1477" customFormat="1" ht="18" customHeight="1" x14ac:dyDescent="0.3">
      <c r="A138" s="730">
        <v>128</v>
      </c>
      <c r="B138" s="1467"/>
      <c r="C138" s="1592"/>
      <c r="D138" s="1593" t="s">
        <v>311</v>
      </c>
      <c r="E138" s="1470"/>
      <c r="F138" s="1471"/>
      <c r="G138" s="1801"/>
      <c r="H138" s="1472"/>
      <c r="I138" s="1473"/>
      <c r="J138" s="1594">
        <v>20620</v>
      </c>
      <c r="K138" s="1594"/>
      <c r="L138" s="1475">
        <f t="shared" ref="L138:L141" si="41">SUM(I138:K138)</f>
        <v>20620</v>
      </c>
      <c r="M138" s="1476"/>
    </row>
    <row r="139" spans="1:13" s="1477" customFormat="1" ht="18" customHeight="1" x14ac:dyDescent="0.3">
      <c r="A139" s="783">
        <v>129</v>
      </c>
      <c r="B139" s="1467"/>
      <c r="C139" s="1592"/>
      <c r="D139" s="1599" t="s">
        <v>1072</v>
      </c>
      <c r="E139" s="1470"/>
      <c r="F139" s="1471"/>
      <c r="G139" s="1801"/>
      <c r="H139" s="1472"/>
      <c r="I139" s="1473"/>
      <c r="J139" s="1771">
        <v>20620</v>
      </c>
      <c r="K139" s="1594"/>
      <c r="L139" s="1497">
        <f t="shared" ref="L139" si="42">SUM(I139:K139)</f>
        <v>20620</v>
      </c>
      <c r="M139" s="1476"/>
    </row>
    <row r="140" spans="1:13" s="1488" customFormat="1" ht="18" customHeight="1" x14ac:dyDescent="0.3">
      <c r="A140" s="730">
        <v>130</v>
      </c>
      <c r="B140" s="1478"/>
      <c r="C140" s="1595"/>
      <c r="D140" s="1596" t="s">
        <v>963</v>
      </c>
      <c r="E140" s="1481"/>
      <c r="F140" s="1482"/>
      <c r="G140" s="1799"/>
      <c r="H140" s="1483"/>
      <c r="I140" s="1484"/>
      <c r="J140" s="1597"/>
      <c r="K140" s="1597"/>
      <c r="L140" s="1486">
        <f t="shared" si="41"/>
        <v>0</v>
      </c>
      <c r="M140" s="1487"/>
    </row>
    <row r="141" spans="1:13" s="1499" customFormat="1" ht="18" customHeight="1" x14ac:dyDescent="0.3">
      <c r="A141" s="730">
        <v>131</v>
      </c>
      <c r="B141" s="1489"/>
      <c r="C141" s="1598"/>
      <c r="D141" s="1599" t="s">
        <v>1151</v>
      </c>
      <c r="E141" s="1492"/>
      <c r="F141" s="1493"/>
      <c r="G141" s="1800"/>
      <c r="H141" s="1494"/>
      <c r="I141" s="1495"/>
      <c r="J141" s="1495">
        <f>SUM(J139:J140)</f>
        <v>20620</v>
      </c>
      <c r="K141" s="1495">
        <f>SUM(K139:K140)</f>
        <v>0</v>
      </c>
      <c r="L141" s="1497">
        <f t="shared" si="41"/>
        <v>20620</v>
      </c>
      <c r="M141" s="1498"/>
    </row>
    <row r="142" spans="1:13" ht="51.95" customHeight="1" x14ac:dyDescent="0.3">
      <c r="A142" s="783">
        <v>132</v>
      </c>
      <c r="B142" s="744"/>
      <c r="C142" s="749">
        <v>27</v>
      </c>
      <c r="D142" s="424" t="s">
        <v>795</v>
      </c>
      <c r="E142" s="746">
        <f>F142+G142+L146+M143</f>
        <v>4802</v>
      </c>
      <c r="F142" s="747"/>
      <c r="G142" s="1798"/>
      <c r="H142" s="986" t="s">
        <v>24</v>
      </c>
      <c r="I142" s="957"/>
      <c r="J142" s="757"/>
      <c r="K142" s="757"/>
      <c r="L142" s="758"/>
      <c r="M142" s="748"/>
    </row>
    <row r="143" spans="1:13" s="1477" customFormat="1" ht="18" customHeight="1" x14ac:dyDescent="0.3">
      <c r="A143" s="730">
        <v>133</v>
      </c>
      <c r="B143" s="1467"/>
      <c r="C143" s="1592"/>
      <c r="D143" s="1593" t="s">
        <v>311</v>
      </c>
      <c r="E143" s="1470"/>
      <c r="F143" s="1471"/>
      <c r="G143" s="1801"/>
      <c r="H143" s="1472"/>
      <c r="I143" s="1473"/>
      <c r="J143" s="1594">
        <v>4802</v>
      </c>
      <c r="K143" s="1594"/>
      <c r="L143" s="1475">
        <f t="shared" si="0"/>
        <v>4802</v>
      </c>
      <c r="M143" s="1476"/>
    </row>
    <row r="144" spans="1:13" s="1477" customFormat="1" ht="18" customHeight="1" x14ac:dyDescent="0.3">
      <c r="A144" s="730">
        <v>134</v>
      </c>
      <c r="B144" s="1467"/>
      <c r="C144" s="1592"/>
      <c r="D144" s="1599" t="s">
        <v>1072</v>
      </c>
      <c r="E144" s="1470"/>
      <c r="F144" s="1471"/>
      <c r="G144" s="1801"/>
      <c r="H144" s="1472"/>
      <c r="I144" s="1473"/>
      <c r="J144" s="1594">
        <v>4802</v>
      </c>
      <c r="K144" s="1594"/>
      <c r="L144" s="1497">
        <f t="shared" ref="L144" si="43">SUM(I144:K144)</f>
        <v>4802</v>
      </c>
      <c r="M144" s="1476"/>
    </row>
    <row r="145" spans="1:13" s="1488" customFormat="1" ht="18" customHeight="1" x14ac:dyDescent="0.3">
      <c r="A145" s="783">
        <v>135</v>
      </c>
      <c r="B145" s="1478"/>
      <c r="C145" s="1595"/>
      <c r="D145" s="1596" t="s">
        <v>963</v>
      </c>
      <c r="E145" s="1481"/>
      <c r="F145" s="1482"/>
      <c r="G145" s="1799"/>
      <c r="H145" s="1483"/>
      <c r="I145" s="1484"/>
      <c r="J145" s="1597"/>
      <c r="K145" s="1597"/>
      <c r="L145" s="1486">
        <f t="shared" si="0"/>
        <v>0</v>
      </c>
      <c r="M145" s="1487"/>
    </row>
    <row r="146" spans="1:13" s="1499" customFormat="1" ht="18" customHeight="1" x14ac:dyDescent="0.3">
      <c r="A146" s="730">
        <v>136</v>
      </c>
      <c r="B146" s="1489"/>
      <c r="C146" s="1598"/>
      <c r="D146" s="1599" t="s">
        <v>1151</v>
      </c>
      <c r="E146" s="1492"/>
      <c r="F146" s="1493"/>
      <c r="G146" s="1800"/>
      <c r="H146" s="1494"/>
      <c r="I146" s="1495"/>
      <c r="J146" s="1495">
        <f>SUM(J144:J145)</f>
        <v>4802</v>
      </c>
      <c r="K146" s="1495">
        <f>SUM(K144:K145)</f>
        <v>0</v>
      </c>
      <c r="L146" s="1497">
        <f t="shared" si="0"/>
        <v>4802</v>
      </c>
      <c r="M146" s="1498"/>
    </row>
    <row r="147" spans="1:13" ht="38.1" customHeight="1" x14ac:dyDescent="0.3">
      <c r="A147" s="730">
        <v>137</v>
      </c>
      <c r="B147" s="744"/>
      <c r="C147" s="749">
        <v>28</v>
      </c>
      <c r="D147" s="424" t="s">
        <v>796</v>
      </c>
      <c r="E147" s="746">
        <f>F147+G147+L151+M148</f>
        <v>0</v>
      </c>
      <c r="F147" s="747"/>
      <c r="G147" s="1798"/>
      <c r="H147" s="986" t="s">
        <v>24</v>
      </c>
      <c r="I147" s="957"/>
      <c r="J147" s="757"/>
      <c r="K147" s="757"/>
      <c r="L147" s="758"/>
      <c r="M147" s="748"/>
    </row>
    <row r="148" spans="1:13" s="1477" customFormat="1" ht="18" customHeight="1" x14ac:dyDescent="0.3">
      <c r="A148" s="783">
        <v>138</v>
      </c>
      <c r="B148" s="1467"/>
      <c r="C148" s="1592"/>
      <c r="D148" s="1593" t="s">
        <v>311</v>
      </c>
      <c r="E148" s="1470"/>
      <c r="F148" s="1471"/>
      <c r="G148" s="1801"/>
      <c r="H148" s="1472"/>
      <c r="I148" s="1473"/>
      <c r="J148" s="1594">
        <v>3000</v>
      </c>
      <c r="K148" s="1594"/>
      <c r="L148" s="1475">
        <f t="shared" ref="L148:L151" si="44">SUM(I148:K148)</f>
        <v>3000</v>
      </c>
      <c r="M148" s="1476"/>
    </row>
    <row r="149" spans="1:13" s="1477" customFormat="1" ht="18" customHeight="1" x14ac:dyDescent="0.3">
      <c r="A149" s="730">
        <v>139</v>
      </c>
      <c r="B149" s="1467"/>
      <c r="C149" s="1592"/>
      <c r="D149" s="1599" t="s">
        <v>1072</v>
      </c>
      <c r="E149" s="1470"/>
      <c r="F149" s="1471"/>
      <c r="G149" s="1801"/>
      <c r="H149" s="1472"/>
      <c r="I149" s="1473"/>
      <c r="J149" s="1771">
        <v>0</v>
      </c>
      <c r="K149" s="1594"/>
      <c r="L149" s="1497">
        <f t="shared" ref="L149" si="45">SUM(I149:K149)</f>
        <v>0</v>
      </c>
      <c r="M149" s="1476"/>
    </row>
    <row r="150" spans="1:13" s="1488" customFormat="1" ht="18" customHeight="1" x14ac:dyDescent="0.3">
      <c r="A150" s="730">
        <v>140</v>
      </c>
      <c r="B150" s="1478"/>
      <c r="C150" s="1595"/>
      <c r="D150" s="1596" t="s">
        <v>1007</v>
      </c>
      <c r="E150" s="1481"/>
      <c r="F150" s="1482"/>
      <c r="G150" s="1799"/>
      <c r="H150" s="1483"/>
      <c r="I150" s="1484"/>
      <c r="J150" s="1597"/>
      <c r="K150" s="1597"/>
      <c r="L150" s="1486">
        <f t="shared" si="44"/>
        <v>0</v>
      </c>
      <c r="M150" s="1487"/>
    </row>
    <row r="151" spans="1:13" s="1499" customFormat="1" ht="18" customHeight="1" x14ac:dyDescent="0.3">
      <c r="A151" s="783">
        <v>141</v>
      </c>
      <c r="B151" s="1489"/>
      <c r="C151" s="1598"/>
      <c r="D151" s="1599" t="s">
        <v>1151</v>
      </c>
      <c r="E151" s="1492"/>
      <c r="F151" s="1493"/>
      <c r="G151" s="1800"/>
      <c r="H151" s="1494"/>
      <c r="I151" s="1495"/>
      <c r="J151" s="1495">
        <f>SUM(J149:J150)</f>
        <v>0</v>
      </c>
      <c r="K151" s="1495">
        <f>SUM(K149:K150)</f>
        <v>0</v>
      </c>
      <c r="L151" s="1497">
        <f t="shared" si="44"/>
        <v>0</v>
      </c>
      <c r="M151" s="1498"/>
    </row>
    <row r="152" spans="1:13" ht="22.5" customHeight="1" x14ac:dyDescent="0.3">
      <c r="A152" s="730">
        <v>142</v>
      </c>
      <c r="B152" s="744"/>
      <c r="C152" s="745">
        <v>29</v>
      </c>
      <c r="D152" s="423" t="s">
        <v>797</v>
      </c>
      <c r="E152" s="746">
        <f>F152+G152+L156+M153</f>
        <v>0</v>
      </c>
      <c r="F152" s="747"/>
      <c r="G152" s="1798"/>
      <c r="H152" s="986" t="s">
        <v>24</v>
      </c>
      <c r="I152" s="957"/>
      <c r="J152" s="757"/>
      <c r="K152" s="757"/>
      <c r="L152" s="758"/>
      <c r="M152" s="748"/>
    </row>
    <row r="153" spans="1:13" s="1477" customFormat="1" ht="18" customHeight="1" x14ac:dyDescent="0.3">
      <c r="A153" s="730">
        <v>143</v>
      </c>
      <c r="B153" s="1467"/>
      <c r="C153" s="1592"/>
      <c r="D153" s="1593" t="s">
        <v>311</v>
      </c>
      <c r="E153" s="1470"/>
      <c r="F153" s="1471"/>
      <c r="G153" s="1801"/>
      <c r="H153" s="1472"/>
      <c r="I153" s="1473"/>
      <c r="J153" s="1594">
        <v>4500</v>
      </c>
      <c r="K153" s="1594"/>
      <c r="L153" s="1475">
        <f t="shared" si="0"/>
        <v>4500</v>
      </c>
      <c r="M153" s="1476"/>
    </row>
    <row r="154" spans="1:13" s="1477" customFormat="1" ht="18" customHeight="1" x14ac:dyDescent="0.3">
      <c r="A154" s="783">
        <v>144</v>
      </c>
      <c r="B154" s="1467"/>
      <c r="C154" s="1592"/>
      <c r="D154" s="1599" t="s">
        <v>1072</v>
      </c>
      <c r="E154" s="1470"/>
      <c r="F154" s="1471"/>
      <c r="G154" s="1801"/>
      <c r="H154" s="1472"/>
      <c r="I154" s="1473"/>
      <c r="J154" s="1594">
        <v>0</v>
      </c>
      <c r="K154" s="1594"/>
      <c r="L154" s="1497">
        <f t="shared" ref="L154" si="46">SUM(I154:K154)</f>
        <v>0</v>
      </c>
      <c r="M154" s="1476"/>
    </row>
    <row r="155" spans="1:13" s="1488" customFormat="1" ht="18" customHeight="1" x14ac:dyDescent="0.3">
      <c r="A155" s="730">
        <v>145</v>
      </c>
      <c r="B155" s="1478"/>
      <c r="C155" s="1595"/>
      <c r="D155" s="1596" t="s">
        <v>1008</v>
      </c>
      <c r="E155" s="1481"/>
      <c r="F155" s="1482"/>
      <c r="G155" s="1799"/>
      <c r="H155" s="1483"/>
      <c r="I155" s="1484"/>
      <c r="J155" s="1597"/>
      <c r="K155" s="1597"/>
      <c r="L155" s="1486">
        <f t="shared" si="0"/>
        <v>0</v>
      </c>
      <c r="M155" s="1487"/>
    </row>
    <row r="156" spans="1:13" s="1499" customFormat="1" ht="18" customHeight="1" x14ac:dyDescent="0.3">
      <c r="A156" s="730">
        <v>146</v>
      </c>
      <c r="B156" s="1489"/>
      <c r="C156" s="1598"/>
      <c r="D156" s="1599" t="s">
        <v>1151</v>
      </c>
      <c r="E156" s="1492"/>
      <c r="F156" s="1493"/>
      <c r="G156" s="1800"/>
      <c r="H156" s="1494"/>
      <c r="I156" s="1495"/>
      <c r="J156" s="1495">
        <f>SUM(J154:J155)</f>
        <v>0</v>
      </c>
      <c r="K156" s="1495">
        <f>SUM(K154:K155)</f>
        <v>0</v>
      </c>
      <c r="L156" s="1497">
        <f t="shared" si="0"/>
        <v>0</v>
      </c>
      <c r="M156" s="1498"/>
    </row>
    <row r="157" spans="1:13" ht="22.5" customHeight="1" x14ac:dyDescent="0.3">
      <c r="A157" s="783">
        <v>147</v>
      </c>
      <c r="B157" s="744"/>
      <c r="C157" s="745">
        <v>30</v>
      </c>
      <c r="D157" s="423" t="s">
        <v>798</v>
      </c>
      <c r="E157" s="746">
        <f>F157+G157+L161+M158</f>
        <v>0</v>
      </c>
      <c r="F157" s="747"/>
      <c r="G157" s="1798"/>
      <c r="H157" s="986" t="s">
        <v>24</v>
      </c>
      <c r="I157" s="957"/>
      <c r="J157" s="757"/>
      <c r="K157" s="757"/>
      <c r="L157" s="758"/>
      <c r="M157" s="748"/>
    </row>
    <row r="158" spans="1:13" s="1477" customFormat="1" ht="18" customHeight="1" x14ac:dyDescent="0.3">
      <c r="A158" s="730">
        <v>148</v>
      </c>
      <c r="B158" s="1467"/>
      <c r="C158" s="1592"/>
      <c r="D158" s="1593" t="s">
        <v>311</v>
      </c>
      <c r="E158" s="1470"/>
      <c r="F158" s="1471"/>
      <c r="G158" s="1801"/>
      <c r="H158" s="1472"/>
      <c r="I158" s="1473"/>
      <c r="J158" s="1594">
        <v>1300</v>
      </c>
      <c r="K158" s="1594"/>
      <c r="L158" s="1475">
        <f t="shared" ref="L158:L161" si="47">SUM(I158:K158)</f>
        <v>1300</v>
      </c>
      <c r="M158" s="1476"/>
    </row>
    <row r="159" spans="1:13" s="1477" customFormat="1" ht="18" customHeight="1" x14ac:dyDescent="0.3">
      <c r="A159" s="730">
        <v>149</v>
      </c>
      <c r="B159" s="1467"/>
      <c r="C159" s="1592"/>
      <c r="D159" s="1599" t="s">
        <v>1072</v>
      </c>
      <c r="E159" s="1470"/>
      <c r="F159" s="1471"/>
      <c r="G159" s="1801"/>
      <c r="H159" s="1472"/>
      <c r="I159" s="1473"/>
      <c r="J159" s="1771">
        <v>0</v>
      </c>
      <c r="K159" s="1594"/>
      <c r="L159" s="1497">
        <f t="shared" ref="L159" si="48">SUM(I159:K159)</f>
        <v>0</v>
      </c>
      <c r="M159" s="1476"/>
    </row>
    <row r="160" spans="1:13" s="1488" customFormat="1" ht="18" customHeight="1" x14ac:dyDescent="0.3">
      <c r="A160" s="783">
        <v>150</v>
      </c>
      <c r="B160" s="1478"/>
      <c r="C160" s="1595"/>
      <c r="D160" s="1596" t="s">
        <v>1007</v>
      </c>
      <c r="E160" s="1481"/>
      <c r="F160" s="1482"/>
      <c r="G160" s="1799"/>
      <c r="H160" s="1483"/>
      <c r="I160" s="1484"/>
      <c r="J160" s="1597"/>
      <c r="K160" s="1597"/>
      <c r="L160" s="1486">
        <f t="shared" si="47"/>
        <v>0</v>
      </c>
      <c r="M160" s="1487"/>
    </row>
    <row r="161" spans="1:13" s="1499" customFormat="1" ht="18" customHeight="1" x14ac:dyDescent="0.3">
      <c r="A161" s="730">
        <v>151</v>
      </c>
      <c r="B161" s="1489"/>
      <c r="C161" s="1598"/>
      <c r="D161" s="1599" t="s">
        <v>1151</v>
      </c>
      <c r="E161" s="1492"/>
      <c r="F161" s="1493"/>
      <c r="G161" s="1800"/>
      <c r="H161" s="1494"/>
      <c r="I161" s="1495"/>
      <c r="J161" s="1495">
        <f>SUM(J159:J160)</f>
        <v>0</v>
      </c>
      <c r="K161" s="1495">
        <f>SUM(K159:K160)</f>
        <v>0</v>
      </c>
      <c r="L161" s="1497">
        <f t="shared" si="47"/>
        <v>0</v>
      </c>
      <c r="M161" s="1498"/>
    </row>
    <row r="162" spans="1:13" ht="22.5" customHeight="1" x14ac:dyDescent="0.3">
      <c r="A162" s="730">
        <v>152</v>
      </c>
      <c r="B162" s="744"/>
      <c r="C162" s="745">
        <v>31</v>
      </c>
      <c r="D162" s="1046" t="s">
        <v>799</v>
      </c>
      <c r="E162" s="746">
        <f>F162+G162+L166+M163</f>
        <v>2457</v>
      </c>
      <c r="F162" s="747"/>
      <c r="G162" s="1798"/>
      <c r="H162" s="986" t="s">
        <v>24</v>
      </c>
      <c r="I162" s="957"/>
      <c r="J162" s="757"/>
      <c r="K162" s="757"/>
      <c r="L162" s="758"/>
      <c r="M162" s="748"/>
    </row>
    <row r="163" spans="1:13" s="1477" customFormat="1" ht="18" customHeight="1" x14ac:dyDescent="0.3">
      <c r="A163" s="783">
        <v>153</v>
      </c>
      <c r="B163" s="1467"/>
      <c r="C163" s="1592"/>
      <c r="D163" s="1593" t="s">
        <v>311</v>
      </c>
      <c r="E163" s="1470"/>
      <c r="F163" s="1471"/>
      <c r="G163" s="1801"/>
      <c r="H163" s="1472"/>
      <c r="I163" s="1473"/>
      <c r="J163" s="1594">
        <v>2500</v>
      </c>
      <c r="K163" s="1594"/>
      <c r="L163" s="1475">
        <f t="shared" si="0"/>
        <v>2500</v>
      </c>
      <c r="M163" s="1476"/>
    </row>
    <row r="164" spans="1:13" s="1477" customFormat="1" ht="18" customHeight="1" x14ac:dyDescent="0.3">
      <c r="A164" s="730">
        <v>154</v>
      </c>
      <c r="B164" s="1467"/>
      <c r="C164" s="1592"/>
      <c r="D164" s="1599" t="s">
        <v>1072</v>
      </c>
      <c r="E164" s="1470"/>
      <c r="F164" s="1471"/>
      <c r="G164" s="1801"/>
      <c r="H164" s="1472"/>
      <c r="I164" s="1473"/>
      <c r="J164" s="1771">
        <v>2457</v>
      </c>
      <c r="K164" s="1594"/>
      <c r="L164" s="1497">
        <f t="shared" ref="L164" si="49">SUM(I164:K164)</f>
        <v>2457</v>
      </c>
      <c r="M164" s="1476"/>
    </row>
    <row r="165" spans="1:13" s="1488" customFormat="1" ht="18" customHeight="1" x14ac:dyDescent="0.3">
      <c r="A165" s="730">
        <v>155</v>
      </c>
      <c r="B165" s="1478"/>
      <c r="C165" s="1595"/>
      <c r="D165" s="1596" t="s">
        <v>986</v>
      </c>
      <c r="E165" s="1481"/>
      <c r="F165" s="1482"/>
      <c r="G165" s="1799"/>
      <c r="H165" s="1483"/>
      <c r="I165" s="1484"/>
      <c r="J165" s="1597"/>
      <c r="K165" s="1597"/>
      <c r="L165" s="1486">
        <f t="shared" si="0"/>
        <v>0</v>
      </c>
      <c r="M165" s="1487"/>
    </row>
    <row r="166" spans="1:13" s="1499" customFormat="1" ht="18" customHeight="1" x14ac:dyDescent="0.3">
      <c r="A166" s="783">
        <v>156</v>
      </c>
      <c r="B166" s="1489"/>
      <c r="C166" s="1598"/>
      <c r="D166" s="1599" t="s">
        <v>1151</v>
      </c>
      <c r="E166" s="1492"/>
      <c r="F166" s="1493"/>
      <c r="G166" s="1800"/>
      <c r="H166" s="1494"/>
      <c r="I166" s="1495"/>
      <c r="J166" s="1495">
        <f>SUM(J164:J165)</f>
        <v>2457</v>
      </c>
      <c r="K166" s="1495">
        <f>SUM(K164:K165)</f>
        <v>0</v>
      </c>
      <c r="L166" s="1497">
        <f t="shared" si="0"/>
        <v>2457</v>
      </c>
      <c r="M166" s="1498"/>
    </row>
    <row r="167" spans="1:13" ht="22.5" customHeight="1" x14ac:dyDescent="0.3">
      <c r="A167" s="730">
        <v>157</v>
      </c>
      <c r="B167" s="744"/>
      <c r="C167" s="745">
        <v>32</v>
      </c>
      <c r="D167" s="423" t="s">
        <v>778</v>
      </c>
      <c r="E167" s="746">
        <f>F167+G167+L171+M168</f>
        <v>982</v>
      </c>
      <c r="F167" s="747"/>
      <c r="G167" s="1798"/>
      <c r="H167" s="986" t="s">
        <v>24</v>
      </c>
      <c r="I167" s="957"/>
      <c r="J167" s="757"/>
      <c r="K167" s="757"/>
      <c r="L167" s="758"/>
      <c r="M167" s="748"/>
    </row>
    <row r="168" spans="1:13" s="1477" customFormat="1" ht="18" customHeight="1" x14ac:dyDescent="0.3">
      <c r="A168" s="730">
        <v>158</v>
      </c>
      <c r="B168" s="1467"/>
      <c r="C168" s="1592"/>
      <c r="D168" s="1593" t="s">
        <v>311</v>
      </c>
      <c r="E168" s="1470"/>
      <c r="F168" s="1471"/>
      <c r="G168" s="1801"/>
      <c r="H168" s="1472"/>
      <c r="I168" s="1473"/>
      <c r="J168" s="1594">
        <v>1079</v>
      </c>
      <c r="K168" s="1594"/>
      <c r="L168" s="1475">
        <f t="shared" ref="L168:L171" si="50">SUM(I168:K168)</f>
        <v>1079</v>
      </c>
      <c r="M168" s="1476"/>
    </row>
    <row r="169" spans="1:13" s="1477" customFormat="1" ht="18" customHeight="1" x14ac:dyDescent="0.3">
      <c r="A169" s="783">
        <v>159</v>
      </c>
      <c r="B169" s="1467"/>
      <c r="C169" s="1592"/>
      <c r="D169" s="1599" t="s">
        <v>1072</v>
      </c>
      <c r="E169" s="1470"/>
      <c r="F169" s="1471"/>
      <c r="G169" s="1801"/>
      <c r="H169" s="1472"/>
      <c r="I169" s="1473"/>
      <c r="J169" s="1771">
        <v>982</v>
      </c>
      <c r="K169" s="1594"/>
      <c r="L169" s="1497">
        <f t="shared" ref="L169" si="51">SUM(I169:K169)</f>
        <v>982</v>
      </c>
      <c r="M169" s="1476"/>
    </row>
    <row r="170" spans="1:13" s="1488" customFormat="1" ht="18" customHeight="1" x14ac:dyDescent="0.3">
      <c r="A170" s="730">
        <v>160</v>
      </c>
      <c r="B170" s="1478"/>
      <c r="C170" s="1595"/>
      <c r="D170" s="1596" t="s">
        <v>986</v>
      </c>
      <c r="E170" s="1481"/>
      <c r="F170" s="1482"/>
      <c r="G170" s="1799"/>
      <c r="H170" s="1483"/>
      <c r="I170" s="1484"/>
      <c r="J170" s="1597"/>
      <c r="K170" s="1597"/>
      <c r="L170" s="1486">
        <f t="shared" si="50"/>
        <v>0</v>
      </c>
      <c r="M170" s="1487"/>
    </row>
    <row r="171" spans="1:13" s="1499" customFormat="1" ht="18" customHeight="1" x14ac:dyDescent="0.3">
      <c r="A171" s="730">
        <v>161</v>
      </c>
      <c r="B171" s="1489"/>
      <c r="C171" s="1598"/>
      <c r="D171" s="1599" t="s">
        <v>1151</v>
      </c>
      <c r="E171" s="1492"/>
      <c r="F171" s="1493"/>
      <c r="G171" s="1800"/>
      <c r="H171" s="1494"/>
      <c r="I171" s="1495"/>
      <c r="J171" s="1495">
        <f>SUM(J169:J170)</f>
        <v>982</v>
      </c>
      <c r="K171" s="1495">
        <f>SUM(K169:K170)</f>
        <v>0</v>
      </c>
      <c r="L171" s="1497">
        <f t="shared" si="50"/>
        <v>982</v>
      </c>
      <c r="M171" s="1498"/>
    </row>
    <row r="172" spans="1:13" ht="22.5" customHeight="1" x14ac:dyDescent="0.3">
      <c r="A172" s="783">
        <v>162</v>
      </c>
      <c r="B172" s="744"/>
      <c r="C172" s="745">
        <v>33</v>
      </c>
      <c r="D172" s="423" t="s">
        <v>763</v>
      </c>
      <c r="E172" s="746">
        <f>F172+G172+L176+M173</f>
        <v>69</v>
      </c>
      <c r="F172" s="747"/>
      <c r="G172" s="1798"/>
      <c r="H172" s="986" t="s">
        <v>24</v>
      </c>
      <c r="I172" s="957"/>
      <c r="J172" s="757"/>
      <c r="K172" s="757"/>
      <c r="L172" s="758"/>
      <c r="M172" s="748"/>
    </row>
    <row r="173" spans="1:13" s="1477" customFormat="1" ht="18" customHeight="1" x14ac:dyDescent="0.3">
      <c r="A173" s="730">
        <v>163</v>
      </c>
      <c r="B173" s="1467"/>
      <c r="C173" s="1592"/>
      <c r="D173" s="1593" t="s">
        <v>311</v>
      </c>
      <c r="E173" s="1470"/>
      <c r="F173" s="1471"/>
      <c r="G173" s="1801"/>
      <c r="H173" s="1472"/>
      <c r="I173" s="1473"/>
      <c r="J173" s="1594">
        <v>69</v>
      </c>
      <c r="K173" s="1594"/>
      <c r="L173" s="1475">
        <f t="shared" si="0"/>
        <v>69</v>
      </c>
      <c r="M173" s="1476"/>
    </row>
    <row r="174" spans="1:13" s="1477" customFormat="1" ht="18" customHeight="1" x14ac:dyDescent="0.3">
      <c r="A174" s="730">
        <v>164</v>
      </c>
      <c r="B174" s="1467"/>
      <c r="C174" s="1592"/>
      <c r="D174" s="1599" t="s">
        <v>1072</v>
      </c>
      <c r="E174" s="1470"/>
      <c r="F174" s="1471"/>
      <c r="G174" s="1801"/>
      <c r="H174" s="1472"/>
      <c r="I174" s="1473"/>
      <c r="J174" s="1771">
        <v>69</v>
      </c>
      <c r="K174" s="1594"/>
      <c r="L174" s="1497">
        <f t="shared" ref="L174" si="52">SUM(I174:K174)</f>
        <v>69</v>
      </c>
      <c r="M174" s="1476"/>
    </row>
    <row r="175" spans="1:13" s="1488" customFormat="1" ht="18" customHeight="1" x14ac:dyDescent="0.3">
      <c r="A175" s="783">
        <v>165</v>
      </c>
      <c r="B175" s="1478"/>
      <c r="C175" s="1595"/>
      <c r="D175" s="1596" t="s">
        <v>963</v>
      </c>
      <c r="E175" s="1481"/>
      <c r="F175" s="1482"/>
      <c r="G175" s="1799"/>
      <c r="H175" s="1483"/>
      <c r="I175" s="1484"/>
      <c r="J175" s="1597"/>
      <c r="K175" s="1597"/>
      <c r="L175" s="1486">
        <f t="shared" si="0"/>
        <v>0</v>
      </c>
      <c r="M175" s="1487"/>
    </row>
    <row r="176" spans="1:13" s="1499" customFormat="1" ht="18" customHeight="1" x14ac:dyDescent="0.3">
      <c r="A176" s="730">
        <v>166</v>
      </c>
      <c r="B176" s="1489"/>
      <c r="C176" s="1598"/>
      <c r="D176" s="1599" t="s">
        <v>1151</v>
      </c>
      <c r="E176" s="1492"/>
      <c r="F176" s="1493"/>
      <c r="G176" s="1800"/>
      <c r="H176" s="1494"/>
      <c r="I176" s="1495"/>
      <c r="J176" s="1495">
        <f>SUM(J174:J175)</f>
        <v>69</v>
      </c>
      <c r="K176" s="1495">
        <f t="shared" ref="K176" si="53">SUM(K173:K175)</f>
        <v>0</v>
      </c>
      <c r="L176" s="1497">
        <f t="shared" si="0"/>
        <v>69</v>
      </c>
      <c r="M176" s="1498"/>
    </row>
    <row r="177" spans="1:23" ht="22.5" customHeight="1" x14ac:dyDescent="0.3">
      <c r="A177" s="730">
        <v>167</v>
      </c>
      <c r="B177" s="744"/>
      <c r="C177" s="745">
        <v>34</v>
      </c>
      <c r="D177" s="423" t="s">
        <v>764</v>
      </c>
      <c r="E177" s="746">
        <f>F177+G177+L181+M178</f>
        <v>96</v>
      </c>
      <c r="F177" s="747"/>
      <c r="G177" s="1798"/>
      <c r="H177" s="986" t="s">
        <v>24</v>
      </c>
      <c r="I177" s="957"/>
      <c r="J177" s="757"/>
      <c r="K177" s="757"/>
      <c r="L177" s="758"/>
      <c r="M177" s="748"/>
    </row>
    <row r="178" spans="1:23" s="1477" customFormat="1" ht="18" customHeight="1" x14ac:dyDescent="0.3">
      <c r="A178" s="783">
        <v>168</v>
      </c>
      <c r="B178" s="1467"/>
      <c r="C178" s="1592"/>
      <c r="D178" s="1593" t="s">
        <v>311</v>
      </c>
      <c r="E178" s="1470"/>
      <c r="F178" s="1471"/>
      <c r="G178" s="1801"/>
      <c r="H178" s="1472"/>
      <c r="I178" s="1473"/>
      <c r="J178" s="1594">
        <v>96</v>
      </c>
      <c r="K178" s="1594"/>
      <c r="L178" s="1475">
        <f t="shared" ref="L178:L181" si="54">SUM(I178:K178)</f>
        <v>96</v>
      </c>
      <c r="M178" s="1476"/>
    </row>
    <row r="179" spans="1:23" s="1477" customFormat="1" ht="18" customHeight="1" x14ac:dyDescent="0.3">
      <c r="A179" s="730">
        <v>169</v>
      </c>
      <c r="B179" s="1467"/>
      <c r="C179" s="1592"/>
      <c r="D179" s="1599" t="s">
        <v>1072</v>
      </c>
      <c r="E179" s="1470"/>
      <c r="F179" s="1471"/>
      <c r="G179" s="1801"/>
      <c r="H179" s="1472"/>
      <c r="I179" s="1473"/>
      <c r="J179" s="1771">
        <v>96</v>
      </c>
      <c r="K179" s="1594"/>
      <c r="L179" s="1497">
        <f t="shared" ref="L179" si="55">SUM(I179:K179)</f>
        <v>96</v>
      </c>
      <c r="M179" s="1476"/>
    </row>
    <row r="180" spans="1:23" s="1488" customFormat="1" ht="18" customHeight="1" x14ac:dyDescent="0.3">
      <c r="A180" s="730">
        <v>170</v>
      </c>
      <c r="B180" s="1478"/>
      <c r="C180" s="1595"/>
      <c r="D180" s="1596" t="s">
        <v>963</v>
      </c>
      <c r="E180" s="1481"/>
      <c r="F180" s="1482"/>
      <c r="G180" s="1799"/>
      <c r="H180" s="1483"/>
      <c r="I180" s="1484"/>
      <c r="J180" s="1597"/>
      <c r="K180" s="1597"/>
      <c r="L180" s="1486">
        <f t="shared" si="54"/>
        <v>0</v>
      </c>
      <c r="M180" s="1487"/>
    </row>
    <row r="181" spans="1:23" s="1499" customFormat="1" ht="18" customHeight="1" x14ac:dyDescent="0.3">
      <c r="A181" s="783">
        <v>171</v>
      </c>
      <c r="B181" s="1489"/>
      <c r="C181" s="1598"/>
      <c r="D181" s="1599" t="s">
        <v>1151</v>
      </c>
      <c r="E181" s="1492"/>
      <c r="F181" s="1493"/>
      <c r="G181" s="1800"/>
      <c r="H181" s="1494"/>
      <c r="I181" s="1495"/>
      <c r="J181" s="1495">
        <f>SUM(J179:J180)</f>
        <v>96</v>
      </c>
      <c r="K181" s="1495">
        <f t="shared" ref="K181" si="56">SUM(K178:K180)</f>
        <v>0</v>
      </c>
      <c r="L181" s="1497">
        <f t="shared" si="54"/>
        <v>96</v>
      </c>
      <c r="M181" s="1498"/>
    </row>
    <row r="182" spans="1:23" ht="22.5" customHeight="1" x14ac:dyDescent="0.3">
      <c r="A182" s="730">
        <v>172</v>
      </c>
      <c r="B182" s="744"/>
      <c r="C182" s="745">
        <v>35</v>
      </c>
      <c r="D182" s="1047" t="s">
        <v>501</v>
      </c>
      <c r="E182" s="746">
        <f>F182+G182+L186+M183</f>
        <v>2687</v>
      </c>
      <c r="F182" s="747"/>
      <c r="G182" s="1798">
        <f>317+541</f>
        <v>858</v>
      </c>
      <c r="H182" s="986" t="s">
        <v>24</v>
      </c>
      <c r="I182" s="957"/>
      <c r="J182" s="757"/>
      <c r="K182" s="757"/>
      <c r="L182" s="758"/>
      <c r="M182" s="748"/>
      <c r="N182" s="731"/>
      <c r="O182" s="731"/>
      <c r="P182" s="731"/>
      <c r="Q182" s="731"/>
      <c r="R182" s="731"/>
      <c r="S182" s="731"/>
      <c r="T182" s="731"/>
      <c r="U182" s="731"/>
      <c r="V182" s="731"/>
      <c r="W182" s="731"/>
    </row>
    <row r="183" spans="1:23" s="1477" customFormat="1" ht="18" customHeight="1" x14ac:dyDescent="0.3">
      <c r="A183" s="730">
        <v>173</v>
      </c>
      <c r="B183" s="1467"/>
      <c r="C183" s="1592"/>
      <c r="D183" s="1593" t="s">
        <v>311</v>
      </c>
      <c r="E183" s="1470"/>
      <c r="F183" s="1471"/>
      <c r="G183" s="1801"/>
      <c r="H183" s="1472"/>
      <c r="I183" s="1473">
        <v>29</v>
      </c>
      <c r="J183" s="1594">
        <v>1800</v>
      </c>
      <c r="K183" s="1594"/>
      <c r="L183" s="1475">
        <f t="shared" si="0"/>
        <v>1829</v>
      </c>
      <c r="M183" s="1476"/>
    </row>
    <row r="184" spans="1:23" s="1477" customFormat="1" ht="18" customHeight="1" x14ac:dyDescent="0.3">
      <c r="A184" s="783">
        <v>174</v>
      </c>
      <c r="B184" s="1467"/>
      <c r="C184" s="1592"/>
      <c r="D184" s="1599" t="s">
        <v>1072</v>
      </c>
      <c r="E184" s="1470"/>
      <c r="F184" s="1471"/>
      <c r="G184" s="1801"/>
      <c r="H184" s="1472"/>
      <c r="I184" s="1495">
        <v>29</v>
      </c>
      <c r="J184" s="1771">
        <v>1800</v>
      </c>
      <c r="K184" s="1594"/>
      <c r="L184" s="1497">
        <f t="shared" ref="L184" si="57">SUM(I184:K184)</f>
        <v>1829</v>
      </c>
      <c r="M184" s="1476"/>
    </row>
    <row r="185" spans="1:23" s="1488" customFormat="1" ht="18" customHeight="1" x14ac:dyDescent="0.3">
      <c r="A185" s="730">
        <v>175</v>
      </c>
      <c r="B185" s="1478"/>
      <c r="C185" s="1595"/>
      <c r="D185" s="1596" t="s">
        <v>963</v>
      </c>
      <c r="E185" s="1481"/>
      <c r="F185" s="1482"/>
      <c r="G185" s="1799"/>
      <c r="H185" s="1483"/>
      <c r="I185" s="1484"/>
      <c r="J185" s="1597"/>
      <c r="K185" s="1597"/>
      <c r="L185" s="1486">
        <f t="shared" si="0"/>
        <v>0</v>
      </c>
      <c r="M185" s="1487"/>
    </row>
    <row r="186" spans="1:23" s="1499" customFormat="1" ht="18" customHeight="1" x14ac:dyDescent="0.3">
      <c r="A186" s="730">
        <v>176</v>
      </c>
      <c r="B186" s="1489"/>
      <c r="C186" s="1598"/>
      <c r="D186" s="1599" t="s">
        <v>1151</v>
      </c>
      <c r="E186" s="1492"/>
      <c r="F186" s="1493"/>
      <c r="G186" s="1800"/>
      <c r="H186" s="1494"/>
      <c r="I186" s="1495">
        <f>SUM(I184:I185)</f>
        <v>29</v>
      </c>
      <c r="J186" s="1495">
        <f t="shared" ref="J186:K186" si="58">SUM(J184:J185)</f>
        <v>1800</v>
      </c>
      <c r="K186" s="1495">
        <f t="shared" si="58"/>
        <v>0</v>
      </c>
      <c r="L186" s="1497">
        <f t="shared" si="0"/>
        <v>1829</v>
      </c>
      <c r="M186" s="1498"/>
    </row>
    <row r="187" spans="1:23" ht="22.5" customHeight="1" x14ac:dyDescent="0.3">
      <c r="A187" s="783">
        <v>177</v>
      </c>
      <c r="B187" s="744"/>
      <c r="C187" s="745">
        <v>36</v>
      </c>
      <c r="D187" s="423" t="s">
        <v>765</v>
      </c>
      <c r="E187" s="746">
        <f>F187+G187+L191+M188</f>
        <v>0</v>
      </c>
      <c r="F187" s="747"/>
      <c r="G187" s="1798"/>
      <c r="H187" s="986" t="s">
        <v>24</v>
      </c>
      <c r="I187" s="957"/>
      <c r="J187" s="757"/>
      <c r="K187" s="757"/>
      <c r="L187" s="758"/>
      <c r="M187" s="748"/>
    </row>
    <row r="188" spans="1:23" s="1477" customFormat="1" ht="18" customHeight="1" x14ac:dyDescent="0.3">
      <c r="A188" s="730">
        <v>178</v>
      </c>
      <c r="B188" s="1467"/>
      <c r="C188" s="1592"/>
      <c r="D188" s="1593" t="s">
        <v>311</v>
      </c>
      <c r="E188" s="1470"/>
      <c r="F188" s="1471"/>
      <c r="G188" s="1801"/>
      <c r="H188" s="1472"/>
      <c r="I188" s="1473"/>
      <c r="J188" s="1594">
        <v>269</v>
      </c>
      <c r="K188" s="1594"/>
      <c r="L188" s="1475">
        <f t="shared" ref="L188:L191" si="59">SUM(I188:K188)</f>
        <v>269</v>
      </c>
      <c r="M188" s="1476"/>
    </row>
    <row r="189" spans="1:23" s="1477" customFormat="1" ht="18" customHeight="1" x14ac:dyDescent="0.3">
      <c r="A189" s="730">
        <v>179</v>
      </c>
      <c r="B189" s="1467"/>
      <c r="C189" s="1592"/>
      <c r="D189" s="1599" t="s">
        <v>1072</v>
      </c>
      <c r="E189" s="1470"/>
      <c r="F189" s="1471"/>
      <c r="G189" s="1801"/>
      <c r="H189" s="1472"/>
      <c r="I189" s="1473"/>
      <c r="J189" s="1771">
        <v>0</v>
      </c>
      <c r="K189" s="1594"/>
      <c r="L189" s="1497">
        <f t="shared" ref="L189" si="60">SUM(I189:K189)</f>
        <v>0</v>
      </c>
      <c r="M189" s="1476"/>
    </row>
    <row r="190" spans="1:23" s="1488" customFormat="1" ht="18" customHeight="1" x14ac:dyDescent="0.3">
      <c r="A190" s="783">
        <v>180</v>
      </c>
      <c r="B190" s="1478"/>
      <c r="C190" s="1595"/>
      <c r="D190" s="1596" t="s">
        <v>986</v>
      </c>
      <c r="E190" s="1481"/>
      <c r="F190" s="1482"/>
      <c r="G190" s="1799"/>
      <c r="H190" s="1483"/>
      <c r="I190" s="1484"/>
      <c r="J190" s="1597"/>
      <c r="K190" s="1597"/>
      <c r="L190" s="1486">
        <f t="shared" si="59"/>
        <v>0</v>
      </c>
      <c r="M190" s="1487"/>
    </row>
    <row r="191" spans="1:23" s="1499" customFormat="1" ht="18" customHeight="1" x14ac:dyDescent="0.3">
      <c r="A191" s="730">
        <v>181</v>
      </c>
      <c r="B191" s="1489"/>
      <c r="C191" s="1598"/>
      <c r="D191" s="1599" t="s">
        <v>1151</v>
      </c>
      <c r="E191" s="1492"/>
      <c r="F191" s="1493"/>
      <c r="G191" s="1800"/>
      <c r="H191" s="1494"/>
      <c r="I191" s="1495"/>
      <c r="J191" s="1495">
        <f>SUM(J189:J190)</f>
        <v>0</v>
      </c>
      <c r="K191" s="1495">
        <f>SUM(K189:K190)</f>
        <v>0</v>
      </c>
      <c r="L191" s="1497">
        <f t="shared" si="59"/>
        <v>0</v>
      </c>
      <c r="M191" s="1498"/>
    </row>
    <row r="192" spans="1:23" ht="38.1" customHeight="1" x14ac:dyDescent="0.3">
      <c r="A192" s="730">
        <v>182</v>
      </c>
      <c r="B192" s="744"/>
      <c r="C192" s="749">
        <v>37</v>
      </c>
      <c r="D192" s="424" t="s">
        <v>766</v>
      </c>
      <c r="E192" s="746">
        <f>F192+G192+L196+M193</f>
        <v>4178</v>
      </c>
      <c r="F192" s="747"/>
      <c r="G192" s="1798"/>
      <c r="H192" s="986" t="s">
        <v>24</v>
      </c>
      <c r="I192" s="957"/>
      <c r="J192" s="757"/>
      <c r="K192" s="757"/>
      <c r="L192" s="758"/>
      <c r="M192" s="748"/>
    </row>
    <row r="193" spans="1:13" s="1477" customFormat="1" ht="18" customHeight="1" x14ac:dyDescent="0.3">
      <c r="A193" s="783">
        <v>183</v>
      </c>
      <c r="B193" s="1467"/>
      <c r="C193" s="1592"/>
      <c r="D193" s="1593" t="s">
        <v>311</v>
      </c>
      <c r="E193" s="1470"/>
      <c r="F193" s="1471"/>
      <c r="G193" s="1801"/>
      <c r="H193" s="1472"/>
      <c r="I193" s="1473"/>
      <c r="J193" s="1594">
        <v>4178</v>
      </c>
      <c r="K193" s="1594"/>
      <c r="L193" s="1475">
        <f t="shared" si="0"/>
        <v>4178</v>
      </c>
      <c r="M193" s="1476"/>
    </row>
    <row r="194" spans="1:13" s="1477" customFormat="1" ht="18" customHeight="1" x14ac:dyDescent="0.3">
      <c r="A194" s="730">
        <v>184</v>
      </c>
      <c r="B194" s="1467"/>
      <c r="C194" s="1592"/>
      <c r="D194" s="1599" t="s">
        <v>1072</v>
      </c>
      <c r="E194" s="1470"/>
      <c r="F194" s="1471"/>
      <c r="G194" s="1801"/>
      <c r="H194" s="1472"/>
      <c r="I194" s="1473"/>
      <c r="J194" s="1771">
        <v>4178</v>
      </c>
      <c r="K194" s="1594"/>
      <c r="L194" s="1497">
        <f t="shared" ref="L194" si="61">SUM(I194:K194)</f>
        <v>4178</v>
      </c>
      <c r="M194" s="1476"/>
    </row>
    <row r="195" spans="1:13" s="1488" customFormat="1" ht="18" customHeight="1" x14ac:dyDescent="0.3">
      <c r="A195" s="730">
        <v>185</v>
      </c>
      <c r="B195" s="1478"/>
      <c r="C195" s="1595"/>
      <c r="D195" s="1596" t="s">
        <v>963</v>
      </c>
      <c r="E195" s="1481"/>
      <c r="F195" s="1482"/>
      <c r="G195" s="1799"/>
      <c r="H195" s="1483"/>
      <c r="I195" s="1484"/>
      <c r="J195" s="1597"/>
      <c r="K195" s="1597"/>
      <c r="L195" s="1486">
        <f t="shared" si="0"/>
        <v>0</v>
      </c>
      <c r="M195" s="1487"/>
    </row>
    <row r="196" spans="1:13" s="1499" customFormat="1" ht="18" customHeight="1" x14ac:dyDescent="0.3">
      <c r="A196" s="783">
        <v>186</v>
      </c>
      <c r="B196" s="1489"/>
      <c r="C196" s="1598"/>
      <c r="D196" s="1599" t="s">
        <v>1151</v>
      </c>
      <c r="E196" s="1492"/>
      <c r="F196" s="1493"/>
      <c r="G196" s="1800"/>
      <c r="H196" s="1494"/>
      <c r="I196" s="1495"/>
      <c r="J196" s="1495">
        <f>SUM(J194:J195)</f>
        <v>4178</v>
      </c>
      <c r="K196" s="1495">
        <f>SUM(K194:K195)</f>
        <v>0</v>
      </c>
      <c r="L196" s="1497">
        <f t="shared" si="0"/>
        <v>4178</v>
      </c>
      <c r="M196" s="1498"/>
    </row>
    <row r="197" spans="1:13" ht="22.5" customHeight="1" x14ac:dyDescent="0.3">
      <c r="A197" s="730">
        <v>187</v>
      </c>
      <c r="B197" s="744"/>
      <c r="C197" s="745">
        <v>38</v>
      </c>
      <c r="D197" s="423" t="s">
        <v>767</v>
      </c>
      <c r="E197" s="746">
        <f>F197+G197+L201+M198</f>
        <v>0</v>
      </c>
      <c r="F197" s="747"/>
      <c r="G197" s="1798"/>
      <c r="H197" s="986" t="s">
        <v>24</v>
      </c>
      <c r="I197" s="957"/>
      <c r="J197" s="757"/>
      <c r="K197" s="757"/>
      <c r="L197" s="758"/>
      <c r="M197" s="748"/>
    </row>
    <row r="198" spans="1:13" s="1477" customFormat="1" ht="18" customHeight="1" x14ac:dyDescent="0.3">
      <c r="A198" s="730">
        <v>188</v>
      </c>
      <c r="B198" s="1467"/>
      <c r="C198" s="1592"/>
      <c r="D198" s="1593" t="s">
        <v>311</v>
      </c>
      <c r="E198" s="1470"/>
      <c r="F198" s="1471"/>
      <c r="G198" s="1801"/>
      <c r="H198" s="1472"/>
      <c r="I198" s="1473"/>
      <c r="J198" s="1594">
        <v>1000</v>
      </c>
      <c r="K198" s="1594"/>
      <c r="L198" s="1475">
        <f t="shared" ref="L198:L201" si="62">SUM(I198:K198)</f>
        <v>1000</v>
      </c>
      <c r="M198" s="1476"/>
    </row>
    <row r="199" spans="1:13" s="1477" customFormat="1" ht="18" customHeight="1" x14ac:dyDescent="0.3">
      <c r="A199" s="783">
        <v>189</v>
      </c>
      <c r="B199" s="1467"/>
      <c r="C199" s="1592"/>
      <c r="D199" s="1599" t="s">
        <v>1072</v>
      </c>
      <c r="E199" s="1470"/>
      <c r="F199" s="1471"/>
      <c r="G199" s="1801"/>
      <c r="H199" s="1472"/>
      <c r="I199" s="1473"/>
      <c r="J199" s="1771">
        <v>0</v>
      </c>
      <c r="K199" s="1594"/>
      <c r="L199" s="1497">
        <f t="shared" ref="L199" si="63">SUM(I199:K199)</f>
        <v>0</v>
      </c>
      <c r="M199" s="1476"/>
    </row>
    <row r="200" spans="1:13" s="1488" customFormat="1" ht="18" customHeight="1" x14ac:dyDescent="0.3">
      <c r="A200" s="730">
        <v>190</v>
      </c>
      <c r="B200" s="1478"/>
      <c r="C200" s="1595"/>
      <c r="D200" s="1596" t="s">
        <v>963</v>
      </c>
      <c r="E200" s="1481"/>
      <c r="F200" s="1482"/>
      <c r="G200" s="1799"/>
      <c r="H200" s="1483"/>
      <c r="I200" s="1484"/>
      <c r="J200" s="1597"/>
      <c r="K200" s="1597"/>
      <c r="L200" s="1486">
        <f t="shared" si="62"/>
        <v>0</v>
      </c>
      <c r="M200" s="1487"/>
    </row>
    <row r="201" spans="1:13" s="1499" customFormat="1" ht="18" customHeight="1" x14ac:dyDescent="0.3">
      <c r="A201" s="730">
        <v>191</v>
      </c>
      <c r="B201" s="1489"/>
      <c r="C201" s="1598"/>
      <c r="D201" s="1599" t="s">
        <v>1151</v>
      </c>
      <c r="E201" s="1492"/>
      <c r="F201" s="1493"/>
      <c r="G201" s="1800"/>
      <c r="H201" s="1494"/>
      <c r="I201" s="1495"/>
      <c r="J201" s="1495">
        <f>SUM(J199:J200)</f>
        <v>0</v>
      </c>
      <c r="K201" s="1495">
        <f>SUM(K199:K200)</f>
        <v>0</v>
      </c>
      <c r="L201" s="1497">
        <f t="shared" si="62"/>
        <v>0</v>
      </c>
      <c r="M201" s="1498"/>
    </row>
    <row r="202" spans="1:13" ht="22.5" customHeight="1" x14ac:dyDescent="0.3">
      <c r="A202" s="783">
        <v>192</v>
      </c>
      <c r="B202" s="744"/>
      <c r="C202" s="745">
        <v>39</v>
      </c>
      <c r="D202" s="1047" t="s">
        <v>768</v>
      </c>
      <c r="E202" s="746">
        <f>F202+G202+L206+M203</f>
        <v>4886</v>
      </c>
      <c r="F202" s="747"/>
      <c r="G202" s="1798">
        <v>1753</v>
      </c>
      <c r="H202" s="986" t="s">
        <v>24</v>
      </c>
      <c r="I202" s="957"/>
      <c r="J202" s="757"/>
      <c r="K202" s="757"/>
      <c r="L202" s="758"/>
      <c r="M202" s="748"/>
    </row>
    <row r="203" spans="1:13" s="1477" customFormat="1" ht="18" customHeight="1" x14ac:dyDescent="0.3">
      <c r="A203" s="730">
        <v>193</v>
      </c>
      <c r="B203" s="1467"/>
      <c r="C203" s="1592"/>
      <c r="D203" s="1593" t="s">
        <v>311</v>
      </c>
      <c r="E203" s="1470"/>
      <c r="F203" s="1471"/>
      <c r="G203" s="1801"/>
      <c r="H203" s="1472"/>
      <c r="I203" s="1473"/>
      <c r="J203" s="1594">
        <v>1183</v>
      </c>
      <c r="K203" s="1594"/>
      <c r="L203" s="1475">
        <f t="shared" si="0"/>
        <v>1183</v>
      </c>
      <c r="M203" s="1476"/>
    </row>
    <row r="204" spans="1:13" s="1477" customFormat="1" ht="18" customHeight="1" x14ac:dyDescent="0.3">
      <c r="A204" s="730">
        <v>194</v>
      </c>
      <c r="B204" s="1467"/>
      <c r="C204" s="1592"/>
      <c r="D204" s="1599" t="s">
        <v>1072</v>
      </c>
      <c r="E204" s="1470"/>
      <c r="F204" s="1471"/>
      <c r="G204" s="1801"/>
      <c r="H204" s="1472"/>
      <c r="I204" s="1473"/>
      <c r="J204" s="1771">
        <v>3133</v>
      </c>
      <c r="K204" s="1594"/>
      <c r="L204" s="1497">
        <f t="shared" ref="L204" si="64">SUM(I204:K204)</f>
        <v>3133</v>
      </c>
      <c r="M204" s="1476"/>
    </row>
    <row r="205" spans="1:13" s="1488" customFormat="1" ht="18" customHeight="1" x14ac:dyDescent="0.3">
      <c r="A205" s="783">
        <v>195</v>
      </c>
      <c r="B205" s="1478"/>
      <c r="C205" s="1595"/>
      <c r="D205" s="1596" t="s">
        <v>986</v>
      </c>
      <c r="E205" s="1481"/>
      <c r="F205" s="1482"/>
      <c r="G205" s="1799"/>
      <c r="H205" s="1483"/>
      <c r="I205" s="1484"/>
      <c r="J205" s="1597"/>
      <c r="K205" s="1597"/>
      <c r="L205" s="1486">
        <f t="shared" si="0"/>
        <v>0</v>
      </c>
      <c r="M205" s="1487"/>
    </row>
    <row r="206" spans="1:13" s="1499" customFormat="1" ht="18" customHeight="1" x14ac:dyDescent="0.3">
      <c r="A206" s="730">
        <v>196</v>
      </c>
      <c r="B206" s="1489"/>
      <c r="C206" s="1598"/>
      <c r="D206" s="1599" t="s">
        <v>1151</v>
      </c>
      <c r="E206" s="1492"/>
      <c r="F206" s="1493"/>
      <c r="G206" s="1800"/>
      <c r="H206" s="1494"/>
      <c r="I206" s="1495"/>
      <c r="J206" s="1495">
        <f>SUM(J204:J205)</f>
        <v>3133</v>
      </c>
      <c r="K206" s="1495">
        <f>SUM(K204:K205)</f>
        <v>0</v>
      </c>
      <c r="L206" s="1497">
        <f t="shared" si="0"/>
        <v>3133</v>
      </c>
      <c r="M206" s="1498"/>
    </row>
    <row r="207" spans="1:13" ht="22.5" customHeight="1" x14ac:dyDescent="0.3">
      <c r="A207" s="730">
        <v>197</v>
      </c>
      <c r="B207" s="744"/>
      <c r="C207" s="745">
        <v>40</v>
      </c>
      <c r="D207" s="423" t="s">
        <v>779</v>
      </c>
      <c r="E207" s="746">
        <f>F207+G207+L211+M208</f>
        <v>500</v>
      </c>
      <c r="F207" s="747"/>
      <c r="G207" s="1798"/>
      <c r="H207" s="986" t="s">
        <v>24</v>
      </c>
      <c r="I207" s="957"/>
      <c r="J207" s="757"/>
      <c r="K207" s="757"/>
      <c r="L207" s="758"/>
      <c r="M207" s="748"/>
    </row>
    <row r="208" spans="1:13" s="1477" customFormat="1" ht="18" customHeight="1" x14ac:dyDescent="0.3">
      <c r="A208" s="783">
        <v>198</v>
      </c>
      <c r="B208" s="1467"/>
      <c r="C208" s="1592"/>
      <c r="D208" s="1593" t="s">
        <v>311</v>
      </c>
      <c r="E208" s="1470"/>
      <c r="F208" s="1471"/>
      <c r="G208" s="1801"/>
      <c r="H208" s="1472"/>
      <c r="I208" s="1473"/>
      <c r="J208" s="1594">
        <v>500</v>
      </c>
      <c r="K208" s="1594"/>
      <c r="L208" s="1475">
        <f t="shared" ref="L208:L211" si="65">SUM(I208:K208)</f>
        <v>500</v>
      </c>
      <c r="M208" s="1476"/>
    </row>
    <row r="209" spans="1:13" s="1477" customFormat="1" ht="18" customHeight="1" x14ac:dyDescent="0.3">
      <c r="A209" s="730">
        <v>199</v>
      </c>
      <c r="B209" s="1467"/>
      <c r="C209" s="1592"/>
      <c r="D209" s="1599" t="s">
        <v>1072</v>
      </c>
      <c r="E209" s="1470"/>
      <c r="F209" s="1471"/>
      <c r="G209" s="1801"/>
      <c r="H209" s="1472"/>
      <c r="I209" s="1473"/>
      <c r="J209" s="1771">
        <v>500</v>
      </c>
      <c r="K209" s="1594"/>
      <c r="L209" s="1497">
        <f t="shared" ref="L209" si="66">SUM(I209:K209)</f>
        <v>500</v>
      </c>
      <c r="M209" s="1476"/>
    </row>
    <row r="210" spans="1:13" s="1488" customFormat="1" ht="18" customHeight="1" x14ac:dyDescent="0.3">
      <c r="A210" s="730">
        <v>200</v>
      </c>
      <c r="B210" s="1478"/>
      <c r="C210" s="1595"/>
      <c r="D210" s="1596" t="s">
        <v>963</v>
      </c>
      <c r="E210" s="1481"/>
      <c r="F210" s="1482"/>
      <c r="G210" s="1799"/>
      <c r="H210" s="1483"/>
      <c r="I210" s="1484"/>
      <c r="J210" s="1597"/>
      <c r="K210" s="1597"/>
      <c r="L210" s="1486">
        <f t="shared" si="65"/>
        <v>0</v>
      </c>
      <c r="M210" s="1487"/>
    </row>
    <row r="211" spans="1:13" s="1499" customFormat="1" ht="18" customHeight="1" x14ac:dyDescent="0.3">
      <c r="A211" s="783">
        <v>201</v>
      </c>
      <c r="B211" s="1489"/>
      <c r="C211" s="1598"/>
      <c r="D211" s="1599" t="s">
        <v>1151</v>
      </c>
      <c r="E211" s="1492"/>
      <c r="F211" s="1493"/>
      <c r="G211" s="1800"/>
      <c r="H211" s="1494"/>
      <c r="I211" s="1495"/>
      <c r="J211" s="1495">
        <f>SUM(J209:J210)</f>
        <v>500</v>
      </c>
      <c r="K211" s="1495">
        <f>SUM(K209:K210)</f>
        <v>0</v>
      </c>
      <c r="L211" s="1497">
        <f t="shared" si="65"/>
        <v>500</v>
      </c>
      <c r="M211" s="1498"/>
    </row>
    <row r="212" spans="1:13" ht="22.5" customHeight="1" x14ac:dyDescent="0.3">
      <c r="A212" s="730">
        <v>202</v>
      </c>
      <c r="B212" s="744"/>
      <c r="C212" s="745">
        <v>41</v>
      </c>
      <c r="D212" s="423" t="s">
        <v>769</v>
      </c>
      <c r="E212" s="746">
        <f>F212+G212+L216+M213</f>
        <v>1000</v>
      </c>
      <c r="F212" s="747"/>
      <c r="G212" s="1798"/>
      <c r="H212" s="986" t="s">
        <v>24</v>
      </c>
      <c r="I212" s="957"/>
      <c r="J212" s="757"/>
      <c r="K212" s="757"/>
      <c r="L212" s="758"/>
      <c r="M212" s="748"/>
    </row>
    <row r="213" spans="1:13" s="1477" customFormat="1" ht="18" customHeight="1" x14ac:dyDescent="0.3">
      <c r="A213" s="730">
        <v>203</v>
      </c>
      <c r="B213" s="1467"/>
      <c r="C213" s="1592"/>
      <c r="D213" s="1593" t="s">
        <v>311</v>
      </c>
      <c r="E213" s="1470"/>
      <c r="F213" s="1471"/>
      <c r="G213" s="1801"/>
      <c r="H213" s="1472"/>
      <c r="I213" s="1473"/>
      <c r="J213" s="1594">
        <v>1000</v>
      </c>
      <c r="K213" s="1594"/>
      <c r="L213" s="1475">
        <f t="shared" si="0"/>
        <v>1000</v>
      </c>
      <c r="M213" s="1476"/>
    </row>
    <row r="214" spans="1:13" s="1477" customFormat="1" ht="18" customHeight="1" x14ac:dyDescent="0.3">
      <c r="A214" s="783">
        <v>204</v>
      </c>
      <c r="B214" s="1467"/>
      <c r="C214" s="1592"/>
      <c r="D214" s="1599" t="s">
        <v>1072</v>
      </c>
      <c r="E214" s="1470"/>
      <c r="F214" s="1471"/>
      <c r="G214" s="1801"/>
      <c r="H214" s="1472"/>
      <c r="I214" s="1473"/>
      <c r="J214" s="1771">
        <v>1000</v>
      </c>
      <c r="K214" s="1594"/>
      <c r="L214" s="1497">
        <f t="shared" ref="L214" si="67">SUM(I214:K214)</f>
        <v>1000</v>
      </c>
      <c r="M214" s="1476"/>
    </row>
    <row r="215" spans="1:13" s="1488" customFormat="1" ht="18" customHeight="1" x14ac:dyDescent="0.3">
      <c r="A215" s="730">
        <v>205</v>
      </c>
      <c r="B215" s="1478"/>
      <c r="C215" s="1595"/>
      <c r="D215" s="1596" t="s">
        <v>963</v>
      </c>
      <c r="E215" s="1481"/>
      <c r="F215" s="1482"/>
      <c r="G215" s="1799"/>
      <c r="H215" s="1483"/>
      <c r="I215" s="1484"/>
      <c r="J215" s="1597"/>
      <c r="K215" s="1597"/>
      <c r="L215" s="1486">
        <f t="shared" si="0"/>
        <v>0</v>
      </c>
      <c r="M215" s="1487"/>
    </row>
    <row r="216" spans="1:13" s="1499" customFormat="1" ht="18" customHeight="1" x14ac:dyDescent="0.3">
      <c r="A216" s="730">
        <v>206</v>
      </c>
      <c r="B216" s="1489"/>
      <c r="C216" s="1598"/>
      <c r="D216" s="1599" t="s">
        <v>1151</v>
      </c>
      <c r="E216" s="1492"/>
      <c r="F216" s="1493"/>
      <c r="G216" s="1800"/>
      <c r="H216" s="1494"/>
      <c r="I216" s="1495"/>
      <c r="J216" s="1495">
        <f>SUM(J214:J215)</f>
        <v>1000</v>
      </c>
      <c r="K216" s="1495">
        <f>SUM(K214:K215)</f>
        <v>0</v>
      </c>
      <c r="L216" s="1497">
        <f t="shared" si="0"/>
        <v>1000</v>
      </c>
      <c r="M216" s="1498"/>
    </row>
    <row r="217" spans="1:13" ht="22.5" customHeight="1" x14ac:dyDescent="0.3">
      <c r="A217" s="783">
        <v>207</v>
      </c>
      <c r="B217" s="744"/>
      <c r="C217" s="745">
        <v>42</v>
      </c>
      <c r="D217" s="423" t="s">
        <v>770</v>
      </c>
      <c r="E217" s="746">
        <f>F217+G217+L221+M218</f>
        <v>999</v>
      </c>
      <c r="F217" s="746"/>
      <c r="G217" s="1798">
        <v>999</v>
      </c>
      <c r="H217" s="986" t="s">
        <v>24</v>
      </c>
      <c r="I217" s="958"/>
      <c r="J217" s="746"/>
      <c r="K217" s="746"/>
      <c r="L217" s="759"/>
      <c r="M217" s="748"/>
    </row>
    <row r="218" spans="1:13" s="1477" customFormat="1" ht="18" customHeight="1" x14ac:dyDescent="0.3">
      <c r="A218" s="730">
        <v>208</v>
      </c>
      <c r="B218" s="1467"/>
      <c r="C218" s="1592"/>
      <c r="D218" s="1593" t="s">
        <v>311</v>
      </c>
      <c r="E218" s="1470"/>
      <c r="F218" s="1471"/>
      <c r="G218" s="1801"/>
      <c r="H218" s="1472"/>
      <c r="I218" s="1473"/>
      <c r="J218" s="1594">
        <v>13843</v>
      </c>
      <c r="K218" s="1594"/>
      <c r="L218" s="1475">
        <f t="shared" ref="L218:L221" si="68">SUM(I218:K218)</f>
        <v>13843</v>
      </c>
      <c r="M218" s="1476"/>
    </row>
    <row r="219" spans="1:13" s="1477" customFormat="1" ht="18" customHeight="1" x14ac:dyDescent="0.3">
      <c r="A219" s="730">
        <v>209</v>
      </c>
      <c r="B219" s="1467"/>
      <c r="C219" s="1592"/>
      <c r="D219" s="1599" t="s">
        <v>1072</v>
      </c>
      <c r="E219" s="1470"/>
      <c r="F219" s="1471"/>
      <c r="G219" s="1801"/>
      <c r="H219" s="1472"/>
      <c r="I219" s="1473"/>
      <c r="J219" s="1771">
        <v>0</v>
      </c>
      <c r="K219" s="1594"/>
      <c r="L219" s="1497">
        <f t="shared" ref="L219" si="69">SUM(I219:K219)</f>
        <v>0</v>
      </c>
      <c r="M219" s="1476"/>
    </row>
    <row r="220" spans="1:13" s="1488" customFormat="1" ht="18" customHeight="1" x14ac:dyDescent="0.3">
      <c r="A220" s="783">
        <v>210</v>
      </c>
      <c r="B220" s="1478"/>
      <c r="C220" s="1595"/>
      <c r="D220" s="1596" t="s">
        <v>986</v>
      </c>
      <c r="E220" s="1481"/>
      <c r="F220" s="1482"/>
      <c r="G220" s="1799"/>
      <c r="H220" s="1483"/>
      <c r="I220" s="1484"/>
      <c r="J220" s="1597"/>
      <c r="K220" s="1597"/>
      <c r="L220" s="1486">
        <f t="shared" si="68"/>
        <v>0</v>
      </c>
      <c r="M220" s="1487"/>
    </row>
    <row r="221" spans="1:13" s="1499" customFormat="1" ht="18" customHeight="1" x14ac:dyDescent="0.3">
      <c r="A221" s="730">
        <v>211</v>
      </c>
      <c r="B221" s="1489"/>
      <c r="C221" s="1598"/>
      <c r="D221" s="1599" t="s">
        <v>1151</v>
      </c>
      <c r="E221" s="1492"/>
      <c r="F221" s="1493"/>
      <c r="G221" s="1800"/>
      <c r="H221" s="1494"/>
      <c r="I221" s="1495"/>
      <c r="J221" s="1495">
        <f>SUM(J219:J220)</f>
        <v>0</v>
      </c>
      <c r="K221" s="1495">
        <f>SUM(K219:K220)</f>
        <v>0</v>
      </c>
      <c r="L221" s="1497">
        <f t="shared" si="68"/>
        <v>0</v>
      </c>
      <c r="M221" s="1498"/>
    </row>
    <row r="222" spans="1:13" ht="22.5" customHeight="1" x14ac:dyDescent="0.3">
      <c r="A222" s="730">
        <v>212</v>
      </c>
      <c r="B222" s="744"/>
      <c r="C222" s="745">
        <v>43</v>
      </c>
      <c r="D222" s="423" t="s">
        <v>771</v>
      </c>
      <c r="E222" s="746">
        <f>F222+G222+L226+M223</f>
        <v>0</v>
      </c>
      <c r="F222" s="746"/>
      <c r="G222" s="1798"/>
      <c r="H222" s="986" t="s">
        <v>24</v>
      </c>
      <c r="I222" s="958"/>
      <c r="J222" s="746"/>
      <c r="K222" s="746"/>
      <c r="L222" s="759"/>
      <c r="M222" s="748"/>
    </row>
    <row r="223" spans="1:13" s="1477" customFormat="1" ht="18" customHeight="1" x14ac:dyDescent="0.3">
      <c r="A223" s="783">
        <v>213</v>
      </c>
      <c r="B223" s="1467"/>
      <c r="C223" s="1592"/>
      <c r="D223" s="1593" t="s">
        <v>311</v>
      </c>
      <c r="E223" s="1470"/>
      <c r="F223" s="1471"/>
      <c r="G223" s="1801"/>
      <c r="H223" s="1472"/>
      <c r="I223" s="1473"/>
      <c r="J223" s="1594">
        <v>5000</v>
      </c>
      <c r="K223" s="1594"/>
      <c r="L223" s="1475">
        <f t="shared" si="0"/>
        <v>5000</v>
      </c>
      <c r="M223" s="1476"/>
    </row>
    <row r="224" spans="1:13" s="1477" customFormat="1" ht="18" customHeight="1" x14ac:dyDescent="0.3">
      <c r="A224" s="730">
        <v>214</v>
      </c>
      <c r="B224" s="1467"/>
      <c r="C224" s="1592"/>
      <c r="D224" s="1599" t="s">
        <v>1072</v>
      </c>
      <c r="E224" s="1470"/>
      <c r="F224" s="1471"/>
      <c r="G224" s="1801"/>
      <c r="H224" s="1472"/>
      <c r="I224" s="1473"/>
      <c r="J224" s="1771">
        <v>0</v>
      </c>
      <c r="K224" s="1594"/>
      <c r="L224" s="1497">
        <f t="shared" ref="L224" si="70">SUM(I224:K224)</f>
        <v>0</v>
      </c>
      <c r="M224" s="1476"/>
    </row>
    <row r="225" spans="1:251" s="1488" customFormat="1" ht="18" customHeight="1" x14ac:dyDescent="0.3">
      <c r="A225" s="730">
        <v>215</v>
      </c>
      <c r="B225" s="1478"/>
      <c r="C225" s="1595"/>
      <c r="D225" s="1596" t="s">
        <v>963</v>
      </c>
      <c r="E225" s="1481"/>
      <c r="F225" s="1482"/>
      <c r="G225" s="1799"/>
      <c r="H225" s="1483"/>
      <c r="I225" s="1484"/>
      <c r="J225" s="1597"/>
      <c r="K225" s="1597"/>
      <c r="L225" s="1486">
        <f t="shared" si="0"/>
        <v>0</v>
      </c>
      <c r="M225" s="1487"/>
    </row>
    <row r="226" spans="1:251" s="1499" customFormat="1" ht="18" customHeight="1" x14ac:dyDescent="0.3">
      <c r="A226" s="783">
        <v>216</v>
      </c>
      <c r="B226" s="1489"/>
      <c r="C226" s="1598"/>
      <c r="D226" s="1599" t="s">
        <v>1151</v>
      </c>
      <c r="E226" s="1492"/>
      <c r="F226" s="1493"/>
      <c r="G226" s="1800"/>
      <c r="H226" s="1494"/>
      <c r="I226" s="1495"/>
      <c r="J226" s="1495">
        <f>SUM(J224:J225)</f>
        <v>0</v>
      </c>
      <c r="K226" s="1495">
        <f>SUM(K224:K225)</f>
        <v>0</v>
      </c>
      <c r="L226" s="1497">
        <f t="shared" si="0"/>
        <v>0</v>
      </c>
      <c r="M226" s="1498"/>
    </row>
    <row r="227" spans="1:251" ht="22.5" customHeight="1" x14ac:dyDescent="0.3">
      <c r="A227" s="730">
        <v>217</v>
      </c>
      <c r="B227" s="744"/>
      <c r="C227" s="745">
        <v>44</v>
      </c>
      <c r="D227" s="423" t="s">
        <v>772</v>
      </c>
      <c r="E227" s="746">
        <f>F227+G227+L231+M228</f>
        <v>7651</v>
      </c>
      <c r="F227" s="747"/>
      <c r="G227" s="1798"/>
      <c r="H227" s="986" t="s">
        <v>24</v>
      </c>
      <c r="I227" s="958"/>
      <c r="J227" s="746"/>
      <c r="K227" s="746"/>
      <c r="L227" s="759"/>
      <c r="M227" s="748"/>
      <c r="N227" s="731"/>
      <c r="O227" s="731"/>
      <c r="P227" s="731"/>
      <c r="Q227" s="731"/>
      <c r="R227" s="731"/>
      <c r="S227" s="731"/>
      <c r="T227" s="731"/>
      <c r="U227" s="731"/>
      <c r="V227" s="731"/>
      <c r="W227" s="731"/>
      <c r="X227" s="731"/>
      <c r="Y227" s="731"/>
      <c r="Z227" s="731"/>
      <c r="AA227" s="731"/>
      <c r="AB227" s="731"/>
      <c r="AC227" s="731"/>
      <c r="AD227" s="731"/>
      <c r="AE227" s="731"/>
      <c r="AF227" s="731"/>
      <c r="AG227" s="731"/>
      <c r="AH227" s="731"/>
      <c r="AI227" s="731"/>
      <c r="AJ227" s="731"/>
      <c r="AK227" s="731"/>
      <c r="AL227" s="731"/>
      <c r="AM227" s="731"/>
      <c r="AN227" s="731"/>
      <c r="AO227" s="731"/>
      <c r="AP227" s="731"/>
      <c r="AQ227" s="731"/>
      <c r="AR227" s="731"/>
      <c r="AS227" s="731"/>
      <c r="AT227" s="731"/>
      <c r="AU227" s="731"/>
      <c r="AV227" s="731"/>
      <c r="AW227" s="731"/>
      <c r="AX227" s="731"/>
      <c r="AY227" s="731"/>
      <c r="AZ227" s="731"/>
      <c r="BA227" s="731"/>
      <c r="BB227" s="731"/>
      <c r="BC227" s="731"/>
      <c r="BD227" s="731"/>
      <c r="BE227" s="731"/>
      <c r="BF227" s="731"/>
      <c r="BG227" s="731"/>
      <c r="BH227" s="731"/>
      <c r="BI227" s="731"/>
      <c r="BJ227" s="731"/>
      <c r="BK227" s="731"/>
      <c r="BL227" s="731"/>
      <c r="BM227" s="731"/>
      <c r="BN227" s="731"/>
      <c r="BO227" s="731"/>
      <c r="BP227" s="731"/>
      <c r="BQ227" s="731"/>
      <c r="BR227" s="731"/>
      <c r="BS227" s="731"/>
      <c r="BT227" s="731"/>
      <c r="BU227" s="731"/>
      <c r="BV227" s="731"/>
      <c r="BW227" s="731"/>
      <c r="BX227" s="731"/>
      <c r="BY227" s="731"/>
      <c r="BZ227" s="731"/>
      <c r="CA227" s="731"/>
      <c r="CB227" s="731"/>
      <c r="CC227" s="731"/>
      <c r="CD227" s="731"/>
      <c r="CE227" s="731"/>
      <c r="CF227" s="731"/>
      <c r="CG227" s="731"/>
      <c r="CH227" s="731"/>
      <c r="CI227" s="731"/>
      <c r="CJ227" s="731"/>
      <c r="CK227" s="731"/>
      <c r="CL227" s="731"/>
      <c r="CM227" s="731"/>
      <c r="CN227" s="731"/>
      <c r="CO227" s="731"/>
      <c r="CP227" s="731"/>
      <c r="CQ227" s="731"/>
      <c r="CR227" s="731"/>
      <c r="CS227" s="731"/>
      <c r="CT227" s="731"/>
      <c r="CU227" s="731"/>
      <c r="CV227" s="731"/>
      <c r="CW227" s="731"/>
      <c r="CX227" s="731"/>
      <c r="CY227" s="731"/>
      <c r="CZ227" s="731"/>
      <c r="DA227" s="731"/>
      <c r="DB227" s="731"/>
      <c r="DC227" s="731"/>
      <c r="DD227" s="731"/>
      <c r="DE227" s="731"/>
      <c r="DF227" s="731"/>
      <c r="DG227" s="731"/>
      <c r="DH227" s="731"/>
      <c r="DI227" s="731"/>
      <c r="DJ227" s="731"/>
      <c r="DK227" s="731"/>
      <c r="DL227" s="731"/>
      <c r="DM227" s="731"/>
      <c r="DN227" s="731"/>
      <c r="DO227" s="731"/>
      <c r="DP227" s="731"/>
      <c r="DQ227" s="731"/>
      <c r="DR227" s="731"/>
      <c r="DS227" s="731"/>
      <c r="DT227" s="731"/>
      <c r="DU227" s="731"/>
      <c r="DV227" s="731"/>
      <c r="DW227" s="731"/>
      <c r="DX227" s="731"/>
      <c r="DY227" s="731"/>
      <c r="DZ227" s="731"/>
      <c r="EA227" s="731"/>
      <c r="EB227" s="731"/>
      <c r="EC227" s="731"/>
      <c r="ED227" s="731"/>
      <c r="EE227" s="731"/>
      <c r="EF227" s="731"/>
      <c r="EG227" s="731"/>
      <c r="EH227" s="731"/>
      <c r="EI227" s="731"/>
      <c r="EJ227" s="731"/>
      <c r="EK227" s="731"/>
      <c r="EL227" s="731"/>
      <c r="EM227" s="731"/>
      <c r="EN227" s="731"/>
      <c r="EO227" s="731"/>
      <c r="EP227" s="731"/>
      <c r="EQ227" s="731"/>
      <c r="ER227" s="731"/>
      <c r="ES227" s="731"/>
      <c r="ET227" s="731"/>
      <c r="EU227" s="731"/>
      <c r="EV227" s="731"/>
      <c r="EW227" s="731"/>
      <c r="EX227" s="731"/>
      <c r="EY227" s="731"/>
      <c r="EZ227" s="731"/>
      <c r="FA227" s="731"/>
      <c r="FB227" s="731"/>
      <c r="FC227" s="731"/>
      <c r="FD227" s="731"/>
      <c r="FE227" s="731"/>
      <c r="FF227" s="731"/>
      <c r="FG227" s="731"/>
      <c r="FH227" s="731"/>
      <c r="FI227" s="731"/>
      <c r="FJ227" s="731"/>
      <c r="FK227" s="731"/>
      <c r="FL227" s="731"/>
      <c r="FM227" s="731"/>
      <c r="FN227" s="731"/>
      <c r="FO227" s="731"/>
      <c r="FP227" s="731"/>
      <c r="FQ227" s="731"/>
      <c r="FR227" s="731"/>
      <c r="FS227" s="731"/>
      <c r="FT227" s="731"/>
      <c r="FU227" s="731"/>
      <c r="FV227" s="731"/>
      <c r="FW227" s="731"/>
      <c r="FX227" s="731"/>
      <c r="FY227" s="731"/>
      <c r="FZ227" s="731"/>
      <c r="GA227" s="731"/>
      <c r="GB227" s="731"/>
      <c r="GC227" s="731"/>
      <c r="GD227" s="731"/>
      <c r="GE227" s="731"/>
      <c r="GF227" s="731"/>
      <c r="GG227" s="731"/>
      <c r="GH227" s="731"/>
      <c r="GI227" s="731"/>
      <c r="GJ227" s="731"/>
      <c r="GK227" s="731"/>
      <c r="GL227" s="731"/>
      <c r="GM227" s="731"/>
      <c r="GN227" s="731"/>
      <c r="GO227" s="731"/>
      <c r="GP227" s="731"/>
      <c r="GQ227" s="731"/>
      <c r="GR227" s="731"/>
      <c r="GS227" s="731"/>
      <c r="GT227" s="731"/>
      <c r="GU227" s="731"/>
      <c r="GV227" s="731"/>
      <c r="GW227" s="731"/>
      <c r="GX227" s="731"/>
      <c r="GY227" s="731"/>
      <c r="GZ227" s="731"/>
      <c r="HA227" s="731"/>
      <c r="HB227" s="731"/>
      <c r="HC227" s="731"/>
      <c r="HD227" s="731"/>
      <c r="HE227" s="731"/>
      <c r="HF227" s="731"/>
      <c r="HG227" s="731"/>
      <c r="HH227" s="731"/>
      <c r="HI227" s="731"/>
      <c r="HJ227" s="731"/>
      <c r="HK227" s="731"/>
      <c r="HL227" s="731"/>
      <c r="HM227" s="731"/>
      <c r="HN227" s="731"/>
      <c r="HO227" s="731"/>
      <c r="HP227" s="731"/>
      <c r="HQ227" s="731"/>
      <c r="HR227" s="731"/>
      <c r="HS227" s="731"/>
      <c r="HT227" s="731"/>
      <c r="HU227" s="731"/>
      <c r="HV227" s="731"/>
      <c r="HW227" s="731"/>
      <c r="HX227" s="731"/>
      <c r="HY227" s="731"/>
      <c r="HZ227" s="731"/>
      <c r="IA227" s="731"/>
      <c r="IB227" s="731"/>
      <c r="IC227" s="731"/>
      <c r="ID227" s="731"/>
      <c r="IE227" s="731"/>
      <c r="IF227" s="731"/>
      <c r="IG227" s="731"/>
      <c r="IH227" s="731"/>
      <c r="II227" s="731"/>
      <c r="IJ227" s="731"/>
      <c r="IK227" s="731"/>
      <c r="IL227" s="731"/>
      <c r="IM227" s="731"/>
      <c r="IN227" s="731"/>
      <c r="IO227" s="731"/>
      <c r="IP227" s="731"/>
      <c r="IQ227" s="731"/>
    </row>
    <row r="228" spans="1:251" s="1477" customFormat="1" ht="18" customHeight="1" x14ac:dyDescent="0.3">
      <c r="A228" s="730">
        <v>218</v>
      </c>
      <c r="B228" s="1467"/>
      <c r="C228" s="1592"/>
      <c r="D228" s="1593" t="s">
        <v>311</v>
      </c>
      <c r="E228" s="1470"/>
      <c r="F228" s="1471"/>
      <c r="G228" s="1801"/>
      <c r="H228" s="1472"/>
      <c r="I228" s="1473"/>
      <c r="J228" s="1594">
        <v>7651</v>
      </c>
      <c r="K228" s="1594"/>
      <c r="L228" s="1475">
        <f t="shared" ref="L228:L231" si="71">SUM(I228:K228)</f>
        <v>7651</v>
      </c>
      <c r="M228" s="1476"/>
    </row>
    <row r="229" spans="1:251" s="1477" customFormat="1" ht="18" customHeight="1" x14ac:dyDescent="0.3">
      <c r="A229" s="783">
        <v>219</v>
      </c>
      <c r="B229" s="1467"/>
      <c r="C229" s="1592"/>
      <c r="D229" s="1599" t="s">
        <v>1072</v>
      </c>
      <c r="E229" s="1470"/>
      <c r="F229" s="1471"/>
      <c r="G229" s="1801"/>
      <c r="H229" s="1472"/>
      <c r="I229" s="1473"/>
      <c r="J229" s="1771">
        <v>7651</v>
      </c>
      <c r="K229" s="1594"/>
      <c r="L229" s="1497">
        <f t="shared" ref="L229" si="72">SUM(I229:K229)</f>
        <v>7651</v>
      </c>
      <c r="M229" s="1476"/>
    </row>
    <row r="230" spans="1:251" s="1488" customFormat="1" ht="18" customHeight="1" x14ac:dyDescent="0.3">
      <c r="A230" s="730">
        <v>220</v>
      </c>
      <c r="B230" s="1478"/>
      <c r="C230" s="1595"/>
      <c r="D230" s="1596" t="s">
        <v>963</v>
      </c>
      <c r="E230" s="1481"/>
      <c r="F230" s="1482"/>
      <c r="G230" s="1799"/>
      <c r="H230" s="1483"/>
      <c r="I230" s="1484"/>
      <c r="J230" s="1597"/>
      <c r="K230" s="1597"/>
      <c r="L230" s="1486">
        <f t="shared" si="71"/>
        <v>0</v>
      </c>
      <c r="M230" s="1487"/>
    </row>
    <row r="231" spans="1:251" s="1499" customFormat="1" ht="18" customHeight="1" x14ac:dyDescent="0.3">
      <c r="A231" s="730">
        <v>221</v>
      </c>
      <c r="B231" s="1489"/>
      <c r="C231" s="1598"/>
      <c r="D231" s="1599" t="s">
        <v>1151</v>
      </c>
      <c r="E231" s="1492"/>
      <c r="F231" s="1493"/>
      <c r="G231" s="1800"/>
      <c r="H231" s="1494"/>
      <c r="I231" s="1495"/>
      <c r="J231" s="1495">
        <f>SUM(J229:J230)</f>
        <v>7651</v>
      </c>
      <c r="K231" s="1495">
        <f>SUM(K229:K230)</f>
        <v>0</v>
      </c>
      <c r="L231" s="1497">
        <f t="shared" si="71"/>
        <v>7651</v>
      </c>
      <c r="M231" s="1498"/>
    </row>
    <row r="232" spans="1:251" ht="38.1" customHeight="1" x14ac:dyDescent="0.3">
      <c r="A232" s="783">
        <v>222</v>
      </c>
      <c r="B232" s="744"/>
      <c r="C232" s="749">
        <v>45</v>
      </c>
      <c r="D232" s="424" t="s">
        <v>773</v>
      </c>
      <c r="E232" s="746">
        <f>F232+G232+L236+M233</f>
        <v>6096</v>
      </c>
      <c r="F232" s="747"/>
      <c r="G232" s="1798"/>
      <c r="H232" s="986" t="s">
        <v>24</v>
      </c>
      <c r="I232" s="958"/>
      <c r="J232" s="746"/>
      <c r="K232" s="746"/>
      <c r="L232" s="759"/>
      <c r="M232" s="748"/>
      <c r="N232" s="731"/>
      <c r="O232" s="731"/>
      <c r="P232" s="731"/>
      <c r="Q232" s="731"/>
      <c r="R232" s="731"/>
      <c r="S232" s="731"/>
      <c r="T232" s="731"/>
      <c r="U232" s="731"/>
      <c r="V232" s="731"/>
      <c r="W232" s="731"/>
      <c r="X232" s="731"/>
      <c r="Y232" s="731"/>
      <c r="Z232" s="731"/>
      <c r="AA232" s="731"/>
      <c r="AB232" s="731"/>
      <c r="AC232" s="731"/>
      <c r="AD232" s="731"/>
      <c r="AE232" s="731"/>
      <c r="AF232" s="731"/>
      <c r="AG232" s="731"/>
      <c r="AH232" s="731"/>
      <c r="AI232" s="731"/>
      <c r="AJ232" s="731"/>
      <c r="AK232" s="731"/>
      <c r="AL232" s="731"/>
      <c r="AM232" s="731"/>
      <c r="AN232" s="731"/>
      <c r="AO232" s="731"/>
      <c r="AP232" s="731"/>
      <c r="AQ232" s="731"/>
      <c r="AR232" s="731"/>
      <c r="AS232" s="731"/>
      <c r="AT232" s="731"/>
      <c r="AU232" s="731"/>
      <c r="AV232" s="731"/>
      <c r="AW232" s="731"/>
      <c r="AX232" s="731"/>
      <c r="AY232" s="731"/>
      <c r="AZ232" s="731"/>
      <c r="BA232" s="731"/>
      <c r="BB232" s="731"/>
      <c r="BC232" s="731"/>
      <c r="BD232" s="731"/>
      <c r="BE232" s="731"/>
      <c r="BF232" s="731"/>
      <c r="BG232" s="731"/>
      <c r="BH232" s="731"/>
      <c r="BI232" s="731"/>
      <c r="BJ232" s="731"/>
      <c r="BK232" s="731"/>
      <c r="BL232" s="731"/>
      <c r="BM232" s="731"/>
      <c r="BN232" s="731"/>
      <c r="BO232" s="731"/>
      <c r="BP232" s="731"/>
      <c r="BQ232" s="731"/>
      <c r="BR232" s="731"/>
      <c r="BS232" s="731"/>
      <c r="BT232" s="731"/>
      <c r="BU232" s="731"/>
      <c r="BV232" s="731"/>
      <c r="BW232" s="731"/>
      <c r="BX232" s="731"/>
      <c r="BY232" s="731"/>
      <c r="BZ232" s="731"/>
      <c r="CA232" s="731"/>
      <c r="CB232" s="731"/>
      <c r="CC232" s="731"/>
      <c r="CD232" s="731"/>
      <c r="CE232" s="731"/>
      <c r="CF232" s="731"/>
      <c r="CG232" s="731"/>
      <c r="CH232" s="731"/>
      <c r="CI232" s="731"/>
      <c r="CJ232" s="731"/>
      <c r="CK232" s="731"/>
      <c r="CL232" s="731"/>
      <c r="CM232" s="731"/>
      <c r="CN232" s="731"/>
      <c r="CO232" s="731"/>
      <c r="CP232" s="731"/>
      <c r="CQ232" s="731"/>
      <c r="CR232" s="731"/>
      <c r="CS232" s="731"/>
      <c r="CT232" s="731"/>
      <c r="CU232" s="731"/>
      <c r="CV232" s="731"/>
      <c r="CW232" s="731"/>
      <c r="CX232" s="731"/>
      <c r="CY232" s="731"/>
      <c r="CZ232" s="731"/>
      <c r="DA232" s="731"/>
      <c r="DB232" s="731"/>
      <c r="DC232" s="731"/>
      <c r="DD232" s="731"/>
      <c r="DE232" s="731"/>
      <c r="DF232" s="731"/>
      <c r="DG232" s="731"/>
      <c r="DH232" s="731"/>
      <c r="DI232" s="731"/>
      <c r="DJ232" s="731"/>
      <c r="DK232" s="731"/>
      <c r="DL232" s="731"/>
      <c r="DM232" s="731"/>
      <c r="DN232" s="731"/>
      <c r="DO232" s="731"/>
      <c r="DP232" s="731"/>
      <c r="DQ232" s="731"/>
      <c r="DR232" s="731"/>
      <c r="DS232" s="731"/>
      <c r="DT232" s="731"/>
      <c r="DU232" s="731"/>
      <c r="DV232" s="731"/>
      <c r="DW232" s="731"/>
      <c r="DX232" s="731"/>
      <c r="DY232" s="731"/>
      <c r="DZ232" s="731"/>
      <c r="EA232" s="731"/>
      <c r="EB232" s="731"/>
      <c r="EC232" s="731"/>
      <c r="ED232" s="731"/>
      <c r="EE232" s="731"/>
      <c r="EF232" s="731"/>
      <c r="EG232" s="731"/>
      <c r="EH232" s="731"/>
      <c r="EI232" s="731"/>
      <c r="EJ232" s="731"/>
      <c r="EK232" s="731"/>
      <c r="EL232" s="731"/>
      <c r="EM232" s="731"/>
      <c r="EN232" s="731"/>
      <c r="EO232" s="731"/>
      <c r="EP232" s="731"/>
      <c r="EQ232" s="731"/>
      <c r="ER232" s="731"/>
      <c r="ES232" s="731"/>
      <c r="ET232" s="731"/>
      <c r="EU232" s="731"/>
      <c r="EV232" s="731"/>
      <c r="EW232" s="731"/>
      <c r="EX232" s="731"/>
      <c r="EY232" s="731"/>
      <c r="EZ232" s="731"/>
      <c r="FA232" s="731"/>
      <c r="FB232" s="731"/>
      <c r="FC232" s="731"/>
      <c r="FD232" s="731"/>
      <c r="FE232" s="731"/>
      <c r="FF232" s="731"/>
      <c r="FG232" s="731"/>
      <c r="FH232" s="731"/>
      <c r="FI232" s="731"/>
      <c r="FJ232" s="731"/>
      <c r="FK232" s="731"/>
      <c r="FL232" s="731"/>
      <c r="FM232" s="731"/>
      <c r="FN232" s="731"/>
      <c r="FO232" s="731"/>
      <c r="FP232" s="731"/>
      <c r="FQ232" s="731"/>
      <c r="FR232" s="731"/>
      <c r="FS232" s="731"/>
      <c r="FT232" s="731"/>
      <c r="FU232" s="731"/>
      <c r="FV232" s="731"/>
      <c r="FW232" s="731"/>
      <c r="FX232" s="731"/>
      <c r="FY232" s="731"/>
      <c r="FZ232" s="731"/>
      <c r="GA232" s="731"/>
      <c r="GB232" s="731"/>
      <c r="GC232" s="731"/>
      <c r="GD232" s="731"/>
      <c r="GE232" s="731"/>
      <c r="GF232" s="731"/>
      <c r="GG232" s="731"/>
      <c r="GH232" s="731"/>
      <c r="GI232" s="731"/>
      <c r="GJ232" s="731"/>
      <c r="GK232" s="731"/>
      <c r="GL232" s="731"/>
      <c r="GM232" s="731"/>
      <c r="GN232" s="731"/>
      <c r="GO232" s="731"/>
      <c r="GP232" s="731"/>
      <c r="GQ232" s="731"/>
      <c r="GR232" s="731"/>
      <c r="GS232" s="731"/>
      <c r="GT232" s="731"/>
      <c r="GU232" s="731"/>
      <c r="GV232" s="731"/>
      <c r="GW232" s="731"/>
      <c r="GX232" s="731"/>
      <c r="GY232" s="731"/>
      <c r="GZ232" s="731"/>
      <c r="HA232" s="731"/>
      <c r="HB232" s="731"/>
      <c r="HC232" s="731"/>
      <c r="HD232" s="731"/>
      <c r="HE232" s="731"/>
      <c r="HF232" s="731"/>
      <c r="HG232" s="731"/>
      <c r="HH232" s="731"/>
      <c r="HI232" s="731"/>
      <c r="HJ232" s="731"/>
      <c r="HK232" s="731"/>
      <c r="HL232" s="731"/>
      <c r="HM232" s="731"/>
      <c r="HN232" s="731"/>
      <c r="HO232" s="731"/>
      <c r="HP232" s="731"/>
      <c r="HQ232" s="731"/>
      <c r="HR232" s="731"/>
      <c r="HS232" s="731"/>
      <c r="HT232" s="731"/>
      <c r="HU232" s="731"/>
      <c r="HV232" s="731"/>
      <c r="HW232" s="731"/>
      <c r="HX232" s="731"/>
      <c r="HY232" s="731"/>
      <c r="HZ232" s="731"/>
      <c r="IA232" s="731"/>
      <c r="IB232" s="731"/>
      <c r="IC232" s="731"/>
      <c r="ID232" s="731"/>
      <c r="IE232" s="731"/>
      <c r="IF232" s="731"/>
      <c r="IG232" s="731"/>
      <c r="IH232" s="731"/>
      <c r="II232" s="731"/>
      <c r="IJ232" s="731"/>
      <c r="IK232" s="731"/>
      <c r="IL232" s="731"/>
      <c r="IM232" s="731"/>
      <c r="IN232" s="731"/>
      <c r="IO232" s="731"/>
      <c r="IP232" s="731"/>
      <c r="IQ232" s="731"/>
    </row>
    <row r="233" spans="1:251" s="1477" customFormat="1" ht="18" customHeight="1" x14ac:dyDescent="0.3">
      <c r="A233" s="730">
        <v>223</v>
      </c>
      <c r="B233" s="1467"/>
      <c r="C233" s="1592"/>
      <c r="D233" s="1593" t="s">
        <v>311</v>
      </c>
      <c r="E233" s="1470"/>
      <c r="F233" s="1471"/>
      <c r="G233" s="1801"/>
      <c r="H233" s="1472"/>
      <c r="I233" s="1473"/>
      <c r="J233" s="1594">
        <v>6096</v>
      </c>
      <c r="K233" s="1594"/>
      <c r="L233" s="1475">
        <f t="shared" si="0"/>
        <v>6096</v>
      </c>
      <c r="M233" s="1476"/>
    </row>
    <row r="234" spans="1:251" s="1477" customFormat="1" ht="18" customHeight="1" x14ac:dyDescent="0.3">
      <c r="A234" s="730">
        <v>224</v>
      </c>
      <c r="B234" s="1467"/>
      <c r="C234" s="1592"/>
      <c r="D234" s="1599" t="s">
        <v>1072</v>
      </c>
      <c r="E234" s="1470"/>
      <c r="F234" s="1471"/>
      <c r="G234" s="1801"/>
      <c r="H234" s="1472"/>
      <c r="I234" s="1473"/>
      <c r="J234" s="1771">
        <v>6096</v>
      </c>
      <c r="K234" s="1594"/>
      <c r="L234" s="1497">
        <f t="shared" ref="L234" si="73">SUM(I234:K234)</f>
        <v>6096</v>
      </c>
      <c r="M234" s="1476"/>
    </row>
    <row r="235" spans="1:251" s="1488" customFormat="1" ht="18" customHeight="1" x14ac:dyDescent="0.3">
      <c r="A235" s="783">
        <v>225</v>
      </c>
      <c r="B235" s="1478"/>
      <c r="C235" s="1595"/>
      <c r="D235" s="1596" t="s">
        <v>963</v>
      </c>
      <c r="E235" s="1481"/>
      <c r="F235" s="1482"/>
      <c r="G235" s="1799"/>
      <c r="H235" s="1483"/>
      <c r="I235" s="1484"/>
      <c r="J235" s="1597"/>
      <c r="K235" s="1597"/>
      <c r="L235" s="1486">
        <f t="shared" si="0"/>
        <v>0</v>
      </c>
      <c r="M235" s="1487"/>
    </row>
    <row r="236" spans="1:251" s="1499" customFormat="1" ht="18" customHeight="1" x14ac:dyDescent="0.3">
      <c r="A236" s="730">
        <v>226</v>
      </c>
      <c r="B236" s="1489"/>
      <c r="C236" s="1598"/>
      <c r="D236" s="1599" t="s">
        <v>1151</v>
      </c>
      <c r="E236" s="1492"/>
      <c r="F236" s="1493"/>
      <c r="G236" s="1800"/>
      <c r="H236" s="1494"/>
      <c r="I236" s="1495"/>
      <c r="J236" s="1495">
        <f>SUM(J234:J235)</f>
        <v>6096</v>
      </c>
      <c r="K236" s="1495">
        <f>SUM(K234:K235)</f>
        <v>0</v>
      </c>
      <c r="L236" s="1497">
        <f t="shared" si="0"/>
        <v>6096</v>
      </c>
      <c r="M236" s="1498"/>
    </row>
    <row r="237" spans="1:251" ht="22.5" customHeight="1" x14ac:dyDescent="0.3">
      <c r="A237" s="730">
        <v>227</v>
      </c>
      <c r="B237" s="744"/>
      <c r="C237" s="745">
        <v>46</v>
      </c>
      <c r="D237" s="423" t="s">
        <v>774</v>
      </c>
      <c r="E237" s="746">
        <f>F237+G237+L241+M238</f>
        <v>300</v>
      </c>
      <c r="F237" s="747"/>
      <c r="G237" s="1798">
        <v>300</v>
      </c>
      <c r="H237" s="986" t="s">
        <v>24</v>
      </c>
      <c r="I237" s="958"/>
      <c r="J237" s="746"/>
      <c r="K237" s="746"/>
      <c r="L237" s="759"/>
      <c r="M237" s="748"/>
      <c r="N237" s="731"/>
      <c r="O237" s="731"/>
      <c r="P237" s="731"/>
      <c r="Q237" s="731"/>
      <c r="R237" s="731"/>
      <c r="S237" s="731"/>
      <c r="T237" s="731"/>
      <c r="U237" s="731"/>
      <c r="V237" s="731"/>
      <c r="W237" s="731"/>
      <c r="X237" s="731"/>
      <c r="Y237" s="731"/>
      <c r="Z237" s="731"/>
      <c r="AA237" s="731"/>
      <c r="AB237" s="731"/>
      <c r="AC237" s="731"/>
      <c r="AD237" s="731"/>
      <c r="AE237" s="731"/>
      <c r="AF237" s="731"/>
      <c r="AG237" s="731"/>
      <c r="AH237" s="731"/>
      <c r="AI237" s="731"/>
      <c r="AJ237" s="731"/>
      <c r="AK237" s="731"/>
      <c r="AL237" s="731"/>
      <c r="AM237" s="731"/>
      <c r="AN237" s="731"/>
      <c r="AO237" s="731"/>
      <c r="AP237" s="731"/>
      <c r="AQ237" s="731"/>
      <c r="AR237" s="731"/>
      <c r="AS237" s="731"/>
      <c r="AT237" s="731"/>
      <c r="AU237" s="731"/>
      <c r="AV237" s="731"/>
      <c r="AW237" s="731"/>
      <c r="AX237" s="731"/>
      <c r="AY237" s="731"/>
      <c r="AZ237" s="731"/>
      <c r="BA237" s="731"/>
      <c r="BB237" s="731"/>
      <c r="BC237" s="731"/>
      <c r="BD237" s="731"/>
      <c r="BE237" s="731"/>
      <c r="BF237" s="731"/>
      <c r="BG237" s="731"/>
      <c r="BH237" s="731"/>
      <c r="BI237" s="731"/>
      <c r="BJ237" s="731"/>
      <c r="BK237" s="731"/>
      <c r="BL237" s="731"/>
      <c r="BM237" s="731"/>
      <c r="BN237" s="731"/>
      <c r="BO237" s="731"/>
      <c r="BP237" s="731"/>
      <c r="BQ237" s="731"/>
      <c r="BR237" s="731"/>
      <c r="BS237" s="731"/>
      <c r="BT237" s="731"/>
      <c r="BU237" s="731"/>
      <c r="BV237" s="731"/>
      <c r="BW237" s="731"/>
      <c r="BX237" s="731"/>
      <c r="BY237" s="731"/>
      <c r="BZ237" s="731"/>
      <c r="CA237" s="731"/>
      <c r="CB237" s="731"/>
      <c r="CC237" s="731"/>
      <c r="CD237" s="731"/>
      <c r="CE237" s="731"/>
      <c r="CF237" s="731"/>
      <c r="CG237" s="731"/>
      <c r="CH237" s="731"/>
      <c r="CI237" s="731"/>
      <c r="CJ237" s="731"/>
      <c r="CK237" s="731"/>
      <c r="CL237" s="731"/>
      <c r="CM237" s="731"/>
      <c r="CN237" s="731"/>
      <c r="CO237" s="731"/>
      <c r="CP237" s="731"/>
      <c r="CQ237" s="731"/>
      <c r="CR237" s="731"/>
      <c r="CS237" s="731"/>
      <c r="CT237" s="731"/>
      <c r="CU237" s="731"/>
      <c r="CV237" s="731"/>
      <c r="CW237" s="731"/>
      <c r="CX237" s="731"/>
      <c r="CY237" s="731"/>
      <c r="CZ237" s="731"/>
      <c r="DA237" s="731"/>
      <c r="DB237" s="731"/>
      <c r="DC237" s="731"/>
      <c r="DD237" s="731"/>
      <c r="DE237" s="731"/>
      <c r="DF237" s="731"/>
      <c r="DG237" s="731"/>
      <c r="DH237" s="731"/>
      <c r="DI237" s="731"/>
      <c r="DJ237" s="731"/>
      <c r="DK237" s="731"/>
      <c r="DL237" s="731"/>
      <c r="DM237" s="731"/>
      <c r="DN237" s="731"/>
      <c r="DO237" s="731"/>
      <c r="DP237" s="731"/>
      <c r="DQ237" s="731"/>
      <c r="DR237" s="731"/>
      <c r="DS237" s="731"/>
      <c r="DT237" s="731"/>
      <c r="DU237" s="731"/>
      <c r="DV237" s="731"/>
      <c r="DW237" s="731"/>
      <c r="DX237" s="731"/>
      <c r="DY237" s="731"/>
      <c r="DZ237" s="731"/>
      <c r="EA237" s="731"/>
      <c r="EB237" s="731"/>
      <c r="EC237" s="731"/>
      <c r="ED237" s="731"/>
      <c r="EE237" s="731"/>
      <c r="EF237" s="731"/>
      <c r="EG237" s="731"/>
      <c r="EH237" s="731"/>
      <c r="EI237" s="731"/>
      <c r="EJ237" s="731"/>
      <c r="EK237" s="731"/>
      <c r="EL237" s="731"/>
      <c r="EM237" s="731"/>
      <c r="EN237" s="731"/>
      <c r="EO237" s="731"/>
      <c r="EP237" s="731"/>
      <c r="EQ237" s="731"/>
      <c r="ER237" s="731"/>
      <c r="ES237" s="731"/>
      <c r="ET237" s="731"/>
      <c r="EU237" s="731"/>
      <c r="EV237" s="731"/>
      <c r="EW237" s="731"/>
      <c r="EX237" s="731"/>
      <c r="EY237" s="731"/>
      <c r="EZ237" s="731"/>
      <c r="FA237" s="731"/>
      <c r="FB237" s="731"/>
      <c r="FC237" s="731"/>
      <c r="FD237" s="731"/>
      <c r="FE237" s="731"/>
      <c r="FF237" s="731"/>
      <c r="FG237" s="731"/>
      <c r="FH237" s="731"/>
      <c r="FI237" s="731"/>
      <c r="FJ237" s="731"/>
      <c r="FK237" s="731"/>
      <c r="FL237" s="731"/>
      <c r="FM237" s="731"/>
      <c r="FN237" s="731"/>
      <c r="FO237" s="731"/>
      <c r="FP237" s="731"/>
      <c r="FQ237" s="731"/>
      <c r="FR237" s="731"/>
      <c r="FS237" s="731"/>
      <c r="FT237" s="731"/>
      <c r="FU237" s="731"/>
      <c r="FV237" s="731"/>
      <c r="FW237" s="731"/>
      <c r="FX237" s="731"/>
      <c r="FY237" s="731"/>
      <c r="FZ237" s="731"/>
      <c r="GA237" s="731"/>
      <c r="GB237" s="731"/>
      <c r="GC237" s="731"/>
      <c r="GD237" s="731"/>
      <c r="GE237" s="731"/>
      <c r="GF237" s="731"/>
      <c r="GG237" s="731"/>
      <c r="GH237" s="731"/>
      <c r="GI237" s="731"/>
      <c r="GJ237" s="731"/>
      <c r="GK237" s="731"/>
      <c r="GL237" s="731"/>
      <c r="GM237" s="731"/>
      <c r="GN237" s="731"/>
      <c r="GO237" s="731"/>
      <c r="GP237" s="731"/>
      <c r="GQ237" s="731"/>
      <c r="GR237" s="731"/>
      <c r="GS237" s="731"/>
      <c r="GT237" s="731"/>
      <c r="GU237" s="731"/>
      <c r="GV237" s="731"/>
      <c r="GW237" s="731"/>
      <c r="GX237" s="731"/>
      <c r="GY237" s="731"/>
      <c r="GZ237" s="731"/>
      <c r="HA237" s="731"/>
      <c r="HB237" s="731"/>
      <c r="HC237" s="731"/>
      <c r="HD237" s="731"/>
      <c r="HE237" s="731"/>
      <c r="HF237" s="731"/>
      <c r="HG237" s="731"/>
      <c r="HH237" s="731"/>
      <c r="HI237" s="731"/>
      <c r="HJ237" s="731"/>
      <c r="HK237" s="731"/>
      <c r="HL237" s="731"/>
      <c r="HM237" s="731"/>
      <c r="HN237" s="731"/>
      <c r="HO237" s="731"/>
      <c r="HP237" s="731"/>
      <c r="HQ237" s="731"/>
      <c r="HR237" s="731"/>
      <c r="HS237" s="731"/>
      <c r="HT237" s="731"/>
      <c r="HU237" s="731"/>
      <c r="HV237" s="731"/>
      <c r="HW237" s="731"/>
      <c r="HX237" s="731"/>
      <c r="HY237" s="731"/>
      <c r="HZ237" s="731"/>
      <c r="IA237" s="731"/>
      <c r="IB237" s="731"/>
      <c r="IC237" s="731"/>
      <c r="ID237" s="731"/>
      <c r="IE237" s="731"/>
      <c r="IF237" s="731"/>
      <c r="IG237" s="731"/>
      <c r="IH237" s="731"/>
      <c r="II237" s="731"/>
      <c r="IJ237" s="731"/>
      <c r="IK237" s="731"/>
      <c r="IL237" s="731"/>
      <c r="IM237" s="731"/>
      <c r="IN237" s="731"/>
      <c r="IO237" s="731"/>
      <c r="IP237" s="731"/>
      <c r="IQ237" s="731"/>
    </row>
    <row r="238" spans="1:251" s="1477" customFormat="1" ht="18" customHeight="1" x14ac:dyDescent="0.3">
      <c r="A238" s="783">
        <v>228</v>
      </c>
      <c r="B238" s="1467"/>
      <c r="C238" s="1592"/>
      <c r="D238" s="1593" t="s">
        <v>311</v>
      </c>
      <c r="E238" s="1470"/>
      <c r="F238" s="1471"/>
      <c r="G238" s="1801"/>
      <c r="H238" s="1472"/>
      <c r="I238" s="1473"/>
      <c r="J238" s="1594">
        <v>450</v>
      </c>
      <c r="K238" s="1594"/>
      <c r="L238" s="1475">
        <f t="shared" ref="L238:L241" si="74">SUM(I238:K238)</f>
        <v>450</v>
      </c>
      <c r="M238" s="1476"/>
    </row>
    <row r="239" spans="1:251" s="1477" customFormat="1" ht="18" customHeight="1" x14ac:dyDescent="0.3">
      <c r="A239" s="730">
        <v>229</v>
      </c>
      <c r="B239" s="1467"/>
      <c r="C239" s="1592"/>
      <c r="D239" s="1599" t="s">
        <v>1072</v>
      </c>
      <c r="E239" s="1470"/>
      <c r="F239" s="1471"/>
      <c r="G239" s="1801"/>
      <c r="H239" s="1472"/>
      <c r="I239" s="1473"/>
      <c r="J239" s="1771">
        <v>0</v>
      </c>
      <c r="K239" s="1594"/>
      <c r="L239" s="1497">
        <f t="shared" ref="L239" si="75">SUM(I239:K239)</f>
        <v>0</v>
      </c>
      <c r="M239" s="1476"/>
    </row>
    <row r="240" spans="1:251" s="1488" customFormat="1" ht="18" customHeight="1" x14ac:dyDescent="0.3">
      <c r="A240" s="730">
        <v>230</v>
      </c>
      <c r="B240" s="1478"/>
      <c r="C240" s="1595"/>
      <c r="D240" s="1596" t="s">
        <v>986</v>
      </c>
      <c r="E240" s="1481"/>
      <c r="F240" s="1482"/>
      <c r="G240" s="1799"/>
      <c r="H240" s="1483"/>
      <c r="I240" s="1484"/>
      <c r="J240" s="1597"/>
      <c r="K240" s="1597"/>
      <c r="L240" s="1486">
        <f t="shared" si="74"/>
        <v>0</v>
      </c>
      <c r="M240" s="1487"/>
    </row>
    <row r="241" spans="1:251" s="1499" customFormat="1" ht="18" customHeight="1" x14ac:dyDescent="0.3">
      <c r="A241" s="783">
        <v>231</v>
      </c>
      <c r="B241" s="1489"/>
      <c r="C241" s="1598"/>
      <c r="D241" s="1599" t="s">
        <v>1151</v>
      </c>
      <c r="E241" s="1492"/>
      <c r="F241" s="1493"/>
      <c r="G241" s="1800"/>
      <c r="H241" s="1494"/>
      <c r="I241" s="1495"/>
      <c r="J241" s="1495">
        <f>SUM(J239:J240)</f>
        <v>0</v>
      </c>
      <c r="K241" s="1495">
        <f>SUM(K239:K240)</f>
        <v>0</v>
      </c>
      <c r="L241" s="1497">
        <f t="shared" si="74"/>
        <v>0</v>
      </c>
      <c r="M241" s="1498"/>
    </row>
    <row r="242" spans="1:251" ht="22.5" customHeight="1" x14ac:dyDescent="0.3">
      <c r="A242" s="730">
        <v>232</v>
      </c>
      <c r="B242" s="744"/>
      <c r="C242" s="745">
        <v>47</v>
      </c>
      <c r="D242" s="423" t="s">
        <v>775</v>
      </c>
      <c r="E242" s="746">
        <f>F242+G242+L246+M243</f>
        <v>30075</v>
      </c>
      <c r="F242" s="747"/>
      <c r="G242" s="1798"/>
      <c r="H242" s="986" t="s">
        <v>24</v>
      </c>
      <c r="I242" s="958"/>
      <c r="J242" s="746"/>
      <c r="K242" s="746"/>
      <c r="L242" s="759"/>
      <c r="M242" s="748"/>
      <c r="N242" s="731"/>
      <c r="O242" s="731"/>
      <c r="P242" s="731"/>
      <c r="Q242" s="731"/>
      <c r="R242" s="731"/>
      <c r="S242" s="731"/>
      <c r="T242" s="731"/>
      <c r="U242" s="731"/>
      <c r="V242" s="731"/>
      <c r="W242" s="731"/>
      <c r="X242" s="731"/>
      <c r="Y242" s="731"/>
      <c r="Z242" s="731"/>
      <c r="AA242" s="731"/>
      <c r="AB242" s="731"/>
      <c r="AC242" s="731"/>
      <c r="AD242" s="731"/>
      <c r="AE242" s="731"/>
      <c r="AF242" s="731"/>
      <c r="AG242" s="731"/>
      <c r="AH242" s="731"/>
      <c r="AI242" s="731"/>
      <c r="AJ242" s="731"/>
      <c r="AK242" s="731"/>
      <c r="AL242" s="731"/>
      <c r="AM242" s="731"/>
      <c r="AN242" s="731"/>
      <c r="AO242" s="731"/>
      <c r="AP242" s="731"/>
      <c r="AQ242" s="731"/>
      <c r="AR242" s="731"/>
      <c r="AS242" s="731"/>
      <c r="AT242" s="731"/>
      <c r="AU242" s="731"/>
      <c r="AV242" s="731"/>
      <c r="AW242" s="731"/>
      <c r="AX242" s="731"/>
      <c r="AY242" s="731"/>
      <c r="AZ242" s="731"/>
      <c r="BA242" s="731"/>
      <c r="BB242" s="731"/>
      <c r="BC242" s="731"/>
      <c r="BD242" s="731"/>
      <c r="BE242" s="731"/>
      <c r="BF242" s="731"/>
      <c r="BG242" s="731"/>
      <c r="BH242" s="731"/>
      <c r="BI242" s="731"/>
      <c r="BJ242" s="731"/>
      <c r="BK242" s="731"/>
      <c r="BL242" s="731"/>
      <c r="BM242" s="731"/>
      <c r="BN242" s="731"/>
      <c r="BO242" s="731"/>
      <c r="BP242" s="731"/>
      <c r="BQ242" s="731"/>
      <c r="BR242" s="731"/>
      <c r="BS242" s="731"/>
      <c r="BT242" s="731"/>
      <c r="BU242" s="731"/>
      <c r="BV242" s="731"/>
      <c r="BW242" s="731"/>
      <c r="BX242" s="731"/>
      <c r="BY242" s="731"/>
      <c r="BZ242" s="731"/>
      <c r="CA242" s="731"/>
      <c r="CB242" s="731"/>
      <c r="CC242" s="731"/>
      <c r="CD242" s="731"/>
      <c r="CE242" s="731"/>
      <c r="CF242" s="731"/>
      <c r="CG242" s="731"/>
      <c r="CH242" s="731"/>
      <c r="CI242" s="731"/>
      <c r="CJ242" s="731"/>
      <c r="CK242" s="731"/>
      <c r="CL242" s="731"/>
      <c r="CM242" s="731"/>
      <c r="CN242" s="731"/>
      <c r="CO242" s="731"/>
      <c r="CP242" s="731"/>
      <c r="CQ242" s="731"/>
      <c r="CR242" s="731"/>
      <c r="CS242" s="731"/>
      <c r="CT242" s="731"/>
      <c r="CU242" s="731"/>
      <c r="CV242" s="731"/>
      <c r="CW242" s="731"/>
      <c r="CX242" s="731"/>
      <c r="CY242" s="731"/>
      <c r="CZ242" s="731"/>
      <c r="DA242" s="731"/>
      <c r="DB242" s="731"/>
      <c r="DC242" s="731"/>
      <c r="DD242" s="731"/>
      <c r="DE242" s="731"/>
      <c r="DF242" s="731"/>
      <c r="DG242" s="731"/>
      <c r="DH242" s="731"/>
      <c r="DI242" s="731"/>
      <c r="DJ242" s="731"/>
      <c r="DK242" s="731"/>
      <c r="DL242" s="731"/>
      <c r="DM242" s="731"/>
      <c r="DN242" s="731"/>
      <c r="DO242" s="731"/>
      <c r="DP242" s="731"/>
      <c r="DQ242" s="731"/>
      <c r="DR242" s="731"/>
      <c r="DS242" s="731"/>
      <c r="DT242" s="731"/>
      <c r="DU242" s="731"/>
      <c r="DV242" s="731"/>
      <c r="DW242" s="731"/>
      <c r="DX242" s="731"/>
      <c r="DY242" s="731"/>
      <c r="DZ242" s="731"/>
      <c r="EA242" s="731"/>
      <c r="EB242" s="731"/>
      <c r="EC242" s="731"/>
      <c r="ED242" s="731"/>
      <c r="EE242" s="731"/>
      <c r="EF242" s="731"/>
      <c r="EG242" s="731"/>
      <c r="EH242" s="731"/>
      <c r="EI242" s="731"/>
      <c r="EJ242" s="731"/>
      <c r="EK242" s="731"/>
      <c r="EL242" s="731"/>
      <c r="EM242" s="731"/>
      <c r="EN242" s="731"/>
      <c r="EO242" s="731"/>
      <c r="EP242" s="731"/>
      <c r="EQ242" s="731"/>
      <c r="ER242" s="731"/>
      <c r="ES242" s="731"/>
      <c r="ET242" s="731"/>
      <c r="EU242" s="731"/>
      <c r="EV242" s="731"/>
      <c r="EW242" s="731"/>
      <c r="EX242" s="731"/>
      <c r="EY242" s="731"/>
      <c r="EZ242" s="731"/>
      <c r="FA242" s="731"/>
      <c r="FB242" s="731"/>
      <c r="FC242" s="731"/>
      <c r="FD242" s="731"/>
      <c r="FE242" s="731"/>
      <c r="FF242" s="731"/>
      <c r="FG242" s="731"/>
      <c r="FH242" s="731"/>
      <c r="FI242" s="731"/>
      <c r="FJ242" s="731"/>
      <c r="FK242" s="731"/>
      <c r="FL242" s="731"/>
      <c r="FM242" s="731"/>
      <c r="FN242" s="731"/>
      <c r="FO242" s="731"/>
      <c r="FP242" s="731"/>
      <c r="FQ242" s="731"/>
      <c r="FR242" s="731"/>
      <c r="FS242" s="731"/>
      <c r="FT242" s="731"/>
      <c r="FU242" s="731"/>
      <c r="FV242" s="731"/>
      <c r="FW242" s="731"/>
      <c r="FX242" s="731"/>
      <c r="FY242" s="731"/>
      <c r="FZ242" s="731"/>
      <c r="GA242" s="731"/>
      <c r="GB242" s="731"/>
      <c r="GC242" s="731"/>
      <c r="GD242" s="731"/>
      <c r="GE242" s="731"/>
      <c r="GF242" s="731"/>
      <c r="GG242" s="731"/>
      <c r="GH242" s="731"/>
      <c r="GI242" s="731"/>
      <c r="GJ242" s="731"/>
      <c r="GK242" s="731"/>
      <c r="GL242" s="731"/>
      <c r="GM242" s="731"/>
      <c r="GN242" s="731"/>
      <c r="GO242" s="731"/>
      <c r="GP242" s="731"/>
      <c r="GQ242" s="731"/>
      <c r="GR242" s="731"/>
      <c r="GS242" s="731"/>
      <c r="GT242" s="731"/>
      <c r="GU242" s="731"/>
      <c r="GV242" s="731"/>
      <c r="GW242" s="731"/>
      <c r="GX242" s="731"/>
      <c r="GY242" s="731"/>
      <c r="GZ242" s="731"/>
      <c r="HA242" s="731"/>
      <c r="HB242" s="731"/>
      <c r="HC242" s="731"/>
      <c r="HD242" s="731"/>
      <c r="HE242" s="731"/>
      <c r="HF242" s="731"/>
      <c r="HG242" s="731"/>
      <c r="HH242" s="731"/>
      <c r="HI242" s="731"/>
      <c r="HJ242" s="731"/>
      <c r="HK242" s="731"/>
      <c r="HL242" s="731"/>
      <c r="HM242" s="731"/>
      <c r="HN242" s="731"/>
      <c r="HO242" s="731"/>
      <c r="HP242" s="731"/>
      <c r="HQ242" s="731"/>
      <c r="HR242" s="731"/>
      <c r="HS242" s="731"/>
      <c r="HT242" s="731"/>
      <c r="HU242" s="731"/>
      <c r="HV242" s="731"/>
      <c r="HW242" s="731"/>
      <c r="HX242" s="731"/>
      <c r="HY242" s="731"/>
      <c r="HZ242" s="731"/>
      <c r="IA242" s="731"/>
      <c r="IB242" s="731"/>
      <c r="IC242" s="731"/>
      <c r="ID242" s="731"/>
      <c r="IE242" s="731"/>
      <c r="IF242" s="731"/>
      <c r="IG242" s="731"/>
      <c r="IH242" s="731"/>
      <c r="II242" s="731"/>
      <c r="IJ242" s="731"/>
      <c r="IK242" s="731"/>
      <c r="IL242" s="731"/>
      <c r="IM242" s="731"/>
      <c r="IN242" s="731"/>
      <c r="IO242" s="731"/>
      <c r="IP242" s="731"/>
      <c r="IQ242" s="731"/>
    </row>
    <row r="243" spans="1:251" s="1477" customFormat="1" ht="18" customHeight="1" x14ac:dyDescent="0.3">
      <c r="A243" s="730">
        <v>233</v>
      </c>
      <c r="B243" s="1467"/>
      <c r="C243" s="1592"/>
      <c r="D243" s="1593" t="s">
        <v>311</v>
      </c>
      <c r="E243" s="1470"/>
      <c r="F243" s="1471"/>
      <c r="G243" s="1801"/>
      <c r="H243" s="1472"/>
      <c r="I243" s="1473"/>
      <c r="J243" s="1594">
        <v>30075</v>
      </c>
      <c r="K243" s="1594"/>
      <c r="L243" s="1475">
        <f t="shared" si="0"/>
        <v>30075</v>
      </c>
      <c r="M243" s="1476"/>
    </row>
    <row r="244" spans="1:251" s="1477" customFormat="1" ht="18" customHeight="1" x14ac:dyDescent="0.3">
      <c r="A244" s="783">
        <v>234</v>
      </c>
      <c r="B244" s="1467"/>
      <c r="C244" s="1592"/>
      <c r="D244" s="1599" t="s">
        <v>1072</v>
      </c>
      <c r="E244" s="1470"/>
      <c r="F244" s="1471"/>
      <c r="G244" s="1801"/>
      <c r="H244" s="1472"/>
      <c r="I244" s="1473"/>
      <c r="J244" s="1771">
        <v>30075</v>
      </c>
      <c r="K244" s="1594"/>
      <c r="L244" s="1497">
        <f t="shared" ref="L244" si="76">SUM(I244:K244)</f>
        <v>30075</v>
      </c>
      <c r="M244" s="1476"/>
    </row>
    <row r="245" spans="1:251" s="1488" customFormat="1" ht="18" customHeight="1" x14ac:dyDescent="0.3">
      <c r="A245" s="730">
        <v>235</v>
      </c>
      <c r="B245" s="1478"/>
      <c r="C245" s="1595"/>
      <c r="D245" s="1596" t="s">
        <v>963</v>
      </c>
      <c r="E245" s="1481"/>
      <c r="F245" s="1482"/>
      <c r="G245" s="1799"/>
      <c r="H245" s="1483"/>
      <c r="I245" s="1484"/>
      <c r="J245" s="1597"/>
      <c r="K245" s="1597"/>
      <c r="L245" s="1486">
        <f t="shared" si="0"/>
        <v>0</v>
      </c>
      <c r="M245" s="1487"/>
    </row>
    <row r="246" spans="1:251" s="1499" customFormat="1" ht="18" customHeight="1" x14ac:dyDescent="0.3">
      <c r="A246" s="730">
        <v>236</v>
      </c>
      <c r="B246" s="1489"/>
      <c r="C246" s="1598"/>
      <c r="D246" s="1599" t="s">
        <v>1151</v>
      </c>
      <c r="E246" s="1492"/>
      <c r="F246" s="1493"/>
      <c r="G246" s="1800"/>
      <c r="H246" s="1494"/>
      <c r="I246" s="1495"/>
      <c r="J246" s="1495">
        <f>SUM(J244:J245)</f>
        <v>30075</v>
      </c>
      <c r="K246" s="1495">
        <f>SUM(K244:K245)</f>
        <v>0</v>
      </c>
      <c r="L246" s="1497">
        <f t="shared" si="0"/>
        <v>30075</v>
      </c>
      <c r="M246" s="1498"/>
    </row>
    <row r="247" spans="1:251" ht="22.5" customHeight="1" x14ac:dyDescent="0.3">
      <c r="A247" s="783">
        <v>237</v>
      </c>
      <c r="B247" s="744"/>
      <c r="C247" s="745">
        <v>48</v>
      </c>
      <c r="D247" s="1047" t="s">
        <v>776</v>
      </c>
      <c r="E247" s="746">
        <f>F247+G247+L251+M248</f>
        <v>7228</v>
      </c>
      <c r="F247" s="747"/>
      <c r="G247" s="1798">
        <v>449</v>
      </c>
      <c r="H247" s="986" t="s">
        <v>24</v>
      </c>
      <c r="I247" s="958"/>
      <c r="J247" s="746"/>
      <c r="K247" s="746"/>
      <c r="L247" s="759"/>
      <c r="M247" s="748"/>
      <c r="N247" s="731"/>
      <c r="O247" s="731"/>
      <c r="P247" s="731"/>
      <c r="Q247" s="731"/>
      <c r="R247" s="731"/>
      <c r="S247" s="731"/>
      <c r="T247" s="731"/>
      <c r="U247" s="731"/>
      <c r="V247" s="731"/>
      <c r="W247" s="731"/>
      <c r="X247" s="731"/>
      <c r="Y247" s="731"/>
      <c r="Z247" s="731"/>
      <c r="AA247" s="731"/>
      <c r="AB247" s="731"/>
      <c r="AC247" s="731"/>
      <c r="AD247" s="731"/>
      <c r="AE247" s="731"/>
      <c r="AF247" s="731"/>
      <c r="AG247" s="731"/>
      <c r="AH247" s="731"/>
      <c r="AI247" s="731"/>
      <c r="AJ247" s="731"/>
      <c r="AK247" s="731"/>
      <c r="AL247" s="731"/>
      <c r="AM247" s="731"/>
      <c r="AN247" s="731"/>
      <c r="AO247" s="731"/>
      <c r="AP247" s="731"/>
      <c r="AQ247" s="731"/>
      <c r="AR247" s="731"/>
      <c r="AS247" s="731"/>
      <c r="AT247" s="731"/>
      <c r="AU247" s="731"/>
      <c r="AV247" s="731"/>
      <c r="AW247" s="731"/>
      <c r="AX247" s="731"/>
      <c r="AY247" s="731"/>
      <c r="AZ247" s="731"/>
      <c r="BA247" s="731"/>
      <c r="BB247" s="731"/>
      <c r="BC247" s="731"/>
      <c r="BD247" s="731"/>
      <c r="BE247" s="731"/>
      <c r="BF247" s="731"/>
      <c r="BG247" s="731"/>
      <c r="BH247" s="731"/>
      <c r="BI247" s="731"/>
      <c r="BJ247" s="731"/>
      <c r="BK247" s="731"/>
      <c r="BL247" s="731"/>
      <c r="BM247" s="731"/>
      <c r="BN247" s="731"/>
      <c r="BO247" s="731"/>
      <c r="BP247" s="731"/>
      <c r="BQ247" s="731"/>
      <c r="BR247" s="731"/>
      <c r="BS247" s="731"/>
      <c r="BT247" s="731"/>
      <c r="BU247" s="731"/>
      <c r="BV247" s="731"/>
      <c r="BW247" s="731"/>
      <c r="BX247" s="731"/>
      <c r="BY247" s="731"/>
      <c r="BZ247" s="731"/>
      <c r="CA247" s="731"/>
      <c r="CB247" s="731"/>
      <c r="CC247" s="731"/>
      <c r="CD247" s="731"/>
      <c r="CE247" s="731"/>
      <c r="CF247" s="731"/>
      <c r="CG247" s="731"/>
      <c r="CH247" s="731"/>
      <c r="CI247" s="731"/>
      <c r="CJ247" s="731"/>
      <c r="CK247" s="731"/>
      <c r="CL247" s="731"/>
      <c r="CM247" s="731"/>
      <c r="CN247" s="731"/>
      <c r="CO247" s="731"/>
      <c r="CP247" s="731"/>
      <c r="CQ247" s="731"/>
      <c r="CR247" s="731"/>
      <c r="CS247" s="731"/>
      <c r="CT247" s="731"/>
      <c r="CU247" s="731"/>
      <c r="CV247" s="731"/>
      <c r="CW247" s="731"/>
      <c r="CX247" s="731"/>
      <c r="CY247" s="731"/>
      <c r="CZ247" s="731"/>
      <c r="DA247" s="731"/>
      <c r="DB247" s="731"/>
      <c r="DC247" s="731"/>
      <c r="DD247" s="731"/>
      <c r="DE247" s="731"/>
      <c r="DF247" s="731"/>
      <c r="DG247" s="731"/>
      <c r="DH247" s="731"/>
      <c r="DI247" s="731"/>
      <c r="DJ247" s="731"/>
      <c r="DK247" s="731"/>
      <c r="DL247" s="731"/>
      <c r="DM247" s="731"/>
      <c r="DN247" s="731"/>
      <c r="DO247" s="731"/>
      <c r="DP247" s="731"/>
      <c r="DQ247" s="731"/>
      <c r="DR247" s="731"/>
      <c r="DS247" s="731"/>
      <c r="DT247" s="731"/>
      <c r="DU247" s="731"/>
      <c r="DV247" s="731"/>
      <c r="DW247" s="731"/>
      <c r="DX247" s="731"/>
      <c r="DY247" s="731"/>
      <c r="DZ247" s="731"/>
      <c r="EA247" s="731"/>
      <c r="EB247" s="731"/>
      <c r="EC247" s="731"/>
      <c r="ED247" s="731"/>
      <c r="EE247" s="731"/>
      <c r="EF247" s="731"/>
      <c r="EG247" s="731"/>
      <c r="EH247" s="731"/>
      <c r="EI247" s="731"/>
      <c r="EJ247" s="731"/>
      <c r="EK247" s="731"/>
      <c r="EL247" s="731"/>
      <c r="EM247" s="731"/>
      <c r="EN247" s="731"/>
      <c r="EO247" s="731"/>
      <c r="EP247" s="731"/>
      <c r="EQ247" s="731"/>
      <c r="ER247" s="731"/>
      <c r="ES247" s="731"/>
      <c r="ET247" s="731"/>
      <c r="EU247" s="731"/>
      <c r="EV247" s="731"/>
      <c r="EW247" s="731"/>
      <c r="EX247" s="731"/>
      <c r="EY247" s="731"/>
      <c r="EZ247" s="731"/>
      <c r="FA247" s="731"/>
      <c r="FB247" s="731"/>
      <c r="FC247" s="731"/>
      <c r="FD247" s="731"/>
      <c r="FE247" s="731"/>
      <c r="FF247" s="731"/>
      <c r="FG247" s="731"/>
      <c r="FH247" s="731"/>
      <c r="FI247" s="731"/>
      <c r="FJ247" s="731"/>
      <c r="FK247" s="731"/>
      <c r="FL247" s="731"/>
      <c r="FM247" s="731"/>
      <c r="FN247" s="731"/>
      <c r="FO247" s="731"/>
      <c r="FP247" s="731"/>
      <c r="FQ247" s="731"/>
      <c r="FR247" s="731"/>
      <c r="FS247" s="731"/>
      <c r="FT247" s="731"/>
      <c r="FU247" s="731"/>
      <c r="FV247" s="731"/>
      <c r="FW247" s="731"/>
      <c r="FX247" s="731"/>
      <c r="FY247" s="731"/>
      <c r="FZ247" s="731"/>
      <c r="GA247" s="731"/>
      <c r="GB247" s="731"/>
      <c r="GC247" s="731"/>
      <c r="GD247" s="731"/>
      <c r="GE247" s="731"/>
      <c r="GF247" s="731"/>
      <c r="GG247" s="731"/>
      <c r="GH247" s="731"/>
      <c r="GI247" s="731"/>
      <c r="GJ247" s="731"/>
      <c r="GK247" s="731"/>
      <c r="GL247" s="731"/>
      <c r="GM247" s="731"/>
      <c r="GN247" s="731"/>
      <c r="GO247" s="731"/>
      <c r="GP247" s="731"/>
      <c r="GQ247" s="731"/>
      <c r="GR247" s="731"/>
      <c r="GS247" s="731"/>
      <c r="GT247" s="731"/>
      <c r="GU247" s="731"/>
      <c r="GV247" s="731"/>
      <c r="GW247" s="731"/>
      <c r="GX247" s="731"/>
      <c r="GY247" s="731"/>
      <c r="GZ247" s="731"/>
      <c r="HA247" s="731"/>
      <c r="HB247" s="731"/>
      <c r="HC247" s="731"/>
      <c r="HD247" s="731"/>
      <c r="HE247" s="731"/>
      <c r="HF247" s="731"/>
      <c r="HG247" s="731"/>
      <c r="HH247" s="731"/>
      <c r="HI247" s="731"/>
      <c r="HJ247" s="731"/>
      <c r="HK247" s="731"/>
      <c r="HL247" s="731"/>
      <c r="HM247" s="731"/>
      <c r="HN247" s="731"/>
      <c r="HO247" s="731"/>
      <c r="HP247" s="731"/>
      <c r="HQ247" s="731"/>
      <c r="HR247" s="731"/>
      <c r="HS247" s="731"/>
      <c r="HT247" s="731"/>
      <c r="HU247" s="731"/>
      <c r="HV247" s="731"/>
      <c r="HW247" s="731"/>
      <c r="HX247" s="731"/>
      <c r="HY247" s="731"/>
      <c r="HZ247" s="731"/>
      <c r="IA247" s="731"/>
      <c r="IB247" s="731"/>
      <c r="IC247" s="731"/>
      <c r="ID247" s="731"/>
      <c r="IE247" s="731"/>
      <c r="IF247" s="731"/>
      <c r="IG247" s="731"/>
      <c r="IH247" s="731"/>
      <c r="II247" s="731"/>
      <c r="IJ247" s="731"/>
      <c r="IK247" s="731"/>
      <c r="IL247" s="731"/>
      <c r="IM247" s="731"/>
      <c r="IN247" s="731"/>
      <c r="IO247" s="731"/>
      <c r="IP247" s="731"/>
      <c r="IQ247" s="731"/>
    </row>
    <row r="248" spans="1:251" s="1477" customFormat="1" ht="18" customHeight="1" x14ac:dyDescent="0.3">
      <c r="A248" s="730">
        <v>238</v>
      </c>
      <c r="B248" s="1467"/>
      <c r="C248" s="1592"/>
      <c r="D248" s="1593" t="s">
        <v>311</v>
      </c>
      <c r="E248" s="1470"/>
      <c r="F248" s="1471"/>
      <c r="G248" s="1801"/>
      <c r="H248" s="1472"/>
      <c r="I248" s="1473"/>
      <c r="J248" s="1594">
        <v>7051</v>
      </c>
      <c r="K248" s="1594"/>
      <c r="L248" s="1475">
        <f t="shared" ref="L248:L251" si="77">SUM(I248:K248)</f>
        <v>7051</v>
      </c>
      <c r="M248" s="1476"/>
    </row>
    <row r="249" spans="1:251" s="1477" customFormat="1" ht="18" customHeight="1" x14ac:dyDescent="0.3">
      <c r="A249" s="730">
        <v>239</v>
      </c>
      <c r="B249" s="1467"/>
      <c r="C249" s="1592"/>
      <c r="D249" s="1599" t="s">
        <v>1072</v>
      </c>
      <c r="E249" s="1470"/>
      <c r="F249" s="1471"/>
      <c r="G249" s="1801"/>
      <c r="H249" s="1472"/>
      <c r="I249" s="1473"/>
      <c r="J249" s="1771">
        <v>6779</v>
      </c>
      <c r="K249" s="1594"/>
      <c r="L249" s="1497">
        <f t="shared" ref="L249" si="78">SUM(I249:K249)</f>
        <v>6779</v>
      </c>
      <c r="M249" s="1476"/>
    </row>
    <row r="250" spans="1:251" s="1488" customFormat="1" ht="18" customHeight="1" x14ac:dyDescent="0.3">
      <c r="A250" s="783">
        <v>240</v>
      </c>
      <c r="B250" s="1478"/>
      <c r="C250" s="1595"/>
      <c r="D250" s="1596" t="s">
        <v>986</v>
      </c>
      <c r="E250" s="1481"/>
      <c r="F250" s="1482"/>
      <c r="G250" s="1799"/>
      <c r="H250" s="1483"/>
      <c r="I250" s="1484"/>
      <c r="J250" s="1597"/>
      <c r="K250" s="1597"/>
      <c r="L250" s="1486">
        <f t="shared" si="77"/>
        <v>0</v>
      </c>
      <c r="M250" s="1487"/>
    </row>
    <row r="251" spans="1:251" s="1499" customFormat="1" ht="18" customHeight="1" x14ac:dyDescent="0.3">
      <c r="A251" s="730">
        <v>241</v>
      </c>
      <c r="B251" s="1489"/>
      <c r="C251" s="1598"/>
      <c r="D251" s="1599" t="s">
        <v>1151</v>
      </c>
      <c r="E251" s="1492"/>
      <c r="F251" s="1493"/>
      <c r="G251" s="1800"/>
      <c r="H251" s="1494"/>
      <c r="I251" s="1495"/>
      <c r="J251" s="1495">
        <f>SUM(J249:J250)</f>
        <v>6779</v>
      </c>
      <c r="K251" s="1495">
        <f>SUM(K249:K250)</f>
        <v>0</v>
      </c>
      <c r="L251" s="1497">
        <f t="shared" si="77"/>
        <v>6779</v>
      </c>
      <c r="M251" s="1498"/>
    </row>
    <row r="252" spans="1:251" ht="22.5" customHeight="1" x14ac:dyDescent="0.3">
      <c r="A252" s="730">
        <v>242</v>
      </c>
      <c r="B252" s="744"/>
      <c r="C252" s="745">
        <v>49</v>
      </c>
      <c r="D252" s="423" t="s">
        <v>800</v>
      </c>
      <c r="E252" s="746">
        <f>F252+G252+L256+M253</f>
        <v>0</v>
      </c>
      <c r="F252" s="747"/>
      <c r="G252" s="1798"/>
      <c r="H252" s="986" t="s">
        <v>24</v>
      </c>
      <c r="I252" s="958"/>
      <c r="J252" s="746"/>
      <c r="K252" s="746"/>
      <c r="L252" s="759"/>
      <c r="M252" s="748"/>
      <c r="N252" s="731"/>
      <c r="O252" s="731"/>
      <c r="P252" s="731"/>
      <c r="Q252" s="731"/>
    </row>
    <row r="253" spans="1:251" s="1477" customFormat="1" ht="18" customHeight="1" x14ac:dyDescent="0.3">
      <c r="A253" s="783">
        <v>243</v>
      </c>
      <c r="B253" s="1467"/>
      <c r="C253" s="1592"/>
      <c r="D253" s="1593" t="s">
        <v>311</v>
      </c>
      <c r="E253" s="1470"/>
      <c r="F253" s="1471"/>
      <c r="G253" s="1801"/>
      <c r="H253" s="1472"/>
      <c r="I253" s="1473"/>
      <c r="J253" s="1594"/>
      <c r="K253" s="1594">
        <v>24000</v>
      </c>
      <c r="L253" s="1475">
        <f t="shared" ref="L253:L256" si="79">SUM(I253:K253)</f>
        <v>24000</v>
      </c>
      <c r="M253" s="1476"/>
    </row>
    <row r="254" spans="1:251" s="1477" customFormat="1" ht="18" customHeight="1" x14ac:dyDescent="0.3">
      <c r="A254" s="730">
        <v>244</v>
      </c>
      <c r="B254" s="1467"/>
      <c r="C254" s="1592"/>
      <c r="D254" s="1599" t="s">
        <v>1072</v>
      </c>
      <c r="E254" s="1470"/>
      <c r="F254" s="1471"/>
      <c r="G254" s="1801"/>
      <c r="H254" s="1472"/>
      <c r="I254" s="1473"/>
      <c r="J254" s="1594"/>
      <c r="K254" s="1771">
        <v>0</v>
      </c>
      <c r="L254" s="1497">
        <f t="shared" ref="L254" si="80">SUM(I254:K254)</f>
        <v>0</v>
      </c>
      <c r="M254" s="1476"/>
    </row>
    <row r="255" spans="1:251" s="1488" customFormat="1" ht="18" customHeight="1" x14ac:dyDescent="0.3">
      <c r="A255" s="730">
        <v>245</v>
      </c>
      <c r="B255" s="1478"/>
      <c r="C255" s="1595"/>
      <c r="D255" s="1596" t="s">
        <v>986</v>
      </c>
      <c r="E255" s="1481"/>
      <c r="F255" s="1482"/>
      <c r="G255" s="1799"/>
      <c r="H255" s="1483"/>
      <c r="I255" s="1484"/>
      <c r="J255" s="1597"/>
      <c r="K255" s="1597"/>
      <c r="L255" s="1486">
        <f t="shared" si="79"/>
        <v>0</v>
      </c>
      <c r="M255" s="1487"/>
    </row>
    <row r="256" spans="1:251" s="1499" customFormat="1" ht="18" customHeight="1" x14ac:dyDescent="0.3">
      <c r="A256" s="783">
        <v>246</v>
      </c>
      <c r="B256" s="1489"/>
      <c r="C256" s="1598"/>
      <c r="D256" s="1599" t="s">
        <v>1151</v>
      </c>
      <c r="E256" s="1492"/>
      <c r="F256" s="1493"/>
      <c r="G256" s="1800"/>
      <c r="H256" s="1494"/>
      <c r="I256" s="1495"/>
      <c r="J256" s="1495"/>
      <c r="K256" s="1495">
        <f>SUM(K254:K255)</f>
        <v>0</v>
      </c>
      <c r="L256" s="1497">
        <f t="shared" si="79"/>
        <v>0</v>
      </c>
      <c r="M256" s="1498"/>
    </row>
    <row r="257" spans="1:13" ht="22.5" customHeight="1" x14ac:dyDescent="0.3">
      <c r="A257" s="730">
        <v>247</v>
      </c>
      <c r="B257" s="744"/>
      <c r="C257" s="745">
        <v>50</v>
      </c>
      <c r="D257" s="423" t="s">
        <v>801</v>
      </c>
      <c r="E257" s="746">
        <f>F257+G257+L261+M258</f>
        <v>480000</v>
      </c>
      <c r="F257" s="747"/>
      <c r="G257" s="1798"/>
      <c r="H257" s="986" t="s">
        <v>23</v>
      </c>
      <c r="I257" s="958"/>
      <c r="J257" s="746"/>
      <c r="K257" s="746"/>
      <c r="L257" s="759"/>
      <c r="M257" s="748"/>
    </row>
    <row r="258" spans="1:13" s="1477" customFormat="1" ht="18" customHeight="1" x14ac:dyDescent="0.3">
      <c r="A258" s="730">
        <v>248</v>
      </c>
      <c r="B258" s="1467"/>
      <c r="C258" s="1592"/>
      <c r="D258" s="1593" t="s">
        <v>311</v>
      </c>
      <c r="E258" s="1470"/>
      <c r="F258" s="1471"/>
      <c r="G258" s="1801"/>
      <c r="H258" s="1472"/>
      <c r="I258" s="1473"/>
      <c r="J258" s="1594"/>
      <c r="K258" s="1594">
        <v>480000</v>
      </c>
      <c r="L258" s="1475">
        <f t="shared" ref="L258:L261" si="81">SUM(I258:K258)</f>
        <v>480000</v>
      </c>
      <c r="M258" s="1476"/>
    </row>
    <row r="259" spans="1:13" s="1477" customFormat="1" ht="18" customHeight="1" x14ac:dyDescent="0.3">
      <c r="A259" s="783">
        <v>249</v>
      </c>
      <c r="B259" s="1467"/>
      <c r="C259" s="1592"/>
      <c r="D259" s="1599" t="s">
        <v>1072</v>
      </c>
      <c r="E259" s="1470"/>
      <c r="F259" s="1471"/>
      <c r="G259" s="1801"/>
      <c r="H259" s="1472"/>
      <c r="I259" s="1473"/>
      <c r="J259" s="1594"/>
      <c r="K259" s="1771">
        <v>480000</v>
      </c>
      <c r="L259" s="1497">
        <f t="shared" ref="L259" si="82">SUM(I259:K259)</f>
        <v>480000</v>
      </c>
      <c r="M259" s="1476"/>
    </row>
    <row r="260" spans="1:13" s="1488" customFormat="1" ht="18" customHeight="1" x14ac:dyDescent="0.3">
      <c r="A260" s="730">
        <v>250</v>
      </c>
      <c r="B260" s="1478"/>
      <c r="C260" s="1595"/>
      <c r="D260" s="1596" t="s">
        <v>963</v>
      </c>
      <c r="E260" s="1481"/>
      <c r="F260" s="1482"/>
      <c r="G260" s="1799"/>
      <c r="H260" s="1483"/>
      <c r="I260" s="1484"/>
      <c r="J260" s="1597"/>
      <c r="K260" s="1597"/>
      <c r="L260" s="1486">
        <f>SUM(I260:K260)</f>
        <v>0</v>
      </c>
      <c r="M260" s="1487"/>
    </row>
    <row r="261" spans="1:13" s="1499" customFormat="1" ht="18" customHeight="1" x14ac:dyDescent="0.3">
      <c r="A261" s="730">
        <v>251</v>
      </c>
      <c r="B261" s="1489"/>
      <c r="C261" s="1598"/>
      <c r="D261" s="1599" t="s">
        <v>1151</v>
      </c>
      <c r="E261" s="746"/>
      <c r="F261" s="1493"/>
      <c r="G261" s="1800"/>
      <c r="H261" s="1494"/>
      <c r="I261" s="1495"/>
      <c r="J261" s="1495"/>
      <c r="K261" s="1495">
        <f>SUM(K259:K260)</f>
        <v>480000</v>
      </c>
      <c r="L261" s="1497">
        <f t="shared" si="81"/>
        <v>480000</v>
      </c>
      <c r="M261" s="1498"/>
    </row>
    <row r="262" spans="1:13" s="1499" customFormat="1" ht="30" customHeight="1" x14ac:dyDescent="0.3">
      <c r="A262" s="783">
        <v>252</v>
      </c>
      <c r="B262" s="1489"/>
      <c r="C262" s="749">
        <v>51</v>
      </c>
      <c r="D262" s="423" t="s">
        <v>1059</v>
      </c>
      <c r="E262" s="746">
        <f>F262+G262+L265+M263</f>
        <v>10000</v>
      </c>
      <c r="F262" s="1493"/>
      <c r="G262" s="1802"/>
      <c r="H262" s="1941" t="s">
        <v>24</v>
      </c>
      <c r="I262" s="1495"/>
      <c r="J262" s="1495"/>
      <c r="K262" s="1495"/>
      <c r="L262" s="1497"/>
      <c r="M262" s="1774"/>
    </row>
    <row r="263" spans="1:13" s="1499" customFormat="1" ht="18" customHeight="1" x14ac:dyDescent="0.3">
      <c r="A263" s="730">
        <v>253</v>
      </c>
      <c r="B263" s="1489"/>
      <c r="C263" s="745"/>
      <c r="D263" s="1599" t="s">
        <v>1072</v>
      </c>
      <c r="E263" s="746"/>
      <c r="F263" s="1493"/>
      <c r="G263" s="1802"/>
      <c r="H263" s="1772"/>
      <c r="I263" s="1495"/>
      <c r="J263" s="1495"/>
      <c r="K263" s="1495">
        <v>10000</v>
      </c>
      <c r="L263" s="1497">
        <f t="shared" ref="L263" si="83">SUM(I263:K263)</f>
        <v>10000</v>
      </c>
      <c r="M263" s="1774"/>
    </row>
    <row r="264" spans="1:13" s="1499" customFormat="1" ht="18" customHeight="1" x14ac:dyDescent="0.3">
      <c r="A264" s="730">
        <v>254</v>
      </c>
      <c r="B264" s="1489"/>
      <c r="C264" s="1598"/>
      <c r="D264" s="1596" t="s">
        <v>986</v>
      </c>
      <c r="E264" s="746"/>
      <c r="F264" s="1493"/>
      <c r="G264" s="1802"/>
      <c r="H264" s="1772"/>
      <c r="I264" s="1495"/>
      <c r="J264" s="1495"/>
      <c r="K264" s="1484"/>
      <c r="L264" s="1486">
        <f>SUM(I264:K264)</f>
        <v>0</v>
      </c>
      <c r="M264" s="1774"/>
    </row>
    <row r="265" spans="1:13" s="1499" customFormat="1" ht="18" customHeight="1" x14ac:dyDescent="0.3">
      <c r="A265" s="783">
        <v>255</v>
      </c>
      <c r="B265" s="1489"/>
      <c r="C265" s="1598"/>
      <c r="D265" s="1599" t="s">
        <v>1151</v>
      </c>
      <c r="E265" s="746"/>
      <c r="F265" s="1493"/>
      <c r="G265" s="1802"/>
      <c r="H265" s="1772"/>
      <c r="I265" s="1495"/>
      <c r="J265" s="1495"/>
      <c r="K265" s="1495">
        <f>SUM(K263:K264)</f>
        <v>10000</v>
      </c>
      <c r="L265" s="1497">
        <f t="shared" ref="L265" si="84">SUM(I265:K265)</f>
        <v>10000</v>
      </c>
      <c r="M265" s="1774"/>
    </row>
    <row r="266" spans="1:13" s="1499" customFormat="1" ht="30.75" customHeight="1" x14ac:dyDescent="0.3">
      <c r="A266" s="730">
        <v>256</v>
      </c>
      <c r="B266" s="1489"/>
      <c r="C266" s="749">
        <v>52</v>
      </c>
      <c r="D266" s="423" t="s">
        <v>1132</v>
      </c>
      <c r="E266" s="746">
        <f>F266+G266+L269+M267</f>
        <v>160</v>
      </c>
      <c r="F266" s="1493"/>
      <c r="G266" s="1802"/>
      <c r="H266" s="1941" t="s">
        <v>24</v>
      </c>
      <c r="I266" s="1495"/>
      <c r="J266" s="1495"/>
      <c r="K266" s="1495"/>
      <c r="L266" s="1497"/>
      <c r="M266" s="1774"/>
    </row>
    <row r="267" spans="1:13" s="1499" customFormat="1" ht="20.100000000000001" customHeight="1" x14ac:dyDescent="0.3">
      <c r="A267" s="730">
        <v>257</v>
      </c>
      <c r="B267" s="1489"/>
      <c r="C267" s="749"/>
      <c r="D267" s="1599" t="s">
        <v>1072</v>
      </c>
      <c r="E267" s="746"/>
      <c r="F267" s="1493"/>
      <c r="G267" s="1802"/>
      <c r="H267" s="1772"/>
      <c r="I267" s="1495"/>
      <c r="J267" s="1495"/>
      <c r="K267" s="1495">
        <v>160</v>
      </c>
      <c r="L267" s="1497">
        <f t="shared" ref="L267" si="85">SUM(I267:K267)</f>
        <v>160</v>
      </c>
      <c r="M267" s="1774"/>
    </row>
    <row r="268" spans="1:13" s="1499" customFormat="1" ht="18" customHeight="1" x14ac:dyDescent="0.3">
      <c r="A268" s="783">
        <v>258</v>
      </c>
      <c r="B268" s="1489"/>
      <c r="C268" s="1598"/>
      <c r="D268" s="1596" t="s">
        <v>987</v>
      </c>
      <c r="E268" s="1492"/>
      <c r="F268" s="1493"/>
      <c r="G268" s="1802"/>
      <c r="H268" s="1772"/>
      <c r="I268" s="1495"/>
      <c r="J268" s="1495"/>
      <c r="K268" s="1484"/>
      <c r="L268" s="1486">
        <f>SUM(I268:K268)</f>
        <v>0</v>
      </c>
      <c r="M268" s="1774"/>
    </row>
    <row r="269" spans="1:13" s="1499" customFormat="1" ht="18" customHeight="1" x14ac:dyDescent="0.3">
      <c r="A269" s="730">
        <v>259</v>
      </c>
      <c r="B269" s="1489"/>
      <c r="C269" s="1598"/>
      <c r="D269" s="1599" t="s">
        <v>1151</v>
      </c>
      <c r="E269" s="1492"/>
      <c r="F269" s="1493"/>
      <c r="G269" s="1802"/>
      <c r="H269" s="1772"/>
      <c r="I269" s="1495"/>
      <c r="J269" s="1495"/>
      <c r="K269" s="1495">
        <f>SUM(K267:K268)</f>
        <v>160</v>
      </c>
      <c r="L269" s="1497">
        <f>SUM(I269:K269)</f>
        <v>160</v>
      </c>
      <c r="M269" s="1774"/>
    </row>
    <row r="270" spans="1:13" s="1499" customFormat="1" ht="22.5" customHeight="1" x14ac:dyDescent="0.3">
      <c r="A270" s="730">
        <v>260</v>
      </c>
      <c r="B270" s="1489"/>
      <c r="C270" s="745">
        <v>53</v>
      </c>
      <c r="D270" s="423" t="s">
        <v>999</v>
      </c>
      <c r="E270" s="746">
        <f>F270+G270+L273+M271</f>
        <v>50</v>
      </c>
      <c r="F270" s="1493"/>
      <c r="G270" s="1802"/>
      <c r="H270" s="1941" t="s">
        <v>24</v>
      </c>
      <c r="I270" s="1771"/>
      <c r="J270" s="1771"/>
      <c r="K270" s="1771"/>
      <c r="L270" s="1497"/>
      <c r="M270" s="1774"/>
    </row>
    <row r="271" spans="1:13" s="1499" customFormat="1" ht="18" customHeight="1" x14ac:dyDescent="0.3">
      <c r="A271" s="783">
        <v>261</v>
      </c>
      <c r="B271" s="1489"/>
      <c r="C271" s="749"/>
      <c r="D271" s="1599" t="s">
        <v>1072</v>
      </c>
      <c r="E271" s="746"/>
      <c r="F271" s="1493"/>
      <c r="G271" s="1802"/>
      <c r="H271" s="1772"/>
      <c r="I271" s="1771"/>
      <c r="J271" s="1771">
        <v>50</v>
      </c>
      <c r="K271" s="1771"/>
      <c r="L271" s="1497">
        <f t="shared" ref="L271" si="86">SUM(I271:K271)</f>
        <v>50</v>
      </c>
      <c r="M271" s="1774"/>
    </row>
    <row r="272" spans="1:13" s="1499" customFormat="1" ht="18" customHeight="1" x14ac:dyDescent="0.3">
      <c r="A272" s="730">
        <v>262</v>
      </c>
      <c r="B272" s="1489"/>
      <c r="C272" s="749"/>
      <c r="D272" s="1596" t="s">
        <v>963</v>
      </c>
      <c r="E272" s="1492"/>
      <c r="F272" s="1493"/>
      <c r="G272" s="1802"/>
      <c r="H272" s="1772"/>
      <c r="I272" s="1771"/>
      <c r="J272" s="1597"/>
      <c r="K272" s="1771"/>
      <c r="L272" s="1497">
        <f>SUM(I272:K272)</f>
        <v>0</v>
      </c>
      <c r="M272" s="1774"/>
    </row>
    <row r="273" spans="1:13" s="1499" customFormat="1" ht="18" customHeight="1" x14ac:dyDescent="0.3">
      <c r="A273" s="730">
        <v>263</v>
      </c>
      <c r="B273" s="1489"/>
      <c r="C273" s="749"/>
      <c r="D273" s="1599" t="s">
        <v>1151</v>
      </c>
      <c r="E273" s="1492"/>
      <c r="F273" s="1493"/>
      <c r="G273" s="1802"/>
      <c r="H273" s="1772"/>
      <c r="I273" s="1495"/>
      <c r="J273" s="1495">
        <f>SUM(J271:J272)</f>
        <v>50</v>
      </c>
      <c r="K273" s="1495"/>
      <c r="L273" s="1497">
        <f>SUM(I273:K273)</f>
        <v>50</v>
      </c>
      <c r="M273" s="1774"/>
    </row>
    <row r="274" spans="1:13" s="1499" customFormat="1" ht="22.5" customHeight="1" x14ac:dyDescent="0.3">
      <c r="A274" s="783">
        <v>264</v>
      </c>
      <c r="B274" s="1489"/>
      <c r="C274" s="745">
        <v>54</v>
      </c>
      <c r="D274" s="423" t="s">
        <v>1000</v>
      </c>
      <c r="E274" s="746">
        <f>F274+G274+L277+M275</f>
        <v>15</v>
      </c>
      <c r="F274" s="1493"/>
      <c r="G274" s="1802"/>
      <c r="H274" s="1941" t="s">
        <v>24</v>
      </c>
      <c r="I274" s="1771"/>
      <c r="J274" s="1771"/>
      <c r="K274" s="1771"/>
      <c r="L274" s="1497"/>
      <c r="M274" s="1774"/>
    </row>
    <row r="275" spans="1:13" s="1499" customFormat="1" ht="18" customHeight="1" x14ac:dyDescent="0.3">
      <c r="A275" s="730">
        <v>265</v>
      </c>
      <c r="B275" s="1489"/>
      <c r="C275" s="749"/>
      <c r="D275" s="1599" t="s">
        <v>1072</v>
      </c>
      <c r="E275" s="746"/>
      <c r="F275" s="1493"/>
      <c r="G275" s="1802"/>
      <c r="H275" s="1772"/>
      <c r="I275" s="1937"/>
      <c r="J275" s="1771">
        <v>15</v>
      </c>
      <c r="K275" s="1771"/>
      <c r="L275" s="1497">
        <f t="shared" ref="L275" si="87">SUM(I275:K275)</f>
        <v>15</v>
      </c>
      <c r="M275" s="1774"/>
    </row>
    <row r="276" spans="1:13" s="1499" customFormat="1" ht="18" customHeight="1" x14ac:dyDescent="0.3">
      <c r="A276" s="730">
        <v>266</v>
      </c>
      <c r="B276" s="1489"/>
      <c r="C276" s="1598"/>
      <c r="D276" s="1596" t="s">
        <v>963</v>
      </c>
      <c r="E276" s="1492"/>
      <c r="F276" s="1493"/>
      <c r="G276" s="1802"/>
      <c r="H276" s="1772"/>
      <c r="I276" s="1771"/>
      <c r="J276" s="1597"/>
      <c r="K276" s="1771"/>
      <c r="L276" s="1497">
        <f>SUM(I276:K276)</f>
        <v>0</v>
      </c>
      <c r="M276" s="1774"/>
    </row>
    <row r="277" spans="1:13" s="1499" customFormat="1" ht="18" customHeight="1" x14ac:dyDescent="0.3">
      <c r="A277" s="783">
        <v>267</v>
      </c>
      <c r="B277" s="1886"/>
      <c r="C277" s="1887"/>
      <c r="D277" s="1888" t="s">
        <v>1151</v>
      </c>
      <c r="E277" s="1889"/>
      <c r="F277" s="1890"/>
      <c r="G277" s="1891"/>
      <c r="H277" s="1892"/>
      <c r="I277" s="1893"/>
      <c r="J277" s="1893">
        <f>SUM(J275:J276)</f>
        <v>15</v>
      </c>
      <c r="K277" s="1893"/>
      <c r="L277" s="1497">
        <f>SUM(I277:K277)</f>
        <v>15</v>
      </c>
      <c r="M277" s="1894"/>
    </row>
    <row r="278" spans="1:13" s="1499" customFormat="1" ht="32.25" customHeight="1" x14ac:dyDescent="0.3">
      <c r="A278" s="730">
        <v>268</v>
      </c>
      <c r="B278" s="1886"/>
      <c r="C278" s="2009">
        <v>55</v>
      </c>
      <c r="D278" s="423" t="s">
        <v>1145</v>
      </c>
      <c r="E278" s="746">
        <f>F278+G278+L281+M279</f>
        <v>528</v>
      </c>
      <c r="F278" s="1890"/>
      <c r="G278" s="1891"/>
      <c r="H278" s="986" t="s">
        <v>23</v>
      </c>
      <c r="I278" s="1893"/>
      <c r="J278" s="1893"/>
      <c r="K278" s="1893"/>
      <c r="L278" s="1497"/>
      <c r="M278" s="1894"/>
    </row>
    <row r="279" spans="1:13" s="1499" customFormat="1" ht="18" customHeight="1" x14ac:dyDescent="0.3">
      <c r="A279" s="730">
        <v>269</v>
      </c>
      <c r="B279" s="1886"/>
      <c r="C279" s="1968"/>
      <c r="D279" s="1599" t="s">
        <v>1072</v>
      </c>
      <c r="E279" s="1889"/>
      <c r="F279" s="1890"/>
      <c r="G279" s="1891"/>
      <c r="H279" s="1961"/>
      <c r="I279" s="1893"/>
      <c r="J279" s="1893">
        <v>528</v>
      </c>
      <c r="K279" s="1893"/>
      <c r="L279" s="1497">
        <f t="shared" ref="L279" si="88">SUM(I279:K279)</f>
        <v>528</v>
      </c>
      <c r="M279" s="1894"/>
    </row>
    <row r="280" spans="1:13" s="1499" customFormat="1" ht="18" customHeight="1" x14ac:dyDescent="0.3">
      <c r="A280" s="783">
        <v>270</v>
      </c>
      <c r="B280" s="1886"/>
      <c r="C280" s="1887"/>
      <c r="D280" s="1596" t="s">
        <v>963</v>
      </c>
      <c r="E280" s="1889"/>
      <c r="F280" s="1890"/>
      <c r="G280" s="1891"/>
      <c r="H280" s="1892"/>
      <c r="I280" s="1893"/>
      <c r="J280" s="1936"/>
      <c r="K280" s="1936"/>
      <c r="L280" s="1497">
        <f>SUM(I280:K280)</f>
        <v>0</v>
      </c>
      <c r="M280" s="1894"/>
    </row>
    <row r="281" spans="1:13" s="1499" customFormat="1" ht="18" customHeight="1" x14ac:dyDescent="0.3">
      <c r="A281" s="730">
        <v>271</v>
      </c>
      <c r="B281" s="1886"/>
      <c r="C281" s="1887"/>
      <c r="D281" s="1888" t="s">
        <v>1151</v>
      </c>
      <c r="E281" s="1889"/>
      <c r="F281" s="1890"/>
      <c r="G281" s="1891"/>
      <c r="H281" s="1892"/>
      <c r="I281" s="1893"/>
      <c r="J281" s="1893">
        <f>SUM(J279:J280)</f>
        <v>528</v>
      </c>
      <c r="K281" s="1893"/>
      <c r="L281" s="1497">
        <f>SUM(I281:K281)</f>
        <v>528</v>
      </c>
      <c r="M281" s="1894"/>
    </row>
    <row r="282" spans="1:13" s="1499" customFormat="1" ht="22.5" customHeight="1" x14ac:dyDescent="0.3">
      <c r="A282" s="730">
        <v>272</v>
      </c>
      <c r="B282" s="1886"/>
      <c r="C282" s="1968">
        <v>56</v>
      </c>
      <c r="D282" s="423" t="s">
        <v>1051</v>
      </c>
      <c r="E282" s="746">
        <f>F282+G282+L285+M283</f>
        <v>300</v>
      </c>
      <c r="F282" s="1890"/>
      <c r="G282" s="1891"/>
      <c r="H282" s="1941" t="s">
        <v>24</v>
      </c>
      <c r="I282" s="1893"/>
      <c r="J282" s="1893"/>
      <c r="K282" s="1893"/>
      <c r="L282" s="1497"/>
      <c r="M282" s="1894"/>
    </row>
    <row r="283" spans="1:13" s="1499" customFormat="1" ht="18" customHeight="1" x14ac:dyDescent="0.3">
      <c r="A283" s="783">
        <v>273</v>
      </c>
      <c r="B283" s="1886"/>
      <c r="C283" s="1968"/>
      <c r="D283" s="1599" t="s">
        <v>1072</v>
      </c>
      <c r="E283" s="1889"/>
      <c r="F283" s="1890"/>
      <c r="G283" s="1891"/>
      <c r="H283" s="1961"/>
      <c r="I283" s="1893"/>
      <c r="J283" s="1893">
        <v>300</v>
      </c>
      <c r="K283" s="1893"/>
      <c r="L283" s="1497">
        <f t="shared" ref="L283" si="89">SUM(I283:K283)</f>
        <v>300</v>
      </c>
      <c r="M283" s="1894"/>
    </row>
    <row r="284" spans="1:13" s="1499" customFormat="1" ht="18" customHeight="1" x14ac:dyDescent="0.3">
      <c r="A284" s="730">
        <v>274</v>
      </c>
      <c r="B284" s="1886"/>
      <c r="C284" s="1887"/>
      <c r="D284" s="1596" t="s">
        <v>963</v>
      </c>
      <c r="E284" s="1889"/>
      <c r="F284" s="1890"/>
      <c r="G284" s="1891"/>
      <c r="H284" s="1892"/>
      <c r="I284" s="1893"/>
      <c r="J284" s="1936"/>
      <c r="K284" s="1893"/>
      <c r="L284" s="1497">
        <f>SUM(I284:K284)</f>
        <v>0</v>
      </c>
      <c r="M284" s="1894"/>
    </row>
    <row r="285" spans="1:13" s="1499" customFormat="1" ht="18" customHeight="1" x14ac:dyDescent="0.3">
      <c r="A285" s="730">
        <v>275</v>
      </c>
      <c r="B285" s="1886"/>
      <c r="C285" s="1887"/>
      <c r="D285" s="1888" t="s">
        <v>1151</v>
      </c>
      <c r="E285" s="1889"/>
      <c r="F285" s="1890"/>
      <c r="G285" s="1891"/>
      <c r="H285" s="1892"/>
      <c r="I285" s="1893"/>
      <c r="J285" s="1893">
        <f>SUM(J283:J284)</f>
        <v>300</v>
      </c>
      <c r="K285" s="1893"/>
      <c r="L285" s="1497">
        <f>SUM(I285:K285)</f>
        <v>300</v>
      </c>
      <c r="M285" s="1894"/>
    </row>
    <row r="286" spans="1:13" s="1499" customFormat="1" ht="32.25" customHeight="1" x14ac:dyDescent="0.3">
      <c r="A286" s="783">
        <v>276</v>
      </c>
      <c r="B286" s="1886"/>
      <c r="C286" s="2009">
        <v>57</v>
      </c>
      <c r="D286" s="423" t="s">
        <v>1057</v>
      </c>
      <c r="E286" s="746">
        <f>F286+G286+L289+M287</f>
        <v>100</v>
      </c>
      <c r="F286" s="1890"/>
      <c r="G286" s="1891"/>
      <c r="H286" s="1941" t="s">
        <v>24</v>
      </c>
      <c r="I286" s="1893"/>
      <c r="J286" s="1893"/>
      <c r="K286" s="1893"/>
      <c r="L286" s="1497"/>
      <c r="M286" s="1894"/>
    </row>
    <row r="287" spans="1:13" s="1499" customFormat="1" ht="18" customHeight="1" x14ac:dyDescent="0.3">
      <c r="A287" s="730">
        <v>277</v>
      </c>
      <c r="B287" s="1886"/>
      <c r="C287" s="1968"/>
      <c r="D287" s="1599" t="s">
        <v>1072</v>
      </c>
      <c r="E287" s="1889"/>
      <c r="F287" s="1890"/>
      <c r="G287" s="1891"/>
      <c r="H287" s="1961"/>
      <c r="I287" s="1893"/>
      <c r="J287" s="1893">
        <v>100</v>
      </c>
      <c r="K287" s="1893"/>
      <c r="L287" s="1497">
        <f t="shared" ref="L287" si="90">SUM(I287:K287)</f>
        <v>100</v>
      </c>
      <c r="M287" s="1894"/>
    </row>
    <row r="288" spans="1:13" s="1499" customFormat="1" ht="18" customHeight="1" x14ac:dyDescent="0.3">
      <c r="A288" s="783">
        <v>278</v>
      </c>
      <c r="B288" s="1886"/>
      <c r="C288" s="1887"/>
      <c r="D288" s="1596" t="s">
        <v>963</v>
      </c>
      <c r="E288" s="1889"/>
      <c r="F288" s="1890"/>
      <c r="G288" s="1891"/>
      <c r="H288" s="1892"/>
      <c r="I288" s="1893"/>
      <c r="J288" s="1936"/>
      <c r="K288" s="1893"/>
      <c r="L288" s="1497">
        <f>SUM(I288:K288)</f>
        <v>0</v>
      </c>
      <c r="M288" s="1894"/>
    </row>
    <row r="289" spans="1:13" s="1499" customFormat="1" ht="18" customHeight="1" x14ac:dyDescent="0.3">
      <c r="A289" s="730">
        <v>279</v>
      </c>
      <c r="B289" s="1886"/>
      <c r="C289" s="1887"/>
      <c r="D289" s="1888" t="s">
        <v>1151</v>
      </c>
      <c r="E289" s="1889"/>
      <c r="F289" s="1890"/>
      <c r="G289" s="1891"/>
      <c r="H289" s="1892"/>
      <c r="I289" s="1893"/>
      <c r="J289" s="1893">
        <f>SUM(J287:J288)</f>
        <v>100</v>
      </c>
      <c r="K289" s="1893"/>
      <c r="L289" s="1497">
        <f>SUM(I289:K289)</f>
        <v>100</v>
      </c>
      <c r="M289" s="1894"/>
    </row>
    <row r="290" spans="1:13" s="1499" customFormat="1" ht="32.25" customHeight="1" x14ac:dyDescent="0.3">
      <c r="A290" s="783">
        <v>280</v>
      </c>
      <c r="B290" s="1886"/>
      <c r="C290" s="2009">
        <v>58</v>
      </c>
      <c r="D290" s="423" t="s">
        <v>1055</v>
      </c>
      <c r="E290" s="746">
        <f>F290+G290+L293+M291</f>
        <v>11000</v>
      </c>
      <c r="F290" s="1890"/>
      <c r="G290" s="1891"/>
      <c r="H290" s="1961" t="s">
        <v>24</v>
      </c>
      <c r="I290" s="1893"/>
      <c r="J290" s="1893"/>
      <c r="K290" s="1893"/>
      <c r="L290" s="1497"/>
      <c r="M290" s="1894"/>
    </row>
    <row r="291" spans="1:13" s="1499" customFormat="1" ht="18" customHeight="1" x14ac:dyDescent="0.3">
      <c r="A291" s="730">
        <v>281</v>
      </c>
      <c r="B291" s="1886"/>
      <c r="C291" s="1968"/>
      <c r="D291" s="1599" t="s">
        <v>1072</v>
      </c>
      <c r="E291" s="1889"/>
      <c r="F291" s="1890"/>
      <c r="G291" s="1891"/>
      <c r="H291" s="1961"/>
      <c r="I291" s="1893"/>
      <c r="J291" s="1893">
        <v>11000</v>
      </c>
      <c r="K291" s="1893"/>
      <c r="L291" s="1497">
        <f>SUM(I291:K291)</f>
        <v>11000</v>
      </c>
      <c r="M291" s="1894"/>
    </row>
    <row r="292" spans="1:13" s="1499" customFormat="1" ht="18" customHeight="1" x14ac:dyDescent="0.3">
      <c r="A292" s="783">
        <v>282</v>
      </c>
      <c r="B292" s="1886"/>
      <c r="C292" s="1887"/>
      <c r="D292" s="1596" t="s">
        <v>986</v>
      </c>
      <c r="E292" s="1889"/>
      <c r="F292" s="1890"/>
      <c r="G292" s="1891"/>
      <c r="H292" s="1892"/>
      <c r="I292" s="1893"/>
      <c r="J292" s="1936"/>
      <c r="K292" s="1893"/>
      <c r="L292" s="1497">
        <f>SUM(I292:K292)</f>
        <v>0</v>
      </c>
      <c r="M292" s="1894"/>
    </row>
    <row r="293" spans="1:13" s="1499" customFormat="1" ht="18" customHeight="1" x14ac:dyDescent="0.3">
      <c r="A293" s="730">
        <v>283</v>
      </c>
      <c r="B293" s="1886"/>
      <c r="C293" s="1887"/>
      <c r="D293" s="1888" t="s">
        <v>1151</v>
      </c>
      <c r="E293" s="1889"/>
      <c r="F293" s="1890"/>
      <c r="G293" s="1891"/>
      <c r="H293" s="1892"/>
      <c r="I293" s="1893"/>
      <c r="J293" s="1893">
        <f>SUM(J291:J292)</f>
        <v>11000</v>
      </c>
      <c r="K293" s="1893"/>
      <c r="L293" s="1497">
        <f>SUM(I293:K293)</f>
        <v>11000</v>
      </c>
      <c r="M293" s="1894"/>
    </row>
    <row r="294" spans="1:13" s="1499" customFormat="1" ht="22.5" customHeight="1" x14ac:dyDescent="0.3">
      <c r="A294" s="783">
        <v>284</v>
      </c>
      <c r="B294" s="1886"/>
      <c r="C294" s="1968">
        <v>59</v>
      </c>
      <c r="D294" s="423" t="s">
        <v>1056</v>
      </c>
      <c r="E294" s="746">
        <f>F294+G294+L297+M295</f>
        <v>7000</v>
      </c>
      <c r="F294" s="1890"/>
      <c r="G294" s="1891"/>
      <c r="H294" s="1961" t="s">
        <v>24</v>
      </c>
      <c r="I294" s="1893"/>
      <c r="J294" s="1893"/>
      <c r="K294" s="1893"/>
      <c r="L294" s="1497"/>
      <c r="M294" s="1894"/>
    </row>
    <row r="295" spans="1:13" s="1499" customFormat="1" ht="18" customHeight="1" x14ac:dyDescent="0.3">
      <c r="A295" s="730">
        <v>285</v>
      </c>
      <c r="B295" s="1886"/>
      <c r="C295" s="1968"/>
      <c r="D295" s="1599" t="s">
        <v>1072</v>
      </c>
      <c r="E295" s="1889"/>
      <c r="F295" s="1890"/>
      <c r="G295" s="1891"/>
      <c r="H295" s="1961"/>
      <c r="I295" s="1893"/>
      <c r="J295" s="1893">
        <v>7000</v>
      </c>
      <c r="K295" s="1893"/>
      <c r="L295" s="1497">
        <f>SUM(I295:K295)</f>
        <v>7000</v>
      </c>
      <c r="M295" s="1894"/>
    </row>
    <row r="296" spans="1:13" s="1499" customFormat="1" ht="18" customHeight="1" x14ac:dyDescent="0.3">
      <c r="A296" s="783">
        <v>286</v>
      </c>
      <c r="B296" s="1886"/>
      <c r="C296" s="1887"/>
      <c r="D296" s="1596" t="s">
        <v>986</v>
      </c>
      <c r="E296" s="1889"/>
      <c r="F296" s="1890"/>
      <c r="G296" s="1891"/>
      <c r="H296" s="1892"/>
      <c r="I296" s="1893"/>
      <c r="J296" s="1936"/>
      <c r="K296" s="1893"/>
      <c r="L296" s="1497">
        <f>SUM(I296:K296)</f>
        <v>0</v>
      </c>
      <c r="M296" s="1894"/>
    </row>
    <row r="297" spans="1:13" s="1499" customFormat="1" ht="18" customHeight="1" x14ac:dyDescent="0.3">
      <c r="A297" s="730">
        <v>287</v>
      </c>
      <c r="B297" s="1886"/>
      <c r="C297" s="1887"/>
      <c r="D297" s="1888" t="s">
        <v>1151</v>
      </c>
      <c r="E297" s="1889"/>
      <c r="F297" s="1890"/>
      <c r="G297" s="1891"/>
      <c r="H297" s="1892"/>
      <c r="I297" s="1893"/>
      <c r="J297" s="1893">
        <f>SUM(J295:J296)</f>
        <v>7000</v>
      </c>
      <c r="K297" s="1893"/>
      <c r="L297" s="1497">
        <f>SUM(I297:K297)</f>
        <v>7000</v>
      </c>
      <c r="M297" s="1894"/>
    </row>
    <row r="298" spans="1:13" s="1499" customFormat="1" ht="22.5" customHeight="1" x14ac:dyDescent="0.3">
      <c r="A298" s="783">
        <v>288</v>
      </c>
      <c r="B298" s="1886"/>
      <c r="C298" s="1968">
        <v>60</v>
      </c>
      <c r="D298" s="423" t="s">
        <v>1058</v>
      </c>
      <c r="E298" s="746">
        <f>F298+G298+L301+M299</f>
        <v>653</v>
      </c>
      <c r="F298" s="1890"/>
      <c r="G298" s="1891"/>
      <c r="H298" s="1892"/>
      <c r="I298" s="1893"/>
      <c r="J298" s="1893"/>
      <c r="K298" s="1893"/>
      <c r="L298" s="1497"/>
      <c r="M298" s="1894"/>
    </row>
    <row r="299" spans="1:13" s="1499" customFormat="1" ht="18" customHeight="1" x14ac:dyDescent="0.3">
      <c r="A299" s="730">
        <v>289</v>
      </c>
      <c r="B299" s="1886"/>
      <c r="C299" s="1968"/>
      <c r="D299" s="1599" t="s">
        <v>1072</v>
      </c>
      <c r="E299" s="1889"/>
      <c r="F299" s="1890"/>
      <c r="G299" s="1891"/>
      <c r="H299" s="1892"/>
      <c r="I299" s="1893"/>
      <c r="J299" s="1893">
        <v>495</v>
      </c>
      <c r="K299" s="1893"/>
      <c r="L299" s="1497">
        <f>SUM(I299:K299)</f>
        <v>495</v>
      </c>
      <c r="M299" s="1894"/>
    </row>
    <row r="300" spans="1:13" s="1499" customFormat="1" ht="18" customHeight="1" x14ac:dyDescent="0.3">
      <c r="A300" s="783">
        <v>290</v>
      </c>
      <c r="B300" s="1886"/>
      <c r="C300" s="1887"/>
      <c r="D300" s="1596" t="s">
        <v>1274</v>
      </c>
      <c r="E300" s="1889"/>
      <c r="F300" s="1890"/>
      <c r="G300" s="1891"/>
      <c r="H300" s="1892"/>
      <c r="I300" s="1893"/>
      <c r="J300" s="1936">
        <v>158</v>
      </c>
      <c r="K300" s="1893"/>
      <c r="L300" s="2000">
        <f>SUM(I300:K300)</f>
        <v>158</v>
      </c>
      <c r="M300" s="1894"/>
    </row>
    <row r="301" spans="1:13" s="1499" customFormat="1" ht="18" customHeight="1" x14ac:dyDescent="0.3">
      <c r="A301" s="730">
        <v>291</v>
      </c>
      <c r="B301" s="1886"/>
      <c r="C301" s="1887"/>
      <c r="D301" s="1888" t="s">
        <v>1151</v>
      </c>
      <c r="E301" s="1889"/>
      <c r="F301" s="1890"/>
      <c r="G301" s="1891"/>
      <c r="H301" s="1892"/>
      <c r="I301" s="1893"/>
      <c r="J301" s="1893">
        <f>SUM(J299:J300)</f>
        <v>653</v>
      </c>
      <c r="K301" s="1893"/>
      <c r="L301" s="1497">
        <f>SUM(I301:K301)</f>
        <v>653</v>
      </c>
      <c r="M301" s="1894"/>
    </row>
    <row r="302" spans="1:13" s="1499" customFormat="1" ht="22.5" customHeight="1" x14ac:dyDescent="0.3">
      <c r="A302" s="783">
        <v>292</v>
      </c>
      <c r="B302" s="1489"/>
      <c r="C302" s="745">
        <v>61</v>
      </c>
      <c r="D302" s="1047" t="s">
        <v>1039</v>
      </c>
      <c r="E302" s="746">
        <f>F302+G302+L305+M303</f>
        <v>5000</v>
      </c>
      <c r="F302" s="1493"/>
      <c r="G302" s="1802"/>
      <c r="H302" s="1941" t="s">
        <v>24</v>
      </c>
      <c r="I302" s="1771"/>
      <c r="J302" s="1771"/>
      <c r="K302" s="1771"/>
      <c r="L302" s="1497"/>
      <c r="M302" s="1774"/>
    </row>
    <row r="303" spans="1:13" s="1499" customFormat="1" ht="18" customHeight="1" x14ac:dyDescent="0.3">
      <c r="A303" s="730">
        <v>293</v>
      </c>
      <c r="B303" s="1489"/>
      <c r="C303" s="745"/>
      <c r="D303" s="1599" t="s">
        <v>1072</v>
      </c>
      <c r="E303" s="1492"/>
      <c r="F303" s="1493"/>
      <c r="G303" s="1802"/>
      <c r="H303" s="1941"/>
      <c r="I303" s="1771"/>
      <c r="J303" s="1771"/>
      <c r="K303" s="1771">
        <v>5000</v>
      </c>
      <c r="L303" s="1497">
        <f>SUM(I303:K303)</f>
        <v>5000</v>
      </c>
      <c r="M303" s="1774"/>
    </row>
    <row r="304" spans="1:13" s="1499" customFormat="1" ht="18" customHeight="1" x14ac:dyDescent="0.3">
      <c r="A304" s="783">
        <v>294</v>
      </c>
      <c r="B304" s="1489"/>
      <c r="C304" s="1598"/>
      <c r="D304" s="1596" t="s">
        <v>963</v>
      </c>
      <c r="E304" s="1492"/>
      <c r="F304" s="1493"/>
      <c r="G304" s="1802"/>
      <c r="H304" s="1772"/>
      <c r="I304" s="1771"/>
      <c r="J304" s="1771"/>
      <c r="K304" s="1597"/>
      <c r="L304" s="1497">
        <f t="shared" ref="L304" si="91">SUM(I304:K304)</f>
        <v>0</v>
      </c>
      <c r="M304" s="1774"/>
    </row>
    <row r="305" spans="1:13" s="1499" customFormat="1" ht="18" customHeight="1" x14ac:dyDescent="0.3">
      <c r="A305" s="730">
        <v>295</v>
      </c>
      <c r="B305" s="1489"/>
      <c r="C305" s="1598"/>
      <c r="D305" s="1599" t="s">
        <v>1151</v>
      </c>
      <c r="E305" s="1492"/>
      <c r="F305" s="1493"/>
      <c r="G305" s="1802"/>
      <c r="H305" s="1772"/>
      <c r="I305" s="1771"/>
      <c r="J305" s="1771"/>
      <c r="K305" s="1771">
        <f>SUM(K303:K304)</f>
        <v>5000</v>
      </c>
      <c r="L305" s="1497">
        <f>SUM(I305:K305)</f>
        <v>5000</v>
      </c>
      <c r="M305" s="1774"/>
    </row>
    <row r="306" spans="1:13" s="1499" customFormat="1" ht="22.5" customHeight="1" x14ac:dyDescent="0.3">
      <c r="A306" s="783">
        <v>296</v>
      </c>
      <c r="B306" s="1489"/>
      <c r="C306" s="745">
        <v>62</v>
      </c>
      <c r="D306" s="423" t="s">
        <v>1133</v>
      </c>
      <c r="E306" s="746">
        <f>F306+G306+L309+M308</f>
        <v>800</v>
      </c>
      <c r="F306" s="1493"/>
      <c r="G306" s="1802"/>
      <c r="H306" s="1772"/>
      <c r="I306" s="1771"/>
      <c r="J306" s="1771"/>
      <c r="K306" s="1771"/>
      <c r="L306" s="1497"/>
      <c r="M306" s="1774"/>
    </row>
    <row r="307" spans="1:13" s="1499" customFormat="1" ht="20.100000000000001" customHeight="1" x14ac:dyDescent="0.3">
      <c r="A307" s="730">
        <v>297</v>
      </c>
      <c r="B307" s="1489"/>
      <c r="C307" s="745"/>
      <c r="D307" s="1599" t="s">
        <v>1072</v>
      </c>
      <c r="E307" s="746"/>
      <c r="F307" s="1493"/>
      <c r="G307" s="1802"/>
      <c r="H307" s="1772"/>
      <c r="I307" s="1771"/>
      <c r="J307" s="1771">
        <v>800</v>
      </c>
      <c r="K307" s="1771"/>
      <c r="L307" s="1497">
        <f>SUM(J307:K307)</f>
        <v>800</v>
      </c>
      <c r="M307" s="1774"/>
    </row>
    <row r="308" spans="1:13" s="1499" customFormat="1" ht="18" customHeight="1" x14ac:dyDescent="0.3">
      <c r="A308" s="783">
        <v>298</v>
      </c>
      <c r="B308" s="1489"/>
      <c r="C308" s="1598"/>
      <c r="D308" s="1596" t="s">
        <v>986</v>
      </c>
      <c r="E308" s="1492"/>
      <c r="F308" s="1493"/>
      <c r="G308" s="1802"/>
      <c r="H308" s="1772"/>
      <c r="I308" s="1771"/>
      <c r="J308" s="1597"/>
      <c r="K308" s="1771"/>
      <c r="L308" s="2000">
        <f>SUM(J308:K308)</f>
        <v>0</v>
      </c>
      <c r="M308" s="1774"/>
    </row>
    <row r="309" spans="1:13" s="1499" customFormat="1" ht="18" customHeight="1" x14ac:dyDescent="0.3">
      <c r="A309" s="730">
        <v>299</v>
      </c>
      <c r="B309" s="1489"/>
      <c r="C309" s="1598"/>
      <c r="D309" s="1599" t="s">
        <v>1151</v>
      </c>
      <c r="E309" s="1492"/>
      <c r="F309" s="1493"/>
      <c r="G309" s="1802"/>
      <c r="H309" s="1772"/>
      <c r="I309" s="1771"/>
      <c r="J309" s="1771">
        <f>SUM(J307:J308)</f>
        <v>800</v>
      </c>
      <c r="K309" s="1771"/>
      <c r="L309" s="1497">
        <f>SUM(J309:K309)</f>
        <v>800</v>
      </c>
      <c r="M309" s="1774"/>
    </row>
    <row r="310" spans="1:13" s="1499" customFormat="1" ht="22.5" customHeight="1" x14ac:dyDescent="0.3">
      <c r="A310" s="783">
        <v>300</v>
      </c>
      <c r="B310" s="1489"/>
      <c r="C310" s="745">
        <v>63</v>
      </c>
      <c r="D310" s="423" t="s">
        <v>1138</v>
      </c>
      <c r="E310" s="746">
        <f>F310+G310+L313+M312</f>
        <v>1900</v>
      </c>
      <c r="F310" s="1493"/>
      <c r="G310" s="1802"/>
      <c r="H310" s="1772"/>
      <c r="I310" s="1771"/>
      <c r="J310" s="1771"/>
      <c r="K310" s="1771"/>
      <c r="L310" s="1497"/>
      <c r="M310" s="1774"/>
    </row>
    <row r="311" spans="1:13" s="1499" customFormat="1" ht="18" customHeight="1" x14ac:dyDescent="0.3">
      <c r="A311" s="730">
        <v>301</v>
      </c>
      <c r="B311" s="1489"/>
      <c r="C311" s="749"/>
      <c r="D311" s="1599" t="s">
        <v>1072</v>
      </c>
      <c r="E311" s="746"/>
      <c r="F311" s="1493"/>
      <c r="G311" s="1802"/>
      <c r="H311" s="1772"/>
      <c r="I311" s="1771"/>
      <c r="J311" s="1771">
        <v>1900</v>
      </c>
      <c r="K311" s="1771"/>
      <c r="L311" s="1497">
        <f>SUM(J311:K311)</f>
        <v>1900</v>
      </c>
      <c r="M311" s="1774"/>
    </row>
    <row r="312" spans="1:13" s="1499" customFormat="1" ht="18" customHeight="1" x14ac:dyDescent="0.3">
      <c r="A312" s="783">
        <v>302</v>
      </c>
      <c r="B312" s="1489"/>
      <c r="C312" s="1598"/>
      <c r="D312" s="1596" t="s">
        <v>986</v>
      </c>
      <c r="E312" s="1492"/>
      <c r="F312" s="1493"/>
      <c r="G312" s="1802"/>
      <c r="H312" s="1772"/>
      <c r="I312" s="1771"/>
      <c r="J312" s="1597"/>
      <c r="K312" s="1771"/>
      <c r="L312" s="2000">
        <f>SUM(J312:K312)</f>
        <v>0</v>
      </c>
      <c r="M312" s="1774"/>
    </row>
    <row r="313" spans="1:13" s="1499" customFormat="1" ht="18" customHeight="1" x14ac:dyDescent="0.3">
      <c r="A313" s="730">
        <v>303</v>
      </c>
      <c r="B313" s="1489"/>
      <c r="C313" s="1598"/>
      <c r="D313" s="1599" t="s">
        <v>1151</v>
      </c>
      <c r="E313" s="1492"/>
      <c r="F313" s="1493"/>
      <c r="G313" s="1802"/>
      <c r="H313" s="1772"/>
      <c r="I313" s="1771"/>
      <c r="J313" s="1771">
        <f>SUM(J311:J312)</f>
        <v>1900</v>
      </c>
      <c r="K313" s="1771"/>
      <c r="L313" s="1497">
        <f>SUM(J313:K313)</f>
        <v>1900</v>
      </c>
      <c r="M313" s="1774"/>
    </row>
    <row r="314" spans="1:13" s="1499" customFormat="1" ht="22.5" customHeight="1" x14ac:dyDescent="0.3">
      <c r="A314" s="783">
        <v>304</v>
      </c>
      <c r="B314" s="1489"/>
      <c r="C314" s="745">
        <v>64</v>
      </c>
      <c r="D314" s="423" t="s">
        <v>1135</v>
      </c>
      <c r="E314" s="746">
        <f>F314+G314+L317+M316</f>
        <v>10</v>
      </c>
      <c r="F314" s="1493"/>
      <c r="G314" s="1802"/>
      <c r="H314" s="1772"/>
      <c r="I314" s="1771"/>
      <c r="J314" s="1771"/>
      <c r="K314" s="1771"/>
      <c r="L314" s="1497"/>
      <c r="M314" s="1774"/>
    </row>
    <row r="315" spans="1:13" s="1499" customFormat="1" ht="20.100000000000001" customHeight="1" x14ac:dyDescent="0.3">
      <c r="A315" s="730">
        <v>305</v>
      </c>
      <c r="B315" s="1489"/>
      <c r="C315" s="749"/>
      <c r="D315" s="1599" t="s">
        <v>1072</v>
      </c>
      <c r="E315" s="746"/>
      <c r="F315" s="1493"/>
      <c r="G315" s="1802"/>
      <c r="H315" s="1772"/>
      <c r="I315" s="1771"/>
      <c r="J315" s="1771">
        <v>10</v>
      </c>
      <c r="K315" s="1771"/>
      <c r="L315" s="1497">
        <f>SUM(I315:K315)</f>
        <v>10</v>
      </c>
      <c r="M315" s="1774"/>
    </row>
    <row r="316" spans="1:13" s="1499" customFormat="1" ht="18" customHeight="1" x14ac:dyDescent="0.3">
      <c r="A316" s="783">
        <v>306</v>
      </c>
      <c r="B316" s="1489"/>
      <c r="C316" s="1598"/>
      <c r="D316" s="1596" t="s">
        <v>986</v>
      </c>
      <c r="E316" s="1492"/>
      <c r="F316" s="1493"/>
      <c r="G316" s="1802"/>
      <c r="H316" s="1772"/>
      <c r="I316" s="1771"/>
      <c r="J316" s="1597"/>
      <c r="K316" s="1771"/>
      <c r="L316" s="2000">
        <f>SUM(I316:K316)</f>
        <v>0</v>
      </c>
      <c r="M316" s="1774"/>
    </row>
    <row r="317" spans="1:13" s="1499" customFormat="1" ht="18" customHeight="1" x14ac:dyDescent="0.3">
      <c r="A317" s="730">
        <v>307</v>
      </c>
      <c r="B317" s="1489"/>
      <c r="C317" s="1598"/>
      <c r="D317" s="1599" t="s">
        <v>1151</v>
      </c>
      <c r="E317" s="1492"/>
      <c r="F317" s="1493"/>
      <c r="G317" s="1802"/>
      <c r="H317" s="1772"/>
      <c r="I317" s="1771"/>
      <c r="J317" s="1771">
        <f>SUM(J315:J316)</f>
        <v>10</v>
      </c>
      <c r="K317" s="1771"/>
      <c r="L317" s="1497">
        <f>SUM(I317:K317)</f>
        <v>10</v>
      </c>
      <c r="M317" s="1774"/>
    </row>
    <row r="318" spans="1:13" s="1499" customFormat="1" ht="22.5" customHeight="1" x14ac:dyDescent="0.3">
      <c r="A318" s="783">
        <v>308</v>
      </c>
      <c r="B318" s="1489"/>
      <c r="C318" s="745">
        <v>65</v>
      </c>
      <c r="D318" s="423" t="s">
        <v>1134</v>
      </c>
      <c r="E318" s="746">
        <f>F318+G318+L321+M320</f>
        <v>6990</v>
      </c>
      <c r="F318" s="1493"/>
      <c r="G318" s="1802"/>
      <c r="H318" s="1772"/>
      <c r="I318" s="1771"/>
      <c r="J318" s="1771"/>
      <c r="K318" s="1771"/>
      <c r="L318" s="1497"/>
      <c r="M318" s="1774"/>
    </row>
    <row r="319" spans="1:13" s="1499" customFormat="1" ht="18" customHeight="1" x14ac:dyDescent="0.3">
      <c r="A319" s="730">
        <v>309</v>
      </c>
      <c r="B319" s="1489"/>
      <c r="C319" s="749"/>
      <c r="D319" s="1599" t="s">
        <v>1072</v>
      </c>
      <c r="E319" s="1492"/>
      <c r="F319" s="1493"/>
      <c r="G319" s="1802"/>
      <c r="H319" s="1772"/>
      <c r="I319" s="1771"/>
      <c r="J319" s="1771">
        <v>6990</v>
      </c>
      <c r="K319" s="1771"/>
      <c r="L319" s="1497">
        <f>SUM(I319:K319)</f>
        <v>6990</v>
      </c>
      <c r="M319" s="1774"/>
    </row>
    <row r="320" spans="1:13" s="1499" customFormat="1" ht="18" customHeight="1" x14ac:dyDescent="0.3">
      <c r="A320" s="783">
        <v>310</v>
      </c>
      <c r="B320" s="1489"/>
      <c r="C320" s="1598"/>
      <c r="D320" s="1596" t="s">
        <v>986</v>
      </c>
      <c r="E320" s="1492"/>
      <c r="F320" s="1493"/>
      <c r="G320" s="1802"/>
      <c r="H320" s="1772"/>
      <c r="I320" s="1771"/>
      <c r="J320" s="1771"/>
      <c r="K320" s="1771"/>
      <c r="L320" s="1497"/>
      <c r="M320" s="1774"/>
    </row>
    <row r="321" spans="1:13" s="1499" customFormat="1" ht="18" customHeight="1" x14ac:dyDescent="0.3">
      <c r="A321" s="730">
        <v>311</v>
      </c>
      <c r="B321" s="1489"/>
      <c r="C321" s="1598"/>
      <c r="D321" s="1599" t="s">
        <v>1151</v>
      </c>
      <c r="E321" s="1492"/>
      <c r="F321" s="1493"/>
      <c r="G321" s="1802"/>
      <c r="H321" s="1772"/>
      <c r="I321" s="1771"/>
      <c r="J321" s="1771">
        <f>SUM(J319:J320)</f>
        <v>6990</v>
      </c>
      <c r="K321" s="1771"/>
      <c r="L321" s="1497">
        <f>SUM(I321:K321)</f>
        <v>6990</v>
      </c>
      <c r="M321" s="1774"/>
    </row>
    <row r="322" spans="1:13" s="1499" customFormat="1" ht="22.5" customHeight="1" x14ac:dyDescent="0.3">
      <c r="A322" s="783">
        <v>312</v>
      </c>
      <c r="B322" s="1489"/>
      <c r="C322" s="745">
        <v>66</v>
      </c>
      <c r="D322" s="423" t="s">
        <v>1252</v>
      </c>
      <c r="E322" s="746">
        <f>F322+G322+L324+M324</f>
        <v>10</v>
      </c>
      <c r="F322" s="1493"/>
      <c r="G322" s="1802"/>
      <c r="H322" s="1772"/>
      <c r="I322" s="1771"/>
      <c r="J322" s="1771"/>
      <c r="K322" s="1771"/>
      <c r="L322" s="1497"/>
      <c r="M322" s="1774"/>
    </row>
    <row r="323" spans="1:13" s="1499" customFormat="1" ht="18" customHeight="1" x14ac:dyDescent="0.3">
      <c r="A323" s="730">
        <v>313</v>
      </c>
      <c r="B323" s="1489"/>
      <c r="C323" s="1598"/>
      <c r="D323" s="1596" t="s">
        <v>987</v>
      </c>
      <c r="E323" s="1492"/>
      <c r="F323" s="1493"/>
      <c r="G323" s="1802"/>
      <c r="H323" s="1772"/>
      <c r="I323" s="1771"/>
      <c r="J323" s="1597">
        <v>10</v>
      </c>
      <c r="K323" s="1597"/>
      <c r="L323" s="2000">
        <f>SUM(I323:K323)</f>
        <v>10</v>
      </c>
      <c r="M323" s="1774"/>
    </row>
    <row r="324" spans="1:13" s="1499" customFormat="1" ht="18" customHeight="1" x14ac:dyDescent="0.3">
      <c r="A324" s="783">
        <v>314</v>
      </c>
      <c r="B324" s="1489"/>
      <c r="C324" s="1598"/>
      <c r="D324" s="1599" t="s">
        <v>1151</v>
      </c>
      <c r="E324" s="1492"/>
      <c r="F324" s="1493"/>
      <c r="G324" s="1802"/>
      <c r="H324" s="1772"/>
      <c r="I324" s="1771"/>
      <c r="J324" s="1771">
        <f>SUM(J323)</f>
        <v>10</v>
      </c>
      <c r="K324" s="1771"/>
      <c r="L324" s="1497">
        <f>SUM(L323)</f>
        <v>10</v>
      </c>
      <c r="M324" s="1774"/>
    </row>
    <row r="325" spans="1:13" s="1499" customFormat="1" ht="22.5" customHeight="1" x14ac:dyDescent="0.3">
      <c r="A325" s="730">
        <v>315</v>
      </c>
      <c r="B325" s="1489"/>
      <c r="C325" s="745">
        <v>67</v>
      </c>
      <c r="D325" s="423" t="s">
        <v>1253</v>
      </c>
      <c r="E325" s="746">
        <f>F325+G325+L327+M326</f>
        <v>4000</v>
      </c>
      <c r="F325" s="1493"/>
      <c r="G325" s="1802"/>
      <c r="H325" s="1772"/>
      <c r="I325" s="1771"/>
      <c r="J325" s="1771"/>
      <c r="K325" s="1771"/>
      <c r="L325" s="1497"/>
      <c r="M325" s="1774"/>
    </row>
    <row r="326" spans="1:13" s="1499" customFormat="1" ht="18" customHeight="1" x14ac:dyDescent="0.3">
      <c r="A326" s="783">
        <v>316</v>
      </c>
      <c r="B326" s="1489"/>
      <c r="C326" s="1598"/>
      <c r="D326" s="1596" t="s">
        <v>987</v>
      </c>
      <c r="E326" s="1492"/>
      <c r="F326" s="1493"/>
      <c r="G326" s="1802"/>
      <c r="H326" s="1772"/>
      <c r="I326" s="1771"/>
      <c r="J326" s="1597">
        <v>4000</v>
      </c>
      <c r="K326" s="1597"/>
      <c r="L326" s="2013">
        <f>SUM(I326:K326)</f>
        <v>4000</v>
      </c>
      <c r="M326" s="1774"/>
    </row>
    <row r="327" spans="1:13" s="1499" customFormat="1" ht="18" customHeight="1" thickBot="1" x14ac:dyDescent="0.35">
      <c r="A327" s="730">
        <v>317</v>
      </c>
      <c r="B327" s="1507"/>
      <c r="C327" s="1600"/>
      <c r="D327" s="1599" t="s">
        <v>1151</v>
      </c>
      <c r="E327" s="1510"/>
      <c r="F327" s="1511"/>
      <c r="G327" s="1803"/>
      <c r="H327" s="1773"/>
      <c r="I327" s="1895"/>
      <c r="J327" s="1895">
        <f>SUM(J326:J326)</f>
        <v>4000</v>
      </c>
      <c r="K327" s="1895"/>
      <c r="L327" s="1515">
        <f>SUM(L326)</f>
        <v>4000</v>
      </c>
      <c r="M327" s="1999"/>
    </row>
    <row r="328" spans="1:13" ht="36" customHeight="1" x14ac:dyDescent="0.3">
      <c r="A328" s="783">
        <v>318</v>
      </c>
      <c r="B328" s="2262" t="s">
        <v>13</v>
      </c>
      <c r="C328" s="2263"/>
      <c r="D328" s="2263"/>
      <c r="E328" s="2263"/>
      <c r="F328" s="2263"/>
      <c r="G328" s="2264"/>
      <c r="H328" s="1503"/>
      <c r="I328" s="1504"/>
      <c r="J328" s="1504"/>
      <c r="K328" s="1504"/>
      <c r="L328" s="1504"/>
      <c r="M328" s="1506"/>
    </row>
    <row r="329" spans="1:13" s="1477" customFormat="1" ht="18" customHeight="1" x14ac:dyDescent="0.3">
      <c r="A329" s="730">
        <v>319</v>
      </c>
      <c r="B329" s="1467"/>
      <c r="C329" s="1592"/>
      <c r="D329" s="1593" t="s">
        <v>311</v>
      </c>
      <c r="E329" s="1470"/>
      <c r="F329" s="1471"/>
      <c r="G329" s="1801"/>
      <c r="H329" s="1472"/>
      <c r="I329" s="1473">
        <f>SUM(I258,I253,I248,I243,I238,I233,I228,I223,I218,I213,I208,I203,I198,I193,I188,I183,I178,I173,I168,I163,I158,I153,I148,I143,I138,I133,I128,I123,I118,I113,I108,I103,I98,I93,I88,I83,I78,I73,I68,I63,I58,I53,I48,I43,I38,I33,I28,I23,I18,I13,)</f>
        <v>10468</v>
      </c>
      <c r="J329" s="1594">
        <f>SUM(J258,J253,J248,J243,J238,J233,J228,J223,J218,J213,J208,J203,J198,J193,J188,J183,J178,J173,J168,J163,J158,J153,J148,J143,J138,J133,J128,J123,J118,J113,J108,J103,J98,J93,J88,J83,J78,J73,J68,J63,J58,J53,J48,J43,J38,J33,J28,J23,J18,J13,)</f>
        <v>765891</v>
      </c>
      <c r="K329" s="1594">
        <f>SUM(K258,K253,K248,K243,K238,K233,K228,K223,K218,K213,K208,K203,K198,K193,K188,K183,K178,K173,K168,K163,K158,K153,K148,K143,K138,K133,K128,K123,K118,K113,K108,K103,K98,K93,K88,K83,K78,K73,K68,K63,K58,K53,K48,K43,K38,K33,K28,K23,K18,K13,)</f>
        <v>504000</v>
      </c>
      <c r="L329" s="1475">
        <f t="shared" ref="L329" si="92">SUM(I329:K329)</f>
        <v>1280359</v>
      </c>
      <c r="M329" s="1476"/>
    </row>
    <row r="330" spans="1:13" s="1477" customFormat="1" ht="18" customHeight="1" x14ac:dyDescent="0.3">
      <c r="A330" s="783">
        <v>320</v>
      </c>
      <c r="B330" s="1467"/>
      <c r="C330" s="1592"/>
      <c r="D330" s="1599" t="s">
        <v>1072</v>
      </c>
      <c r="E330" s="1470"/>
      <c r="F330" s="1471"/>
      <c r="G330" s="1801"/>
      <c r="H330" s="1472"/>
      <c r="I330" s="1495">
        <f>SUM(I259,I254,I249,I244,I239,I234,I229,I224,I219,I214,I209,I204,I199,I194,I189,I184,I179,I174,I169,I164,I159,I154,I149,I144,I139,I134,I129,I124,I119,I114,I109,I104,I99,I94,I89,I84,I79,I74,I69,I64,I59,I54,I49,I44,I39,I34,I29,I24,I19,I14,)+I263+I267+I271+I275+I303+I299+I295+I291+I287+I283+I279+I307+I311+I315+I319</f>
        <v>10468</v>
      </c>
      <c r="J330" s="1495">
        <f t="shared" ref="J330:L330" si="93">SUM(J259,J254,J249,J244,J239,J234,J229,J224,J219,J214,J209,J204,J199,J194,J189,J184,J179,J174,J169,J164,J159,J154,J149,J144,J139,J134,J129,J124,J119,J114,J109,J104,J99,J94,J89,J84,J79,J74,J69,J64,J59,J54,J49,J44,J39,J34,J29,J24,J19,J14,)+J263+J267+J271+J275+J303+J299+J295+J291+J287+J283+J279+J307+J311+J315+J319</f>
        <v>743518</v>
      </c>
      <c r="K330" s="1495">
        <f t="shared" si="93"/>
        <v>495160</v>
      </c>
      <c r="L330" s="1495">
        <f t="shared" si="93"/>
        <v>1249146</v>
      </c>
      <c r="M330" s="1476"/>
    </row>
    <row r="331" spans="1:13" s="1488" customFormat="1" ht="18" customHeight="1" x14ac:dyDescent="0.3">
      <c r="A331" s="730">
        <v>321</v>
      </c>
      <c r="B331" s="1478"/>
      <c r="C331" s="1595"/>
      <c r="D331" s="1596" t="s">
        <v>963</v>
      </c>
      <c r="E331" s="1481"/>
      <c r="F331" s="1482"/>
      <c r="G331" s="1799"/>
      <c r="H331" s="1483"/>
      <c r="I331" s="1597">
        <f>SUM(I260,I255,I250,I245,I240,I235,I230,I225,I220,I215,I210,I205,I200,I195,I190,I185,I180,I175,I170,I165,I160,I155,I150,I145,I140,I135,I130,I125,I120,I115,I110,I105,I100,I95,I90,I85,I80,I75,I70,I65,I60,I55,I50,I45,I40,I35,I30,I25,I20,I15,)+I272+I276+I304+I280+I284+I288+I296+I292+I300+I326+I316+I308+I312+I323+I320</f>
        <v>0</v>
      </c>
      <c r="J331" s="1597">
        <f t="shared" ref="J331:L331" si="94">SUM(J260,J255,J250,J245,J240,J235,J230,J225,J220,J215,J210,J205,J200,J195,J190,J185,J180,J175,J170,J165,J160,J155,J150,J145,J140,J135,J130,J125,J120,J115,J110,J105,J100,J95,J90,J85,J80,J75,J70,J65,J60,J55,J50,J45,J40,J35,J30,J25,J20,J15,)+J272+J276+J304+J280+J284+J288+J296+J292+J300+J326+J316+J308+J312+J323+J320</f>
        <v>4168</v>
      </c>
      <c r="K331" s="1597">
        <f t="shared" si="94"/>
        <v>0</v>
      </c>
      <c r="L331" s="1597">
        <f t="shared" si="94"/>
        <v>4168</v>
      </c>
      <c r="M331" s="1487"/>
    </row>
    <row r="332" spans="1:13" s="1499" customFormat="1" ht="18" customHeight="1" thickBot="1" x14ac:dyDescent="0.35">
      <c r="A332" s="783">
        <v>322</v>
      </c>
      <c r="B332" s="1507"/>
      <c r="C332" s="1600"/>
      <c r="D332" s="1601" t="s">
        <v>1151</v>
      </c>
      <c r="E332" s="1510"/>
      <c r="F332" s="1511"/>
      <c r="G332" s="1804"/>
      <c r="H332" s="1512"/>
      <c r="I332" s="1513">
        <f>SUM(I330:I331)</f>
        <v>10468</v>
      </c>
      <c r="J332" s="1513">
        <f t="shared" ref="J332:K332" si="95">SUM(J330:J331)</f>
        <v>747686</v>
      </c>
      <c r="K332" s="1513">
        <f t="shared" si="95"/>
        <v>495160</v>
      </c>
      <c r="L332" s="1515">
        <f>SUM(I332:K332)</f>
        <v>1253314</v>
      </c>
      <c r="M332" s="1516"/>
    </row>
    <row r="333" spans="1:13" ht="18" customHeight="1" x14ac:dyDescent="0.3">
      <c r="B333" s="1602" t="s">
        <v>27</v>
      </c>
      <c r="C333" s="1602"/>
      <c r="D333" s="1602"/>
      <c r="E333" s="726"/>
      <c r="F333" s="727"/>
      <c r="G333" s="726"/>
      <c r="H333" s="1603"/>
      <c r="I333" s="726"/>
      <c r="J333" s="726"/>
      <c r="K333" s="726"/>
      <c r="L333" s="726"/>
    </row>
    <row r="334" spans="1:13" ht="18" customHeight="1" x14ac:dyDescent="0.3">
      <c r="B334" s="1602" t="s">
        <v>28</v>
      </c>
      <c r="C334" s="1602"/>
      <c r="D334" s="1602"/>
      <c r="E334" s="1604"/>
      <c r="F334" s="727"/>
      <c r="G334" s="726"/>
      <c r="H334" s="1603"/>
      <c r="I334" s="726"/>
      <c r="J334" s="726"/>
      <c r="K334" s="726"/>
      <c r="L334" s="726"/>
    </row>
    <row r="335" spans="1:13" ht="18" customHeight="1" x14ac:dyDescent="0.3">
      <c r="B335" s="1602" t="s">
        <v>29</v>
      </c>
      <c r="C335" s="1602"/>
      <c r="D335" s="1602"/>
      <c r="E335" s="1604"/>
      <c r="F335" s="727"/>
      <c r="G335" s="726"/>
      <c r="H335" s="1603"/>
      <c r="I335" s="726"/>
      <c r="J335" s="726"/>
      <c r="K335" s="726"/>
      <c r="L335" s="726"/>
    </row>
  </sheetData>
  <mergeCells count="16">
    <mergeCell ref="B1:M1"/>
    <mergeCell ref="B2:M2"/>
    <mergeCell ref="B328:G328"/>
    <mergeCell ref="B4:M4"/>
    <mergeCell ref="B5:M5"/>
    <mergeCell ref="B8:B10"/>
    <mergeCell ref="C8:C10"/>
    <mergeCell ref="D8:D10"/>
    <mergeCell ref="E8:E10"/>
    <mergeCell ref="F8:F10"/>
    <mergeCell ref="G8:G10"/>
    <mergeCell ref="H8:H10"/>
    <mergeCell ref="I8:L8"/>
    <mergeCell ref="M8:M10"/>
    <mergeCell ref="J9:K9"/>
    <mergeCell ref="L9:L10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52" fitToHeight="0" orientation="portrait" r:id="rId1"/>
  <headerFooter>
    <oddFooter>&amp;C- &amp;P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R142"/>
  <sheetViews>
    <sheetView view="pageBreakPreview" zoomScaleNormal="100" zoomScaleSheetLayoutView="100" workbookViewId="0">
      <pane ySplit="8" topLeftCell="A9" activePane="bottomLeft" state="frozen"/>
      <selection activeCell="I6" sqref="I6"/>
      <selection pane="bottomLeft" activeCell="O8" sqref="O8"/>
    </sheetView>
  </sheetViews>
  <sheetFormatPr defaultColWidth="9.140625" defaultRowHeight="15" x14ac:dyDescent="0.3"/>
  <cols>
    <col min="1" max="1" width="3.5703125" style="729" customWidth="1"/>
    <col min="2" max="2" width="5.7109375" style="720" customWidth="1"/>
    <col min="3" max="3" width="5.7109375" style="721" customWidth="1"/>
    <col min="4" max="4" width="59.7109375" style="722" customWidth="1"/>
    <col min="5" max="7" width="10.7109375" style="718" customWidth="1"/>
    <col min="8" max="8" width="6.7109375" style="723" customWidth="1"/>
    <col min="9" max="10" width="14.85546875" style="718" customWidth="1"/>
    <col min="11" max="11" width="15.7109375" style="718" customWidth="1"/>
    <col min="12" max="12" width="13.7109375" style="728" customWidth="1"/>
    <col min="13" max="16384" width="9.140625" style="719"/>
  </cols>
  <sheetData>
    <row r="1" spans="1:250" s="418" customFormat="1" ht="18" customHeight="1" x14ac:dyDescent="0.3">
      <c r="A1" s="1462"/>
      <c r="B1" s="2297" t="s">
        <v>638</v>
      </c>
      <c r="C1" s="2297"/>
      <c r="D1" s="2297"/>
      <c r="E1" s="1463"/>
      <c r="F1" s="1463"/>
      <c r="G1" s="1463"/>
      <c r="H1" s="1464"/>
      <c r="I1" s="2298"/>
      <c r="J1" s="2298"/>
      <c r="K1" s="2298"/>
      <c r="L1" s="2298"/>
      <c r="M1" s="1465"/>
      <c r="N1" s="1465"/>
      <c r="O1" s="1465"/>
      <c r="P1" s="1465"/>
      <c r="Q1" s="1465"/>
      <c r="R1" s="1465"/>
      <c r="S1" s="1465"/>
      <c r="T1" s="1465"/>
      <c r="U1" s="1465"/>
      <c r="V1" s="1465"/>
      <c r="W1" s="1465"/>
      <c r="X1" s="1465"/>
      <c r="Y1" s="1465"/>
      <c r="Z1" s="1465"/>
      <c r="AA1" s="1465"/>
      <c r="AB1" s="1465"/>
      <c r="AC1" s="1465"/>
      <c r="AD1" s="1465"/>
      <c r="AE1" s="1465"/>
      <c r="AF1" s="1465"/>
      <c r="AG1" s="1465"/>
      <c r="AH1" s="1465"/>
      <c r="AI1" s="1465"/>
      <c r="AJ1" s="1465"/>
      <c r="AK1" s="1465"/>
      <c r="AL1" s="1465"/>
      <c r="AM1" s="1465"/>
      <c r="AN1" s="1465"/>
      <c r="AO1" s="1465"/>
      <c r="AP1" s="1465"/>
      <c r="AQ1" s="1465"/>
      <c r="AR1" s="1465"/>
      <c r="AS1" s="1465"/>
      <c r="AT1" s="1465"/>
      <c r="AU1" s="1465"/>
      <c r="AV1" s="1465"/>
      <c r="AW1" s="1465"/>
      <c r="AX1" s="1465"/>
      <c r="AY1" s="1465"/>
      <c r="AZ1" s="1465"/>
      <c r="BA1" s="1465"/>
      <c r="BB1" s="1465"/>
      <c r="BC1" s="1465"/>
      <c r="BD1" s="1465"/>
      <c r="BE1" s="1465"/>
      <c r="BF1" s="1465"/>
      <c r="BG1" s="1465"/>
      <c r="BH1" s="1465"/>
      <c r="BI1" s="1465"/>
      <c r="BJ1" s="1465"/>
      <c r="BK1" s="1465"/>
      <c r="BL1" s="1465"/>
      <c r="BM1" s="1465"/>
      <c r="BN1" s="1465"/>
      <c r="BO1" s="1465"/>
      <c r="BP1" s="1465"/>
      <c r="BQ1" s="1465"/>
      <c r="BR1" s="1465"/>
      <c r="BS1" s="1465"/>
      <c r="BT1" s="1465"/>
      <c r="BU1" s="1465"/>
      <c r="BV1" s="1465"/>
      <c r="BW1" s="1465"/>
      <c r="BX1" s="1465"/>
      <c r="BY1" s="1465"/>
      <c r="BZ1" s="1465"/>
      <c r="CA1" s="1465"/>
      <c r="CB1" s="1465"/>
      <c r="CC1" s="1465"/>
      <c r="CD1" s="1465"/>
      <c r="CE1" s="1465"/>
      <c r="CF1" s="1465"/>
      <c r="CG1" s="1465"/>
      <c r="CH1" s="1465"/>
      <c r="CI1" s="1465"/>
      <c r="CJ1" s="1465"/>
      <c r="CK1" s="1465"/>
      <c r="CL1" s="1465"/>
      <c r="CM1" s="1465"/>
      <c r="CN1" s="1465"/>
      <c r="CO1" s="1465"/>
      <c r="CP1" s="1465"/>
      <c r="CQ1" s="1465"/>
      <c r="CR1" s="1465"/>
      <c r="CS1" s="1465"/>
      <c r="CT1" s="1465"/>
      <c r="CU1" s="1465"/>
      <c r="CV1" s="1465"/>
      <c r="CW1" s="1465"/>
      <c r="CX1" s="1465"/>
      <c r="CY1" s="1465"/>
      <c r="CZ1" s="1465"/>
      <c r="DA1" s="1465"/>
      <c r="DB1" s="1465"/>
      <c r="DC1" s="1465"/>
      <c r="DD1" s="1465"/>
      <c r="DE1" s="1465"/>
      <c r="DF1" s="1465"/>
      <c r="DG1" s="1465"/>
      <c r="DH1" s="1465"/>
      <c r="DI1" s="1465"/>
      <c r="DJ1" s="1465"/>
      <c r="DK1" s="1465"/>
      <c r="DL1" s="1465"/>
      <c r="DM1" s="1465"/>
      <c r="DN1" s="1465"/>
      <c r="DO1" s="1465"/>
      <c r="DP1" s="1465"/>
      <c r="DQ1" s="1465"/>
      <c r="DR1" s="1465"/>
      <c r="DS1" s="1465"/>
      <c r="DT1" s="1465"/>
      <c r="DU1" s="1465"/>
      <c r="DV1" s="1465"/>
      <c r="DW1" s="1465"/>
      <c r="DX1" s="1465"/>
      <c r="DY1" s="1465"/>
      <c r="DZ1" s="1465"/>
      <c r="EA1" s="1465"/>
      <c r="EB1" s="1465"/>
      <c r="EC1" s="1465"/>
      <c r="ED1" s="1465"/>
      <c r="EE1" s="1465"/>
      <c r="EF1" s="1465"/>
      <c r="EG1" s="1465"/>
      <c r="EH1" s="1465"/>
      <c r="EI1" s="1465"/>
      <c r="EJ1" s="1465"/>
      <c r="EK1" s="1465"/>
      <c r="EL1" s="1465"/>
      <c r="EM1" s="1465"/>
      <c r="EN1" s="1465"/>
      <c r="EO1" s="1465"/>
      <c r="EP1" s="1465"/>
      <c r="EQ1" s="1465"/>
      <c r="ER1" s="1465"/>
      <c r="ES1" s="1465"/>
      <c r="ET1" s="1465"/>
      <c r="EU1" s="1465"/>
      <c r="EV1" s="1465"/>
      <c r="EW1" s="1465"/>
      <c r="EX1" s="1465"/>
      <c r="EY1" s="1465"/>
      <c r="EZ1" s="1465"/>
      <c r="FA1" s="1465"/>
      <c r="FB1" s="1465"/>
      <c r="FC1" s="1465"/>
      <c r="FD1" s="1465"/>
      <c r="FE1" s="1465"/>
      <c r="FF1" s="1465"/>
      <c r="FG1" s="1465"/>
      <c r="FH1" s="1465"/>
      <c r="FI1" s="1465"/>
      <c r="FJ1" s="1465"/>
      <c r="FK1" s="1465"/>
      <c r="FL1" s="1465"/>
      <c r="FM1" s="1465"/>
      <c r="FN1" s="1465"/>
      <c r="FO1" s="1465"/>
      <c r="FP1" s="1465"/>
      <c r="FQ1" s="1465"/>
      <c r="FR1" s="1465"/>
      <c r="FS1" s="1465"/>
      <c r="FT1" s="1465"/>
      <c r="FU1" s="1465"/>
      <c r="FV1" s="1465"/>
      <c r="FW1" s="1465"/>
      <c r="FX1" s="1465"/>
      <c r="FY1" s="1465"/>
      <c r="FZ1" s="1465"/>
      <c r="GA1" s="1465"/>
      <c r="GB1" s="1465"/>
      <c r="GC1" s="1465"/>
      <c r="GD1" s="1465"/>
      <c r="GE1" s="1465"/>
      <c r="GF1" s="1465"/>
      <c r="GG1" s="1465"/>
      <c r="GH1" s="1465"/>
      <c r="GI1" s="1465"/>
      <c r="GJ1" s="1465"/>
      <c r="GK1" s="1465"/>
      <c r="GL1" s="1465"/>
      <c r="GM1" s="1465"/>
      <c r="GN1" s="1465"/>
      <c r="GO1" s="1465"/>
      <c r="GP1" s="1465"/>
      <c r="GQ1" s="1465"/>
      <c r="GR1" s="1465"/>
      <c r="GS1" s="1465"/>
      <c r="GT1" s="1465"/>
      <c r="GU1" s="1465"/>
      <c r="GV1" s="1465"/>
      <c r="GW1" s="1465"/>
      <c r="GX1" s="1465"/>
      <c r="GY1" s="1465"/>
      <c r="GZ1" s="1465"/>
      <c r="HA1" s="1465"/>
      <c r="HB1" s="1465"/>
      <c r="HC1" s="1465"/>
      <c r="HD1" s="1465"/>
      <c r="HE1" s="1465"/>
      <c r="HF1" s="1465"/>
      <c r="HG1" s="1465"/>
      <c r="HH1" s="1465"/>
      <c r="HI1" s="1465"/>
      <c r="HJ1" s="1465"/>
      <c r="HK1" s="1465"/>
      <c r="HL1" s="1465"/>
      <c r="HM1" s="1465"/>
      <c r="HN1" s="1465"/>
      <c r="HO1" s="1465"/>
      <c r="HP1" s="1465"/>
      <c r="HQ1" s="1465"/>
      <c r="HR1" s="1465"/>
      <c r="HS1" s="1465"/>
      <c r="HT1" s="1465"/>
      <c r="HU1" s="1465"/>
      <c r="HV1" s="1465"/>
      <c r="HW1" s="1465"/>
      <c r="HX1" s="1465"/>
      <c r="HY1" s="1465"/>
      <c r="HZ1" s="1465"/>
      <c r="IA1" s="1465"/>
      <c r="IB1" s="1465"/>
      <c r="IC1" s="1465"/>
      <c r="ID1" s="1465"/>
      <c r="IE1" s="1465"/>
      <c r="IF1" s="1465"/>
      <c r="IG1" s="1465"/>
      <c r="IH1" s="1465"/>
      <c r="II1" s="1465"/>
      <c r="IJ1" s="1465"/>
      <c r="IK1" s="1465"/>
      <c r="IL1" s="1465"/>
      <c r="IM1" s="1465"/>
      <c r="IN1" s="1465"/>
      <c r="IO1" s="1465"/>
      <c r="IP1" s="1465"/>
    </row>
    <row r="2" spans="1:250" s="418" customFormat="1" ht="18" customHeight="1" x14ac:dyDescent="0.35">
      <c r="A2" s="729"/>
      <c r="B2" s="2265" t="s">
        <v>14</v>
      </c>
      <c r="C2" s="2265"/>
      <c r="D2" s="2265"/>
      <c r="E2" s="2265"/>
      <c r="F2" s="2265"/>
      <c r="G2" s="2265"/>
      <c r="H2" s="2265"/>
      <c r="I2" s="2265"/>
      <c r="J2" s="2265"/>
      <c r="K2" s="2265"/>
      <c r="L2" s="2265"/>
    </row>
    <row r="3" spans="1:250" s="418" customFormat="1" ht="18" customHeight="1" x14ac:dyDescent="0.3">
      <c r="A3" s="729"/>
      <c r="B3" s="2266" t="s">
        <v>1154</v>
      </c>
      <c r="C3" s="2266"/>
      <c r="D3" s="2266"/>
      <c r="E3" s="2266"/>
      <c r="F3" s="2266"/>
      <c r="G3" s="2266"/>
      <c r="H3" s="2266"/>
      <c r="I3" s="2266"/>
      <c r="J3" s="2266"/>
      <c r="K3" s="2266"/>
      <c r="L3" s="2266"/>
    </row>
    <row r="4" spans="1:250" ht="18" customHeight="1" x14ac:dyDescent="0.3">
      <c r="L4" s="724" t="s">
        <v>0</v>
      </c>
    </row>
    <row r="5" spans="1:250" s="134" customFormat="1" ht="18" customHeight="1" thickBot="1" x14ac:dyDescent="0.25">
      <c r="A5" s="729"/>
      <c r="B5" s="752" t="s">
        <v>1</v>
      </c>
      <c r="C5" s="753" t="s">
        <v>3</v>
      </c>
      <c r="D5" s="753" t="s">
        <v>2</v>
      </c>
      <c r="E5" s="753" t="s">
        <v>4</v>
      </c>
      <c r="F5" s="753" t="s">
        <v>5</v>
      </c>
      <c r="G5" s="753" t="s">
        <v>15</v>
      </c>
      <c r="H5" s="753" t="s">
        <v>16</v>
      </c>
      <c r="I5" s="753" t="s">
        <v>17</v>
      </c>
      <c r="J5" s="753" t="s">
        <v>36</v>
      </c>
      <c r="K5" s="753" t="s">
        <v>30</v>
      </c>
      <c r="L5" s="753" t="s">
        <v>23</v>
      </c>
      <c r="M5" s="729"/>
      <c r="N5" s="729"/>
      <c r="O5" s="729"/>
      <c r="P5" s="729"/>
      <c r="Q5" s="729"/>
      <c r="R5" s="729"/>
      <c r="S5" s="729"/>
      <c r="T5" s="729"/>
      <c r="U5" s="729"/>
      <c r="V5" s="729"/>
      <c r="W5" s="729"/>
      <c r="X5" s="729"/>
      <c r="Y5" s="729"/>
      <c r="Z5" s="729"/>
      <c r="AA5" s="729"/>
      <c r="AB5" s="729"/>
      <c r="AC5" s="729"/>
      <c r="AD5" s="729"/>
      <c r="AE5" s="729"/>
      <c r="AF5" s="729"/>
      <c r="AG5" s="729"/>
      <c r="AH5" s="729"/>
      <c r="AI5" s="729"/>
      <c r="AJ5" s="729"/>
      <c r="AK5" s="729"/>
      <c r="AL5" s="729"/>
      <c r="AM5" s="729"/>
      <c r="AN5" s="729"/>
      <c r="AO5" s="729"/>
      <c r="AP5" s="729"/>
      <c r="AQ5" s="729"/>
      <c r="AR5" s="729"/>
      <c r="AS5" s="729"/>
      <c r="AT5" s="729"/>
      <c r="AU5" s="729"/>
      <c r="AV5" s="729"/>
      <c r="AW5" s="729"/>
      <c r="AX5" s="729"/>
      <c r="AY5" s="729"/>
      <c r="AZ5" s="729"/>
      <c r="BA5" s="729"/>
      <c r="BB5" s="729"/>
      <c r="BC5" s="729"/>
      <c r="BD5" s="729"/>
      <c r="BE5" s="729"/>
      <c r="BF5" s="729"/>
      <c r="BG5" s="729"/>
      <c r="BH5" s="729"/>
      <c r="BI5" s="729"/>
      <c r="BJ5" s="729"/>
      <c r="BK5" s="729"/>
      <c r="BL5" s="729"/>
      <c r="BM5" s="729"/>
      <c r="BN5" s="729"/>
      <c r="BO5" s="729"/>
      <c r="BP5" s="729"/>
      <c r="BQ5" s="729"/>
      <c r="BR5" s="729"/>
      <c r="BS5" s="729"/>
      <c r="BT5" s="729"/>
      <c r="BU5" s="729"/>
      <c r="BV5" s="729"/>
      <c r="BW5" s="729"/>
      <c r="BX5" s="729"/>
      <c r="BY5" s="729"/>
      <c r="BZ5" s="729"/>
      <c r="CA5" s="729"/>
      <c r="CB5" s="729"/>
      <c r="CC5" s="729"/>
      <c r="CD5" s="729"/>
      <c r="CE5" s="729"/>
      <c r="CF5" s="729"/>
      <c r="CG5" s="729"/>
      <c r="CH5" s="729"/>
      <c r="CI5" s="729"/>
      <c r="CJ5" s="729"/>
      <c r="CK5" s="729"/>
      <c r="CL5" s="729"/>
      <c r="CM5" s="729"/>
      <c r="CN5" s="729"/>
      <c r="CO5" s="729"/>
      <c r="CP5" s="729"/>
      <c r="CQ5" s="729"/>
      <c r="CR5" s="729"/>
      <c r="CS5" s="729"/>
      <c r="CT5" s="729"/>
      <c r="CU5" s="729"/>
      <c r="CV5" s="729"/>
      <c r="CW5" s="729"/>
      <c r="CX5" s="729"/>
      <c r="CY5" s="729"/>
      <c r="CZ5" s="729"/>
      <c r="DA5" s="729"/>
      <c r="DB5" s="729"/>
      <c r="DC5" s="729"/>
      <c r="DD5" s="729"/>
      <c r="DE5" s="729"/>
      <c r="DF5" s="729"/>
      <c r="DG5" s="729"/>
      <c r="DH5" s="729"/>
      <c r="DI5" s="729"/>
      <c r="DJ5" s="729"/>
      <c r="DK5" s="729"/>
      <c r="DL5" s="729"/>
      <c r="DM5" s="729"/>
      <c r="DN5" s="729"/>
      <c r="DO5" s="729"/>
      <c r="DP5" s="729"/>
      <c r="DQ5" s="729"/>
      <c r="DR5" s="729"/>
      <c r="DS5" s="729"/>
      <c r="DT5" s="729"/>
      <c r="DU5" s="729"/>
      <c r="DV5" s="729"/>
      <c r="DW5" s="729"/>
      <c r="DX5" s="729"/>
      <c r="DY5" s="729"/>
      <c r="DZ5" s="729"/>
      <c r="EA5" s="729"/>
      <c r="EB5" s="729"/>
      <c r="EC5" s="729"/>
      <c r="ED5" s="729"/>
      <c r="EE5" s="729"/>
      <c r="EF5" s="729"/>
      <c r="EG5" s="729"/>
      <c r="EH5" s="729"/>
      <c r="EI5" s="729"/>
      <c r="EJ5" s="729"/>
      <c r="EK5" s="729"/>
      <c r="EL5" s="729"/>
      <c r="EM5" s="729"/>
      <c r="EN5" s="729"/>
      <c r="EO5" s="729"/>
      <c r="EP5" s="729"/>
      <c r="EQ5" s="729"/>
      <c r="ER5" s="729"/>
      <c r="ES5" s="729"/>
      <c r="ET5" s="729"/>
      <c r="EU5" s="729"/>
      <c r="EV5" s="729"/>
      <c r="EW5" s="729"/>
      <c r="EX5" s="729"/>
      <c r="EY5" s="729"/>
      <c r="EZ5" s="729"/>
      <c r="FA5" s="729"/>
      <c r="FB5" s="729"/>
      <c r="FC5" s="729"/>
      <c r="FD5" s="729"/>
      <c r="FE5" s="729"/>
      <c r="FF5" s="729"/>
      <c r="FG5" s="729"/>
      <c r="FH5" s="729"/>
      <c r="FI5" s="729"/>
      <c r="FJ5" s="729"/>
      <c r="FK5" s="729"/>
      <c r="FL5" s="729"/>
      <c r="FM5" s="729"/>
      <c r="FN5" s="729"/>
      <c r="FO5" s="729"/>
      <c r="FP5" s="729"/>
      <c r="FQ5" s="729"/>
      <c r="FR5" s="729"/>
      <c r="FS5" s="729"/>
      <c r="FT5" s="729"/>
      <c r="FU5" s="729"/>
      <c r="FV5" s="729"/>
      <c r="FW5" s="729"/>
      <c r="FX5" s="729"/>
      <c r="FY5" s="729"/>
      <c r="FZ5" s="729"/>
      <c r="GA5" s="729"/>
      <c r="GB5" s="729"/>
      <c r="GC5" s="729"/>
      <c r="GD5" s="729"/>
      <c r="GE5" s="729"/>
      <c r="GF5" s="729"/>
      <c r="GG5" s="729"/>
      <c r="GH5" s="729"/>
      <c r="GI5" s="729"/>
      <c r="GJ5" s="729"/>
      <c r="GK5" s="729"/>
      <c r="GL5" s="729"/>
      <c r="GM5" s="729"/>
      <c r="GN5" s="729"/>
      <c r="GO5" s="729"/>
      <c r="GP5" s="729"/>
      <c r="GQ5" s="729"/>
      <c r="GR5" s="729"/>
      <c r="GS5" s="729"/>
      <c r="GT5" s="729"/>
      <c r="GU5" s="729"/>
      <c r="GV5" s="729"/>
      <c r="GW5" s="729"/>
      <c r="GX5" s="729"/>
      <c r="GY5" s="729"/>
      <c r="GZ5" s="729"/>
      <c r="HA5" s="729"/>
      <c r="HB5" s="729"/>
      <c r="HC5" s="729"/>
      <c r="HD5" s="729"/>
      <c r="HE5" s="729"/>
      <c r="HF5" s="729"/>
      <c r="HG5" s="729"/>
      <c r="HH5" s="729"/>
      <c r="HI5" s="729"/>
      <c r="HJ5" s="729"/>
      <c r="HK5" s="729"/>
      <c r="HL5" s="729"/>
      <c r="HM5" s="729"/>
      <c r="HN5" s="729"/>
      <c r="HO5" s="729"/>
      <c r="HP5" s="729"/>
      <c r="HQ5" s="729"/>
      <c r="HR5" s="729"/>
      <c r="HS5" s="729"/>
      <c r="HT5" s="729"/>
      <c r="HU5" s="729"/>
      <c r="HV5" s="729"/>
      <c r="HW5" s="729"/>
      <c r="HX5" s="729"/>
      <c r="HY5" s="729"/>
      <c r="HZ5" s="729"/>
      <c r="IA5" s="729"/>
      <c r="IB5" s="729"/>
      <c r="IC5" s="729"/>
      <c r="ID5" s="729"/>
      <c r="IE5" s="729"/>
      <c r="IF5" s="729"/>
      <c r="IG5" s="729"/>
      <c r="IH5" s="729"/>
      <c r="II5" s="729"/>
      <c r="IJ5" s="729"/>
      <c r="IK5" s="729"/>
      <c r="IL5" s="729"/>
      <c r="IM5" s="729"/>
      <c r="IN5" s="729"/>
      <c r="IO5" s="729"/>
      <c r="IP5" s="729"/>
    </row>
    <row r="6" spans="1:250" ht="30" customHeight="1" x14ac:dyDescent="0.3">
      <c r="B6" s="2267" t="s">
        <v>18</v>
      </c>
      <c r="C6" s="2270" t="s">
        <v>19</v>
      </c>
      <c r="D6" s="2273" t="s">
        <v>6</v>
      </c>
      <c r="E6" s="2276" t="s">
        <v>21</v>
      </c>
      <c r="F6" s="2276" t="s">
        <v>633</v>
      </c>
      <c r="G6" s="2279" t="s">
        <v>888</v>
      </c>
      <c r="H6" s="2282" t="s">
        <v>302</v>
      </c>
      <c r="I6" s="2299" t="s">
        <v>634</v>
      </c>
      <c r="J6" s="2299"/>
      <c r="K6" s="2300"/>
      <c r="L6" s="2288" t="s">
        <v>644</v>
      </c>
    </row>
    <row r="7" spans="1:250" ht="45" customHeight="1" x14ac:dyDescent="0.3">
      <c r="B7" s="2268"/>
      <c r="C7" s="2271"/>
      <c r="D7" s="2274"/>
      <c r="E7" s="2277"/>
      <c r="F7" s="2277"/>
      <c r="G7" s="2280"/>
      <c r="H7" s="2283"/>
      <c r="I7" s="723" t="s">
        <v>39</v>
      </c>
      <c r="J7" s="1963" t="s">
        <v>163</v>
      </c>
      <c r="K7" s="2292" t="s">
        <v>129</v>
      </c>
      <c r="L7" s="2289"/>
    </row>
    <row r="8" spans="1:250" ht="53.25" customHeight="1" thickBot="1" x14ac:dyDescent="0.35">
      <c r="B8" s="2269"/>
      <c r="C8" s="2272"/>
      <c r="D8" s="2275"/>
      <c r="E8" s="2278"/>
      <c r="F8" s="2278"/>
      <c r="G8" s="2281"/>
      <c r="H8" s="2284"/>
      <c r="I8" s="955" t="s">
        <v>42</v>
      </c>
      <c r="J8" s="754" t="s">
        <v>232</v>
      </c>
      <c r="K8" s="2293"/>
      <c r="L8" s="2290"/>
    </row>
    <row r="9" spans="1:250" ht="23.25" customHeight="1" x14ac:dyDescent="0.3">
      <c r="A9" s="730">
        <v>1</v>
      </c>
      <c r="B9" s="954">
        <v>18</v>
      </c>
      <c r="C9" s="947" t="s">
        <v>22</v>
      </c>
      <c r="D9" s="1805"/>
      <c r="E9" s="725"/>
      <c r="F9" s="742"/>
      <c r="G9" s="1797"/>
      <c r="H9" s="985"/>
      <c r="I9" s="956"/>
      <c r="J9" s="755"/>
      <c r="K9" s="756"/>
      <c r="L9" s="743"/>
    </row>
    <row r="10" spans="1:250" ht="22.5" customHeight="1" x14ac:dyDescent="0.3">
      <c r="A10" s="730">
        <v>2</v>
      </c>
      <c r="B10" s="744"/>
      <c r="C10" s="745">
        <v>1</v>
      </c>
      <c r="D10" s="1051" t="s">
        <v>784</v>
      </c>
      <c r="E10" s="746">
        <f>F10+G10+K14+L11</f>
        <v>21500</v>
      </c>
      <c r="F10" s="747">
        <v>10000</v>
      </c>
      <c r="G10" s="1798">
        <v>9000</v>
      </c>
      <c r="H10" s="986" t="s">
        <v>23</v>
      </c>
      <c r="I10" s="957"/>
      <c r="J10" s="1466"/>
      <c r="K10" s="758"/>
      <c r="L10" s="748"/>
    </row>
    <row r="11" spans="1:250" s="1477" customFormat="1" ht="18" customHeight="1" x14ac:dyDescent="0.3">
      <c r="A11" s="730">
        <v>3</v>
      </c>
      <c r="B11" s="1467"/>
      <c r="C11" s="1468"/>
      <c r="D11" s="1469" t="s">
        <v>311</v>
      </c>
      <c r="E11" s="1470"/>
      <c r="F11" s="1471"/>
      <c r="G11" s="1801"/>
      <c r="H11" s="1472"/>
      <c r="I11" s="1473"/>
      <c r="J11" s="1474">
        <v>5000</v>
      </c>
      <c r="K11" s="2036">
        <f t="shared" ref="K11:K104" si="0">SUM(I11:J11)</f>
        <v>5000</v>
      </c>
      <c r="L11" s="1476"/>
    </row>
    <row r="12" spans="1:250" s="1477" customFormat="1" ht="18" customHeight="1" x14ac:dyDescent="0.3">
      <c r="A12" s="730">
        <v>4</v>
      </c>
      <c r="B12" s="1467"/>
      <c r="C12" s="1468"/>
      <c r="D12" s="1855" t="s">
        <v>1072</v>
      </c>
      <c r="E12" s="1470"/>
      <c r="F12" s="1471"/>
      <c r="G12" s="1801"/>
      <c r="H12" s="1472"/>
      <c r="I12" s="1473"/>
      <c r="J12" s="1496">
        <v>2500</v>
      </c>
      <c r="K12" s="1497">
        <f t="shared" si="0"/>
        <v>2500</v>
      </c>
      <c r="L12" s="1476"/>
    </row>
    <row r="13" spans="1:250" s="1488" customFormat="1" ht="18" customHeight="1" x14ac:dyDescent="0.3">
      <c r="A13" s="730">
        <v>5</v>
      </c>
      <c r="B13" s="1478"/>
      <c r="C13" s="1479"/>
      <c r="D13" s="1480" t="s">
        <v>986</v>
      </c>
      <c r="E13" s="1481"/>
      <c r="F13" s="1482"/>
      <c r="G13" s="1799"/>
      <c r="H13" s="1483"/>
      <c r="I13" s="1484"/>
      <c r="J13" s="1485"/>
      <c r="K13" s="1486">
        <f t="shared" si="0"/>
        <v>0</v>
      </c>
      <c r="L13" s="1487"/>
    </row>
    <row r="14" spans="1:250" s="1499" customFormat="1" ht="18" customHeight="1" x14ac:dyDescent="0.3">
      <c r="A14" s="730">
        <v>6</v>
      </c>
      <c r="B14" s="1489"/>
      <c r="C14" s="1490"/>
      <c r="D14" s="1491" t="s">
        <v>1151</v>
      </c>
      <c r="E14" s="1492"/>
      <c r="F14" s="1493"/>
      <c r="G14" s="1800"/>
      <c r="H14" s="1494"/>
      <c r="I14" s="1495"/>
      <c r="J14" s="1496">
        <f>SUM(J12:J13)</f>
        <v>2500</v>
      </c>
      <c r="K14" s="1497">
        <f t="shared" si="0"/>
        <v>2500</v>
      </c>
      <c r="L14" s="1498"/>
    </row>
    <row r="15" spans="1:250" ht="22.5" customHeight="1" x14ac:dyDescent="0.3">
      <c r="A15" s="730">
        <v>7</v>
      </c>
      <c r="B15" s="744"/>
      <c r="C15" s="745">
        <v>2</v>
      </c>
      <c r="D15" s="1037" t="s">
        <v>725</v>
      </c>
      <c r="E15" s="746">
        <f>F15+G15+K19+L16</f>
        <v>310601</v>
      </c>
      <c r="F15" s="747">
        <v>127108</v>
      </c>
      <c r="G15" s="1798">
        <v>129978</v>
      </c>
      <c r="H15" s="986" t="s">
        <v>24</v>
      </c>
      <c r="I15" s="957"/>
      <c r="J15" s="757"/>
      <c r="K15" s="758"/>
      <c r="L15" s="748"/>
    </row>
    <row r="16" spans="1:250" s="1477" customFormat="1" ht="18" customHeight="1" x14ac:dyDescent="0.3">
      <c r="A16" s="730">
        <v>8</v>
      </c>
      <c r="B16" s="1467"/>
      <c r="C16" s="1468"/>
      <c r="D16" s="1469" t="s">
        <v>311</v>
      </c>
      <c r="E16" s="1470"/>
      <c r="F16" s="1471"/>
      <c r="G16" s="1801"/>
      <c r="H16" s="1472"/>
      <c r="I16" s="1473"/>
      <c r="J16" s="2037">
        <v>158122</v>
      </c>
      <c r="K16" s="2036">
        <f t="shared" ref="K16:K18" si="1">SUM(I16:J16)</f>
        <v>158122</v>
      </c>
      <c r="L16" s="1476"/>
    </row>
    <row r="17" spans="1:16" s="1477" customFormat="1" ht="18" customHeight="1" x14ac:dyDescent="0.3">
      <c r="A17" s="730">
        <v>9</v>
      </c>
      <c r="B17" s="1467"/>
      <c r="C17" s="1468"/>
      <c r="D17" s="1855" t="s">
        <v>1072</v>
      </c>
      <c r="E17" s="1470"/>
      <c r="F17" s="1471"/>
      <c r="G17" s="1801"/>
      <c r="H17" s="1472"/>
      <c r="I17" s="1473"/>
      <c r="J17" s="1809">
        <v>53515</v>
      </c>
      <c r="K17" s="1497">
        <f t="shared" si="1"/>
        <v>53515</v>
      </c>
      <c r="L17" s="1476"/>
    </row>
    <row r="18" spans="1:16" s="1488" customFormat="1" ht="18" customHeight="1" x14ac:dyDescent="0.3">
      <c r="A18" s="730">
        <v>10</v>
      </c>
      <c r="B18" s="1478"/>
      <c r="C18" s="1479"/>
      <c r="D18" s="1480" t="s">
        <v>986</v>
      </c>
      <c r="E18" s="1481"/>
      <c r="F18" s="1482"/>
      <c r="G18" s="1799"/>
      <c r="H18" s="1483"/>
      <c r="I18" s="1484"/>
      <c r="J18" s="1808"/>
      <c r="K18" s="1486">
        <f t="shared" si="1"/>
        <v>0</v>
      </c>
      <c r="L18" s="1487"/>
    </row>
    <row r="19" spans="1:16" s="1499" customFormat="1" ht="18" customHeight="1" x14ac:dyDescent="0.3">
      <c r="A19" s="730">
        <v>11</v>
      </c>
      <c r="B19" s="1489"/>
      <c r="C19" s="1490"/>
      <c r="D19" s="1491" t="s">
        <v>1151</v>
      </c>
      <c r="E19" s="1492"/>
      <c r="F19" s="1493"/>
      <c r="G19" s="1800"/>
      <c r="H19" s="1494"/>
      <c r="I19" s="1495"/>
      <c r="J19" s="1809">
        <f>SUM(J17:J18)</f>
        <v>53515</v>
      </c>
      <c r="K19" s="1497">
        <f>SUM(I19:J19)</f>
        <v>53515</v>
      </c>
      <c r="L19" s="1498"/>
    </row>
    <row r="20" spans="1:16" ht="22.5" customHeight="1" x14ac:dyDescent="0.3">
      <c r="A20" s="730">
        <v>12</v>
      </c>
      <c r="B20" s="744"/>
      <c r="C20" s="745">
        <v>3</v>
      </c>
      <c r="D20" s="1037" t="s">
        <v>726</v>
      </c>
      <c r="E20" s="746">
        <f>F20+G20+K24+L21</f>
        <v>50000</v>
      </c>
      <c r="F20" s="747"/>
      <c r="G20" s="1798">
        <v>450</v>
      </c>
      <c r="H20" s="986" t="s">
        <v>23</v>
      </c>
      <c r="I20" s="957"/>
      <c r="J20" s="757"/>
      <c r="K20" s="758"/>
      <c r="L20" s="748"/>
      <c r="M20" s="731"/>
      <c r="N20" s="731"/>
      <c r="O20" s="731"/>
      <c r="P20" s="731"/>
    </row>
    <row r="21" spans="1:16" s="1477" customFormat="1" ht="18" customHeight="1" x14ac:dyDescent="0.3">
      <c r="A21" s="730">
        <v>13</v>
      </c>
      <c r="B21" s="1467"/>
      <c r="C21" s="1468"/>
      <c r="D21" s="1469" t="s">
        <v>311</v>
      </c>
      <c r="E21" s="1470"/>
      <c r="F21" s="1471"/>
      <c r="G21" s="1801"/>
      <c r="H21" s="1472"/>
      <c r="I21" s="1473"/>
      <c r="J21" s="1474">
        <v>49550</v>
      </c>
      <c r="K21" s="2036">
        <f t="shared" si="0"/>
        <v>49550</v>
      </c>
      <c r="L21" s="1476"/>
    </row>
    <row r="22" spans="1:16" s="1477" customFormat="1" ht="18" customHeight="1" x14ac:dyDescent="0.3">
      <c r="A22" s="730">
        <v>14</v>
      </c>
      <c r="B22" s="1467"/>
      <c r="C22" s="1468"/>
      <c r="D22" s="1855" t="s">
        <v>1072</v>
      </c>
      <c r="E22" s="1470"/>
      <c r="F22" s="1471"/>
      <c r="G22" s="1801"/>
      <c r="H22" s="1472"/>
      <c r="I22" s="1473"/>
      <c r="J22" s="1496">
        <v>49550</v>
      </c>
      <c r="K22" s="1497">
        <v>49550</v>
      </c>
      <c r="L22" s="1476"/>
    </row>
    <row r="23" spans="1:16" s="1488" customFormat="1" ht="18" customHeight="1" x14ac:dyDescent="0.3">
      <c r="A23" s="730">
        <v>15</v>
      </c>
      <c r="B23" s="1478"/>
      <c r="C23" s="1479"/>
      <c r="D23" s="1480" t="s">
        <v>963</v>
      </c>
      <c r="E23" s="1481"/>
      <c r="F23" s="1482"/>
      <c r="G23" s="1799"/>
      <c r="H23" s="1483"/>
      <c r="I23" s="1484"/>
      <c r="J23" s="1485"/>
      <c r="K23" s="1486">
        <f t="shared" si="0"/>
        <v>0</v>
      </c>
      <c r="L23" s="1487"/>
    </row>
    <row r="24" spans="1:16" s="1499" customFormat="1" ht="18" customHeight="1" x14ac:dyDescent="0.3">
      <c r="A24" s="730">
        <v>16</v>
      </c>
      <c r="B24" s="1489"/>
      <c r="C24" s="1490"/>
      <c r="D24" s="1491" t="s">
        <v>1151</v>
      </c>
      <c r="E24" s="1492"/>
      <c r="F24" s="1493"/>
      <c r="G24" s="1800"/>
      <c r="H24" s="1494"/>
      <c r="I24" s="1495"/>
      <c r="J24" s="1496">
        <f>SUM(J22:J23)</f>
        <v>49550</v>
      </c>
      <c r="K24" s="1497">
        <f t="shared" si="0"/>
        <v>49550</v>
      </c>
      <c r="L24" s="1498"/>
    </row>
    <row r="25" spans="1:16" ht="22.5" customHeight="1" x14ac:dyDescent="0.3">
      <c r="A25" s="730">
        <v>17</v>
      </c>
      <c r="B25" s="744"/>
      <c r="C25" s="745">
        <v>4</v>
      </c>
      <c r="D25" s="1037" t="s">
        <v>591</v>
      </c>
      <c r="E25" s="746">
        <f>F25+G25+K29+L26</f>
        <v>11252</v>
      </c>
      <c r="F25" s="747">
        <v>9999</v>
      </c>
      <c r="G25" s="1798"/>
      <c r="H25" s="986" t="s">
        <v>24</v>
      </c>
      <c r="I25" s="957"/>
      <c r="J25" s="757"/>
      <c r="K25" s="758"/>
      <c r="L25" s="748"/>
    </row>
    <row r="26" spans="1:16" s="1477" customFormat="1" ht="18" customHeight="1" x14ac:dyDescent="0.3">
      <c r="A26" s="730">
        <v>18</v>
      </c>
      <c r="B26" s="1467"/>
      <c r="C26" s="1468"/>
      <c r="D26" s="1469" t="s">
        <v>311</v>
      </c>
      <c r="E26" s="1470"/>
      <c r="F26" s="1471"/>
      <c r="G26" s="1801"/>
      <c r="H26" s="1472"/>
      <c r="I26" s="1473"/>
      <c r="J26" s="1474">
        <v>1235</v>
      </c>
      <c r="K26" s="2036">
        <f t="shared" ref="K26:K29" si="2">SUM(I26:J26)</f>
        <v>1235</v>
      </c>
      <c r="L26" s="1476"/>
    </row>
    <row r="27" spans="1:16" s="1477" customFormat="1" ht="18" customHeight="1" x14ac:dyDescent="0.3">
      <c r="A27" s="730">
        <v>19</v>
      </c>
      <c r="B27" s="1467"/>
      <c r="C27" s="1468"/>
      <c r="D27" s="1855" t="s">
        <v>1072</v>
      </c>
      <c r="E27" s="1470"/>
      <c r="F27" s="1471"/>
      <c r="G27" s="1801"/>
      <c r="H27" s="1472"/>
      <c r="I27" s="1495">
        <v>18</v>
      </c>
      <c r="J27" s="1496">
        <v>1235</v>
      </c>
      <c r="K27" s="1497">
        <f t="shared" si="2"/>
        <v>1253</v>
      </c>
      <c r="L27" s="1476"/>
    </row>
    <row r="28" spans="1:16" s="1488" customFormat="1" ht="18" customHeight="1" x14ac:dyDescent="0.3">
      <c r="A28" s="730">
        <v>20</v>
      </c>
      <c r="B28" s="1478"/>
      <c r="C28" s="1479"/>
      <c r="D28" s="1480" t="s">
        <v>986</v>
      </c>
      <c r="E28" s="1481"/>
      <c r="F28" s="1482"/>
      <c r="G28" s="1799"/>
      <c r="H28" s="1483"/>
      <c r="I28" s="1484"/>
      <c r="J28" s="1485"/>
      <c r="K28" s="1486">
        <f t="shared" si="2"/>
        <v>0</v>
      </c>
      <c r="L28" s="1487"/>
    </row>
    <row r="29" spans="1:16" s="1499" customFormat="1" ht="18" customHeight="1" x14ac:dyDescent="0.3">
      <c r="A29" s="730">
        <v>21</v>
      </c>
      <c r="B29" s="1489"/>
      <c r="C29" s="1490"/>
      <c r="D29" s="1491" t="s">
        <v>1151</v>
      </c>
      <c r="E29" s="1492"/>
      <c r="F29" s="1493"/>
      <c r="G29" s="1800"/>
      <c r="H29" s="1494"/>
      <c r="I29" s="1495">
        <f>SUM(I27:I28)</f>
        <v>18</v>
      </c>
      <c r="J29" s="1496">
        <f>SUM(J27:J28)</f>
        <v>1235</v>
      </c>
      <c r="K29" s="1497">
        <f t="shared" si="2"/>
        <v>1253</v>
      </c>
      <c r="L29" s="1498"/>
    </row>
    <row r="30" spans="1:16" ht="22.5" customHeight="1" x14ac:dyDescent="0.3">
      <c r="A30" s="730">
        <v>22</v>
      </c>
      <c r="B30" s="744"/>
      <c r="C30" s="745">
        <v>5</v>
      </c>
      <c r="D30" s="1037" t="s">
        <v>589</v>
      </c>
      <c r="E30" s="746">
        <f>F30+G30+K34+L31</f>
        <v>3085</v>
      </c>
      <c r="F30" s="747">
        <v>2350</v>
      </c>
      <c r="G30" s="1798">
        <v>735</v>
      </c>
      <c r="H30" s="986" t="s">
        <v>24</v>
      </c>
      <c r="I30" s="957"/>
      <c r="J30" s="757"/>
      <c r="K30" s="758"/>
      <c r="L30" s="748"/>
    </row>
    <row r="31" spans="1:16" s="1477" customFormat="1" ht="18" customHeight="1" x14ac:dyDescent="0.3">
      <c r="A31" s="730">
        <v>23</v>
      </c>
      <c r="B31" s="1467"/>
      <c r="C31" s="1468"/>
      <c r="D31" s="1469" t="s">
        <v>311</v>
      </c>
      <c r="E31" s="1470"/>
      <c r="F31" s="1471"/>
      <c r="G31" s="1801"/>
      <c r="H31" s="1472"/>
      <c r="I31" s="1473"/>
      <c r="J31" s="1474">
        <v>95</v>
      </c>
      <c r="K31" s="2036">
        <f t="shared" si="0"/>
        <v>95</v>
      </c>
      <c r="L31" s="1476"/>
    </row>
    <row r="32" spans="1:16" s="1477" customFormat="1" ht="18" customHeight="1" x14ac:dyDescent="0.3">
      <c r="A32" s="730">
        <v>24</v>
      </c>
      <c r="B32" s="1467"/>
      <c r="C32" s="1468"/>
      <c r="D32" s="1855" t="s">
        <v>1072</v>
      </c>
      <c r="E32" s="1470"/>
      <c r="F32" s="1471"/>
      <c r="G32" s="1801"/>
      <c r="H32" s="1472"/>
      <c r="I32" s="1473"/>
      <c r="J32" s="1496">
        <v>0</v>
      </c>
      <c r="K32" s="1497">
        <f t="shared" si="0"/>
        <v>0</v>
      </c>
      <c r="L32" s="1476"/>
    </row>
    <row r="33" spans="1:12" s="1488" customFormat="1" ht="18" customHeight="1" x14ac:dyDescent="0.3">
      <c r="A33" s="730">
        <v>25</v>
      </c>
      <c r="B33" s="1478"/>
      <c r="C33" s="1479"/>
      <c r="D33" s="1480" t="s">
        <v>986</v>
      </c>
      <c r="E33" s="1481"/>
      <c r="F33" s="1482"/>
      <c r="G33" s="1799"/>
      <c r="H33" s="1483"/>
      <c r="I33" s="1484"/>
      <c r="J33" s="1485"/>
      <c r="K33" s="1486"/>
      <c r="L33" s="1487"/>
    </row>
    <row r="34" spans="1:12" s="1499" customFormat="1" ht="18" customHeight="1" x14ac:dyDescent="0.3">
      <c r="A34" s="730">
        <v>26</v>
      </c>
      <c r="B34" s="1489"/>
      <c r="C34" s="1490"/>
      <c r="D34" s="1491" t="s">
        <v>1151</v>
      </c>
      <c r="E34" s="1492"/>
      <c r="F34" s="1493"/>
      <c r="G34" s="1800"/>
      <c r="H34" s="1494"/>
      <c r="I34" s="1495"/>
      <c r="J34" s="1496">
        <f>SUM(J32:J33)</f>
        <v>0</v>
      </c>
      <c r="K34" s="1497">
        <f t="shared" si="0"/>
        <v>0</v>
      </c>
      <c r="L34" s="1498"/>
    </row>
    <row r="35" spans="1:12" ht="22.5" customHeight="1" x14ac:dyDescent="0.3">
      <c r="A35" s="730">
        <v>27</v>
      </c>
      <c r="B35" s="744"/>
      <c r="C35" s="745">
        <v>6</v>
      </c>
      <c r="D35" s="1037" t="s">
        <v>707</v>
      </c>
      <c r="E35" s="746">
        <f>F35+G35+K39+L36</f>
        <v>28500</v>
      </c>
      <c r="F35" s="746"/>
      <c r="G35" s="1798">
        <v>20000</v>
      </c>
      <c r="H35" s="986" t="s">
        <v>24</v>
      </c>
      <c r="I35" s="958"/>
      <c r="J35" s="746"/>
      <c r="K35" s="759"/>
      <c r="L35" s="748"/>
    </row>
    <row r="36" spans="1:12" s="1477" customFormat="1" ht="18" customHeight="1" x14ac:dyDescent="0.3">
      <c r="A36" s="730">
        <v>28</v>
      </c>
      <c r="B36" s="1467"/>
      <c r="C36" s="1468"/>
      <c r="D36" s="1469" t="s">
        <v>311</v>
      </c>
      <c r="E36" s="1470"/>
      <c r="F36" s="1471"/>
      <c r="G36" s="1801"/>
      <c r="H36" s="1472"/>
      <c r="I36" s="1473"/>
      <c r="J36" s="1474">
        <v>8500</v>
      </c>
      <c r="K36" s="2036">
        <f t="shared" ref="K36:K39" si="3">SUM(I36:J36)</f>
        <v>8500</v>
      </c>
      <c r="L36" s="1476"/>
    </row>
    <row r="37" spans="1:12" s="1477" customFormat="1" ht="18" customHeight="1" x14ac:dyDescent="0.3">
      <c r="A37" s="730">
        <v>29</v>
      </c>
      <c r="B37" s="1467"/>
      <c r="C37" s="1468"/>
      <c r="D37" s="1855" t="s">
        <v>1072</v>
      </c>
      <c r="E37" s="1470"/>
      <c r="F37" s="1471"/>
      <c r="G37" s="1801"/>
      <c r="H37" s="1472"/>
      <c r="I37" s="1473"/>
      <c r="J37" s="1496">
        <v>8500</v>
      </c>
      <c r="K37" s="1497">
        <f t="shared" si="3"/>
        <v>8500</v>
      </c>
      <c r="L37" s="1476"/>
    </row>
    <row r="38" spans="1:12" s="1488" customFormat="1" ht="18" customHeight="1" x14ac:dyDescent="0.3">
      <c r="A38" s="730">
        <v>30</v>
      </c>
      <c r="B38" s="1478"/>
      <c r="C38" s="1479"/>
      <c r="D38" s="1480" t="s">
        <v>963</v>
      </c>
      <c r="E38" s="1481"/>
      <c r="F38" s="1482"/>
      <c r="G38" s="1799"/>
      <c r="H38" s="1483"/>
      <c r="I38" s="1484"/>
      <c r="J38" s="1485"/>
      <c r="K38" s="1486">
        <f t="shared" si="3"/>
        <v>0</v>
      </c>
      <c r="L38" s="1487"/>
    </row>
    <row r="39" spans="1:12" s="1499" customFormat="1" ht="18" customHeight="1" x14ac:dyDescent="0.3">
      <c r="A39" s="730">
        <v>31</v>
      </c>
      <c r="B39" s="1489"/>
      <c r="C39" s="1490"/>
      <c r="D39" s="1491" t="s">
        <v>1151</v>
      </c>
      <c r="E39" s="1492"/>
      <c r="F39" s="1493"/>
      <c r="G39" s="1800"/>
      <c r="H39" s="1494"/>
      <c r="I39" s="1495"/>
      <c r="J39" s="1496">
        <f>SUM(J37:J38)</f>
        <v>8500</v>
      </c>
      <c r="K39" s="1497">
        <f t="shared" si="3"/>
        <v>8500</v>
      </c>
      <c r="L39" s="1498"/>
    </row>
    <row r="40" spans="1:12" ht="22.5" customHeight="1" x14ac:dyDescent="0.3">
      <c r="A40" s="730">
        <v>32</v>
      </c>
      <c r="B40" s="744"/>
      <c r="C40" s="745">
        <v>7</v>
      </c>
      <c r="D40" s="1037" t="s">
        <v>727</v>
      </c>
      <c r="E40" s="746">
        <f>F40+G40+K44+L41</f>
        <v>77497</v>
      </c>
      <c r="F40" s="746">
        <v>330</v>
      </c>
      <c r="G40" s="1798">
        <v>77167</v>
      </c>
      <c r="H40" s="986" t="s">
        <v>24</v>
      </c>
      <c r="I40" s="958"/>
      <c r="J40" s="746"/>
      <c r="K40" s="759"/>
      <c r="L40" s="748"/>
    </row>
    <row r="41" spans="1:12" s="1477" customFormat="1" ht="18" customHeight="1" x14ac:dyDescent="0.3">
      <c r="A41" s="730">
        <v>33</v>
      </c>
      <c r="B41" s="1467"/>
      <c r="C41" s="1468"/>
      <c r="D41" s="1469" t="s">
        <v>311</v>
      </c>
      <c r="E41" s="1470"/>
      <c r="F41" s="1471"/>
      <c r="G41" s="1801"/>
      <c r="H41" s="1472"/>
      <c r="I41" s="1473"/>
      <c r="J41" s="1474">
        <v>25503</v>
      </c>
      <c r="K41" s="2036">
        <f t="shared" si="0"/>
        <v>25503</v>
      </c>
      <c r="L41" s="1476"/>
    </row>
    <row r="42" spans="1:12" s="1477" customFormat="1" ht="18" customHeight="1" x14ac:dyDescent="0.3">
      <c r="A42" s="730">
        <v>34</v>
      </c>
      <c r="B42" s="1467"/>
      <c r="C42" s="1468"/>
      <c r="D42" s="1855" t="s">
        <v>1072</v>
      </c>
      <c r="E42" s="1470"/>
      <c r="F42" s="1471"/>
      <c r="G42" s="1801"/>
      <c r="H42" s="1472"/>
      <c r="I42" s="1473"/>
      <c r="J42" s="1496">
        <v>0</v>
      </c>
      <c r="K42" s="1497">
        <f t="shared" si="0"/>
        <v>0</v>
      </c>
      <c r="L42" s="1476"/>
    </row>
    <row r="43" spans="1:12" s="1488" customFormat="1" ht="18" customHeight="1" x14ac:dyDescent="0.3">
      <c r="A43" s="730">
        <v>35</v>
      </c>
      <c r="B43" s="1478"/>
      <c r="C43" s="1479"/>
      <c r="D43" s="1480" t="s">
        <v>987</v>
      </c>
      <c r="E43" s="1481"/>
      <c r="F43" s="1482"/>
      <c r="G43" s="1799"/>
      <c r="H43" s="1483"/>
      <c r="I43" s="1484"/>
      <c r="J43" s="1485"/>
      <c r="K43" s="1486">
        <f t="shared" ref="K43" si="4">SUM(I43:J43)</f>
        <v>0</v>
      </c>
      <c r="L43" s="1487"/>
    </row>
    <row r="44" spans="1:12" s="1499" customFormat="1" ht="18" customHeight="1" x14ac:dyDescent="0.3">
      <c r="A44" s="730">
        <v>36</v>
      </c>
      <c r="B44" s="1489"/>
      <c r="C44" s="1490"/>
      <c r="D44" s="1491" t="s">
        <v>1151</v>
      </c>
      <c r="E44" s="1492"/>
      <c r="F44" s="1493"/>
      <c r="G44" s="1800"/>
      <c r="H44" s="1494"/>
      <c r="I44" s="1495"/>
      <c r="J44" s="1496">
        <f>SUM(J42:J43)</f>
        <v>0</v>
      </c>
      <c r="K44" s="1497">
        <f t="shared" si="0"/>
        <v>0</v>
      </c>
      <c r="L44" s="1498"/>
    </row>
    <row r="45" spans="1:12" ht="22.5" customHeight="1" x14ac:dyDescent="0.3">
      <c r="A45" s="730">
        <v>37</v>
      </c>
      <c r="B45" s="744"/>
      <c r="C45" s="745">
        <v>8</v>
      </c>
      <c r="D45" s="1037" t="s">
        <v>316</v>
      </c>
      <c r="E45" s="746">
        <f>F45+G45+K49+L46</f>
        <v>6728</v>
      </c>
      <c r="F45" s="746"/>
      <c r="G45" s="1798">
        <v>6728</v>
      </c>
      <c r="H45" s="986" t="s">
        <v>23</v>
      </c>
      <c r="I45" s="958"/>
      <c r="J45" s="746"/>
      <c r="K45" s="759"/>
      <c r="L45" s="748"/>
    </row>
    <row r="46" spans="1:12" s="1477" customFormat="1" ht="18" customHeight="1" x14ac:dyDescent="0.3">
      <c r="A46" s="730">
        <v>38</v>
      </c>
      <c r="B46" s="1467"/>
      <c r="C46" s="1468"/>
      <c r="D46" s="1469" t="s">
        <v>311</v>
      </c>
      <c r="E46" s="1470"/>
      <c r="F46" s="1471"/>
      <c r="G46" s="1801"/>
      <c r="H46" s="1472"/>
      <c r="I46" s="1856">
        <v>300</v>
      </c>
      <c r="J46" s="1474">
        <v>25372</v>
      </c>
      <c r="K46" s="2036">
        <f t="shared" ref="K46:K49" si="5">SUM(I46:J46)</f>
        <v>25672</v>
      </c>
      <c r="L46" s="1476"/>
    </row>
    <row r="47" spans="1:12" s="1477" customFormat="1" ht="18" customHeight="1" x14ac:dyDescent="0.3">
      <c r="A47" s="730">
        <v>39</v>
      </c>
      <c r="B47" s="1467"/>
      <c r="C47" s="1468"/>
      <c r="D47" s="1855" t="s">
        <v>1072</v>
      </c>
      <c r="E47" s="1470"/>
      <c r="F47" s="1471"/>
      <c r="G47" s="1801"/>
      <c r="H47" s="1472"/>
      <c r="I47" s="1495">
        <v>0</v>
      </c>
      <c r="J47" s="1496">
        <v>0</v>
      </c>
      <c r="K47" s="1497">
        <f t="shared" si="5"/>
        <v>0</v>
      </c>
      <c r="L47" s="1476"/>
    </row>
    <row r="48" spans="1:12" s="1488" customFormat="1" ht="18" customHeight="1" x14ac:dyDescent="0.3">
      <c r="A48" s="730">
        <v>40</v>
      </c>
      <c r="B48" s="1478"/>
      <c r="C48" s="1479"/>
      <c r="D48" s="1480" t="s">
        <v>986</v>
      </c>
      <c r="E48" s="1481"/>
      <c r="F48" s="1482"/>
      <c r="G48" s="1799"/>
      <c r="H48" s="1483"/>
      <c r="I48" s="1484"/>
      <c r="J48" s="1485"/>
      <c r="K48" s="1486">
        <f t="shared" si="5"/>
        <v>0</v>
      </c>
      <c r="L48" s="1487"/>
    </row>
    <row r="49" spans="1:14" s="1499" customFormat="1" ht="18" customHeight="1" x14ac:dyDescent="0.3">
      <c r="A49" s="730">
        <v>41</v>
      </c>
      <c r="B49" s="1489"/>
      <c r="C49" s="1490"/>
      <c r="D49" s="1491" t="s">
        <v>1151</v>
      </c>
      <c r="E49" s="1492"/>
      <c r="F49" s="1493"/>
      <c r="G49" s="1800"/>
      <c r="H49" s="1494"/>
      <c r="I49" s="1495">
        <f>SUM(I47:I48)</f>
        <v>0</v>
      </c>
      <c r="J49" s="1495">
        <f>SUM(J47:J48)</f>
        <v>0</v>
      </c>
      <c r="K49" s="1497">
        <f t="shared" si="5"/>
        <v>0</v>
      </c>
      <c r="L49" s="1498"/>
    </row>
    <row r="50" spans="1:14" ht="22.5" customHeight="1" x14ac:dyDescent="0.35">
      <c r="A50" s="730">
        <v>42</v>
      </c>
      <c r="B50" s="744"/>
      <c r="C50" s="749"/>
      <c r="D50" s="1038" t="s">
        <v>314</v>
      </c>
      <c r="E50" s="746"/>
      <c r="F50" s="747"/>
      <c r="G50" s="1798"/>
      <c r="H50" s="986" t="s">
        <v>23</v>
      </c>
      <c r="I50" s="957"/>
      <c r="J50" s="757"/>
      <c r="K50" s="758"/>
      <c r="L50" s="748"/>
    </row>
    <row r="51" spans="1:14" ht="22.5" customHeight="1" x14ac:dyDescent="0.3">
      <c r="A51" s="730">
        <v>43</v>
      </c>
      <c r="B51" s="744"/>
      <c r="C51" s="745">
        <v>9</v>
      </c>
      <c r="D51" s="1039" t="s">
        <v>728</v>
      </c>
      <c r="E51" s="746">
        <f>F51+G51+K55+L52</f>
        <v>6929</v>
      </c>
      <c r="F51" s="747"/>
      <c r="G51" s="1798">
        <v>6789</v>
      </c>
      <c r="H51" s="986"/>
      <c r="I51" s="957"/>
      <c r="J51" s="757"/>
      <c r="K51" s="758"/>
      <c r="L51" s="748"/>
      <c r="M51" s="731"/>
    </row>
    <row r="52" spans="1:14" s="1477" customFormat="1" ht="18" customHeight="1" x14ac:dyDescent="0.3">
      <c r="A52" s="730">
        <v>44</v>
      </c>
      <c r="B52" s="1467"/>
      <c r="C52" s="1468"/>
      <c r="D52" s="1500" t="s">
        <v>311</v>
      </c>
      <c r="E52" s="1470"/>
      <c r="F52" s="1471"/>
      <c r="G52" s="1801"/>
      <c r="H52" s="1472"/>
      <c r="I52" s="1473"/>
      <c r="J52" s="1474">
        <v>211</v>
      </c>
      <c r="K52" s="1475">
        <f t="shared" si="0"/>
        <v>211</v>
      </c>
      <c r="L52" s="1476"/>
    </row>
    <row r="53" spans="1:14" s="1477" customFormat="1" ht="18" customHeight="1" x14ac:dyDescent="0.3">
      <c r="A53" s="730">
        <v>45</v>
      </c>
      <c r="B53" s="1467"/>
      <c r="C53" s="1468"/>
      <c r="D53" s="1502" t="s">
        <v>1072</v>
      </c>
      <c r="E53" s="1470"/>
      <c r="F53" s="1471"/>
      <c r="G53" s="1801"/>
      <c r="H53" s="1472"/>
      <c r="I53" s="1473"/>
      <c r="J53" s="1496">
        <v>140</v>
      </c>
      <c r="K53" s="1497">
        <f t="shared" si="0"/>
        <v>140</v>
      </c>
      <c r="L53" s="1476"/>
    </row>
    <row r="54" spans="1:14" s="1488" customFormat="1" ht="18" customHeight="1" x14ac:dyDescent="0.3">
      <c r="A54" s="730">
        <v>46</v>
      </c>
      <c r="B54" s="1478"/>
      <c r="C54" s="1479"/>
      <c r="D54" s="1501" t="s">
        <v>986</v>
      </c>
      <c r="E54" s="1481"/>
      <c r="F54" s="1482"/>
      <c r="G54" s="1799"/>
      <c r="H54" s="1483"/>
      <c r="I54" s="1484"/>
      <c r="J54" s="1485"/>
      <c r="K54" s="1486">
        <f t="shared" si="0"/>
        <v>0</v>
      </c>
      <c r="L54" s="1487"/>
    </row>
    <row r="55" spans="1:14" s="1499" customFormat="1" ht="18" customHeight="1" x14ac:dyDescent="0.3">
      <c r="A55" s="730">
        <v>47</v>
      </c>
      <c r="B55" s="1489"/>
      <c r="C55" s="1490"/>
      <c r="D55" s="1502" t="s">
        <v>1151</v>
      </c>
      <c r="E55" s="1492"/>
      <c r="F55" s="1493"/>
      <c r="G55" s="1800"/>
      <c r="H55" s="1494"/>
      <c r="I55" s="1495"/>
      <c r="J55" s="1496">
        <f>SUM(J53:J54)</f>
        <v>140</v>
      </c>
      <c r="K55" s="1497">
        <f t="shared" si="0"/>
        <v>140</v>
      </c>
      <c r="L55" s="1498"/>
    </row>
    <row r="56" spans="1:14" ht="22.5" customHeight="1" x14ac:dyDescent="0.35">
      <c r="A56" s="730">
        <v>48</v>
      </c>
      <c r="B56" s="744"/>
      <c r="C56" s="749"/>
      <c r="D56" s="1040" t="s">
        <v>313</v>
      </c>
      <c r="E56" s="746"/>
      <c r="F56" s="747"/>
      <c r="G56" s="1798"/>
      <c r="H56" s="986" t="s">
        <v>23</v>
      </c>
      <c r="I56" s="957"/>
      <c r="J56" s="757"/>
      <c r="K56" s="758"/>
      <c r="L56" s="748"/>
    </row>
    <row r="57" spans="1:14" ht="22.5" customHeight="1" x14ac:dyDescent="0.3">
      <c r="A57" s="730">
        <v>49</v>
      </c>
      <c r="B57" s="744"/>
      <c r="C57" s="745">
        <v>10</v>
      </c>
      <c r="D57" s="1039" t="s">
        <v>729</v>
      </c>
      <c r="E57" s="746">
        <f>F57+G57+K61+L58</f>
        <v>6265</v>
      </c>
      <c r="F57" s="747"/>
      <c r="G57" s="1798"/>
      <c r="H57" s="986"/>
      <c r="I57" s="957"/>
      <c r="J57" s="757"/>
      <c r="K57" s="758"/>
      <c r="L57" s="748"/>
    </row>
    <row r="58" spans="1:14" s="1477" customFormat="1" ht="18" customHeight="1" x14ac:dyDescent="0.3">
      <c r="A58" s="730">
        <v>50</v>
      </c>
      <c r="B58" s="1467"/>
      <c r="C58" s="1468"/>
      <c r="D58" s="1500" t="s">
        <v>311</v>
      </c>
      <c r="E58" s="1470"/>
      <c r="F58" s="1471"/>
      <c r="G58" s="1801"/>
      <c r="H58" s="1472"/>
      <c r="I58" s="1473"/>
      <c r="J58" s="1474">
        <v>6300</v>
      </c>
      <c r="K58" s="2036">
        <f t="shared" ref="K58:K61" si="6">SUM(I58:J58)</f>
        <v>6300</v>
      </c>
      <c r="L58" s="1476"/>
    </row>
    <row r="59" spans="1:14" s="1477" customFormat="1" ht="18" customHeight="1" x14ac:dyDescent="0.3">
      <c r="A59" s="730">
        <v>51</v>
      </c>
      <c r="B59" s="1467"/>
      <c r="C59" s="1468"/>
      <c r="D59" s="1502" t="s">
        <v>1072</v>
      </c>
      <c r="E59" s="1470"/>
      <c r="F59" s="1471"/>
      <c r="G59" s="1801"/>
      <c r="H59" s="1472"/>
      <c r="I59" s="1473"/>
      <c r="J59" s="1496">
        <v>6265</v>
      </c>
      <c r="K59" s="1497">
        <f t="shared" si="6"/>
        <v>6265</v>
      </c>
      <c r="L59" s="1476"/>
    </row>
    <row r="60" spans="1:14" s="1488" customFormat="1" ht="18" customHeight="1" x14ac:dyDescent="0.3">
      <c r="A60" s="730">
        <v>52</v>
      </c>
      <c r="B60" s="1478"/>
      <c r="C60" s="1479"/>
      <c r="D60" s="1501" t="s">
        <v>986</v>
      </c>
      <c r="E60" s="1481"/>
      <c r="F60" s="1482"/>
      <c r="G60" s="1799"/>
      <c r="H60" s="1483"/>
      <c r="I60" s="1484"/>
      <c r="J60" s="1485"/>
      <c r="K60" s="1486">
        <f t="shared" si="6"/>
        <v>0</v>
      </c>
      <c r="L60" s="1487"/>
    </row>
    <row r="61" spans="1:14" s="1499" customFormat="1" ht="18" customHeight="1" x14ac:dyDescent="0.3">
      <c r="A61" s="730">
        <v>53</v>
      </c>
      <c r="B61" s="1489"/>
      <c r="C61" s="1490"/>
      <c r="D61" s="1502" t="s">
        <v>1151</v>
      </c>
      <c r="E61" s="1492"/>
      <c r="F61" s="1493"/>
      <c r="G61" s="1800"/>
      <c r="H61" s="1494"/>
      <c r="I61" s="1495"/>
      <c r="J61" s="1496">
        <f>SUM(J59:J60)</f>
        <v>6265</v>
      </c>
      <c r="K61" s="1497">
        <f t="shared" si="6"/>
        <v>6265</v>
      </c>
      <c r="L61" s="1498"/>
    </row>
    <row r="62" spans="1:14" ht="22.5" customHeight="1" x14ac:dyDescent="0.3">
      <c r="A62" s="730">
        <v>54</v>
      </c>
      <c r="B62" s="744"/>
      <c r="C62" s="745"/>
      <c r="D62" s="1041" t="s">
        <v>470</v>
      </c>
      <c r="E62" s="746"/>
      <c r="F62" s="747"/>
      <c r="G62" s="1798"/>
      <c r="H62" s="986"/>
      <c r="I62" s="957"/>
      <c r="J62" s="757"/>
      <c r="K62" s="758"/>
      <c r="L62" s="748"/>
    </row>
    <row r="63" spans="1:14" ht="22.5" customHeight="1" x14ac:dyDescent="0.3">
      <c r="A63" s="730">
        <v>55</v>
      </c>
      <c r="B63" s="744"/>
      <c r="C63" s="745">
        <v>11</v>
      </c>
      <c r="D63" s="1065" t="s">
        <v>730</v>
      </c>
      <c r="E63" s="746">
        <f>F63+G63+K67+L64</f>
        <v>9226</v>
      </c>
      <c r="F63" s="747"/>
      <c r="G63" s="1798">
        <v>7268</v>
      </c>
      <c r="H63" s="986"/>
      <c r="I63" s="957"/>
      <c r="J63" s="757"/>
      <c r="K63" s="758"/>
      <c r="L63" s="748"/>
      <c r="M63" s="731"/>
      <c r="N63" s="731"/>
    </row>
    <row r="64" spans="1:14" s="1477" customFormat="1" ht="18" customHeight="1" x14ac:dyDescent="0.3">
      <c r="A64" s="730">
        <v>56</v>
      </c>
      <c r="B64" s="1467"/>
      <c r="C64" s="1468"/>
      <c r="D64" s="1500" t="s">
        <v>311</v>
      </c>
      <c r="E64" s="1470"/>
      <c r="F64" s="1471"/>
      <c r="G64" s="1801"/>
      <c r="H64" s="1472"/>
      <c r="I64" s="1473"/>
      <c r="J64" s="1474">
        <v>2232</v>
      </c>
      <c r="K64" s="2036">
        <f t="shared" si="0"/>
        <v>2232</v>
      </c>
      <c r="L64" s="1476"/>
    </row>
    <row r="65" spans="1:14" s="1477" customFormat="1" ht="18" customHeight="1" x14ac:dyDescent="0.3">
      <c r="A65" s="730">
        <v>57</v>
      </c>
      <c r="B65" s="1467"/>
      <c r="C65" s="1468"/>
      <c r="D65" s="1502" t="s">
        <v>1072</v>
      </c>
      <c r="E65" s="1470"/>
      <c r="F65" s="1471"/>
      <c r="G65" s="1801"/>
      <c r="H65" s="1472"/>
      <c r="I65" s="1473"/>
      <c r="J65" s="1496">
        <v>1958</v>
      </c>
      <c r="K65" s="1497">
        <f t="shared" si="0"/>
        <v>1958</v>
      </c>
      <c r="L65" s="1476"/>
    </row>
    <row r="66" spans="1:14" s="1488" customFormat="1" ht="18" customHeight="1" x14ac:dyDescent="0.3">
      <c r="A66" s="730">
        <v>58</v>
      </c>
      <c r="B66" s="1478"/>
      <c r="C66" s="1479"/>
      <c r="D66" s="1501" t="s">
        <v>963</v>
      </c>
      <c r="E66" s="1481"/>
      <c r="F66" s="1482"/>
      <c r="G66" s="1799"/>
      <c r="H66" s="1483"/>
      <c r="I66" s="1484"/>
      <c r="J66" s="1485"/>
      <c r="K66" s="1486">
        <f t="shared" si="0"/>
        <v>0</v>
      </c>
      <c r="L66" s="1487"/>
    </row>
    <row r="67" spans="1:14" s="1499" customFormat="1" ht="18" customHeight="1" x14ac:dyDescent="0.3">
      <c r="A67" s="730">
        <v>59</v>
      </c>
      <c r="B67" s="1489"/>
      <c r="C67" s="1490"/>
      <c r="D67" s="1502" t="s">
        <v>1151</v>
      </c>
      <c r="E67" s="1492"/>
      <c r="F67" s="1493"/>
      <c r="G67" s="1800"/>
      <c r="H67" s="1494"/>
      <c r="I67" s="1495"/>
      <c r="J67" s="1496">
        <f>SUM(J65:J66)</f>
        <v>1958</v>
      </c>
      <c r="K67" s="1497">
        <f t="shared" si="0"/>
        <v>1958</v>
      </c>
      <c r="L67" s="1498"/>
    </row>
    <row r="68" spans="1:14" ht="22.5" customHeight="1" x14ac:dyDescent="0.35">
      <c r="A68" s="730">
        <v>60</v>
      </c>
      <c r="B68" s="744"/>
      <c r="C68" s="749"/>
      <c r="D68" s="1040" t="s">
        <v>267</v>
      </c>
      <c r="E68" s="746"/>
      <c r="F68" s="747"/>
      <c r="G68" s="1798"/>
      <c r="H68" s="986" t="s">
        <v>23</v>
      </c>
      <c r="I68" s="957"/>
      <c r="J68" s="757"/>
      <c r="K68" s="758"/>
      <c r="L68" s="748"/>
      <c r="M68" s="750"/>
      <c r="N68" s="731"/>
    </row>
    <row r="69" spans="1:14" ht="22.5" customHeight="1" x14ac:dyDescent="0.3">
      <c r="A69" s="730">
        <v>61</v>
      </c>
      <c r="B69" s="744"/>
      <c r="C69" s="745"/>
      <c r="D69" s="1041" t="s">
        <v>731</v>
      </c>
      <c r="E69" s="746"/>
      <c r="F69" s="747"/>
      <c r="G69" s="1798"/>
      <c r="H69" s="986"/>
      <c r="I69" s="957"/>
      <c r="J69" s="757"/>
      <c r="K69" s="758"/>
      <c r="L69" s="748"/>
      <c r="M69" s="750"/>
      <c r="N69" s="731"/>
    </row>
    <row r="70" spans="1:14" ht="22.5" customHeight="1" x14ac:dyDescent="0.3">
      <c r="A70" s="730">
        <v>62</v>
      </c>
      <c r="B70" s="744"/>
      <c r="C70" s="745">
        <v>12</v>
      </c>
      <c r="D70" s="1039" t="s">
        <v>732</v>
      </c>
      <c r="E70" s="746">
        <f>F70+G70+K74+L71</f>
        <v>3476</v>
      </c>
      <c r="F70" s="747"/>
      <c r="G70" s="1798"/>
      <c r="H70" s="986"/>
      <c r="I70" s="957"/>
      <c r="J70" s="757"/>
      <c r="K70" s="758"/>
      <c r="L70" s="748"/>
    </row>
    <row r="71" spans="1:14" s="1477" customFormat="1" ht="18" customHeight="1" x14ac:dyDescent="0.3">
      <c r="A71" s="730">
        <v>63</v>
      </c>
      <c r="B71" s="1467"/>
      <c r="C71" s="1468"/>
      <c r="D71" s="1500" t="s">
        <v>311</v>
      </c>
      <c r="E71" s="1470"/>
      <c r="F71" s="1471"/>
      <c r="G71" s="1801"/>
      <c r="H71" s="1472"/>
      <c r="I71" s="1473"/>
      <c r="J71" s="1474">
        <v>3500</v>
      </c>
      <c r="K71" s="2036">
        <f t="shared" ref="K71:K74" si="7">SUM(I71:J71)</f>
        <v>3500</v>
      </c>
      <c r="L71" s="1476"/>
    </row>
    <row r="72" spans="1:14" s="1477" customFormat="1" ht="18" customHeight="1" x14ac:dyDescent="0.3">
      <c r="A72" s="730">
        <v>64</v>
      </c>
      <c r="B72" s="1467"/>
      <c r="C72" s="1468"/>
      <c r="D72" s="1502" t="s">
        <v>1072</v>
      </c>
      <c r="E72" s="1470"/>
      <c r="F72" s="1471"/>
      <c r="G72" s="1801"/>
      <c r="H72" s="1472"/>
      <c r="I72" s="1473"/>
      <c r="J72" s="1496">
        <v>3476</v>
      </c>
      <c r="K72" s="1497">
        <f t="shared" si="7"/>
        <v>3476</v>
      </c>
      <c r="L72" s="1476"/>
    </row>
    <row r="73" spans="1:14" s="1488" customFormat="1" ht="18" customHeight="1" x14ac:dyDescent="0.3">
      <c r="A73" s="730">
        <v>65</v>
      </c>
      <c r="B73" s="1478"/>
      <c r="C73" s="1479"/>
      <c r="D73" s="1501" t="s">
        <v>986</v>
      </c>
      <c r="E73" s="1481"/>
      <c r="F73" s="1482"/>
      <c r="G73" s="1799"/>
      <c r="H73" s="1483"/>
      <c r="I73" s="1484"/>
      <c r="J73" s="1485"/>
      <c r="K73" s="1486">
        <f t="shared" si="7"/>
        <v>0</v>
      </c>
      <c r="L73" s="1487"/>
    </row>
    <row r="74" spans="1:14" s="1499" customFormat="1" ht="18" customHeight="1" x14ac:dyDescent="0.3">
      <c r="A74" s="730">
        <v>66</v>
      </c>
      <c r="B74" s="1489"/>
      <c r="C74" s="1490"/>
      <c r="D74" s="1502" t="s">
        <v>1151</v>
      </c>
      <c r="E74" s="1492"/>
      <c r="F74" s="1493"/>
      <c r="G74" s="1800"/>
      <c r="H74" s="1494"/>
      <c r="I74" s="1495"/>
      <c r="J74" s="1496">
        <f>SUM(J72:J73)</f>
        <v>3476</v>
      </c>
      <c r="K74" s="1497">
        <f t="shared" si="7"/>
        <v>3476</v>
      </c>
      <c r="L74" s="1498"/>
    </row>
    <row r="75" spans="1:14" ht="22.5" customHeight="1" x14ac:dyDescent="0.3">
      <c r="A75" s="730">
        <v>67</v>
      </c>
      <c r="B75" s="744"/>
      <c r="C75" s="749"/>
      <c r="D75" s="1041" t="s">
        <v>733</v>
      </c>
      <c r="E75" s="746"/>
      <c r="F75" s="747"/>
      <c r="G75" s="1798"/>
      <c r="H75" s="986"/>
      <c r="I75" s="957"/>
      <c r="J75" s="757"/>
      <c r="K75" s="758"/>
      <c r="L75" s="748"/>
    </row>
    <row r="76" spans="1:14" ht="22.5" customHeight="1" x14ac:dyDescent="0.3">
      <c r="A76" s="730">
        <v>68</v>
      </c>
      <c r="B76" s="744"/>
      <c r="C76" s="745">
        <v>13</v>
      </c>
      <c r="D76" s="1039" t="s">
        <v>732</v>
      </c>
      <c r="E76" s="746">
        <f>F76+G76+K80+L77</f>
        <v>9385</v>
      </c>
      <c r="F76" s="747"/>
      <c r="G76" s="1798"/>
      <c r="H76" s="986"/>
      <c r="I76" s="957"/>
      <c r="J76" s="757"/>
      <c r="K76" s="758"/>
      <c r="L76" s="748"/>
    </row>
    <row r="77" spans="1:14" s="1477" customFormat="1" ht="18" customHeight="1" x14ac:dyDescent="0.3">
      <c r="A77" s="730">
        <v>69</v>
      </c>
      <c r="B77" s="1467"/>
      <c r="C77" s="1468"/>
      <c r="D77" s="1500" t="s">
        <v>311</v>
      </c>
      <c r="E77" s="1470"/>
      <c r="F77" s="1471"/>
      <c r="G77" s="1801"/>
      <c r="H77" s="1472"/>
      <c r="I77" s="1473"/>
      <c r="J77" s="1474">
        <v>9400</v>
      </c>
      <c r="K77" s="2036">
        <f t="shared" si="0"/>
        <v>9400</v>
      </c>
      <c r="L77" s="1476"/>
    </row>
    <row r="78" spans="1:14" s="1477" customFormat="1" ht="18" customHeight="1" x14ac:dyDescent="0.3">
      <c r="A78" s="730">
        <v>70</v>
      </c>
      <c r="B78" s="1467"/>
      <c r="C78" s="1468"/>
      <c r="D78" s="1502" t="s">
        <v>1072</v>
      </c>
      <c r="E78" s="1470"/>
      <c r="F78" s="1471"/>
      <c r="G78" s="1801"/>
      <c r="H78" s="1472"/>
      <c r="I78" s="1473"/>
      <c r="J78" s="1496">
        <v>9385</v>
      </c>
      <c r="K78" s="1497">
        <f t="shared" si="0"/>
        <v>9385</v>
      </c>
      <c r="L78" s="1476"/>
    </row>
    <row r="79" spans="1:14" s="1488" customFormat="1" ht="18" customHeight="1" x14ac:dyDescent="0.3">
      <c r="A79" s="730">
        <v>71</v>
      </c>
      <c r="B79" s="1478"/>
      <c r="C79" s="1479"/>
      <c r="D79" s="1501" t="s">
        <v>986</v>
      </c>
      <c r="E79" s="1481"/>
      <c r="F79" s="1482"/>
      <c r="G79" s="1799"/>
      <c r="H79" s="1483"/>
      <c r="I79" s="1484"/>
      <c r="J79" s="1485"/>
      <c r="K79" s="1486">
        <f t="shared" si="0"/>
        <v>0</v>
      </c>
      <c r="L79" s="1487"/>
    </row>
    <row r="80" spans="1:14" s="1499" customFormat="1" ht="18" customHeight="1" x14ac:dyDescent="0.3">
      <c r="A80" s="730">
        <v>72</v>
      </c>
      <c r="B80" s="1489"/>
      <c r="C80" s="1490"/>
      <c r="D80" s="1502" t="s">
        <v>1151</v>
      </c>
      <c r="E80" s="1492"/>
      <c r="F80" s="1493"/>
      <c r="G80" s="1800"/>
      <c r="H80" s="1494"/>
      <c r="I80" s="1495"/>
      <c r="J80" s="1496">
        <f>SUM(J78:J79)</f>
        <v>9385</v>
      </c>
      <c r="K80" s="1497">
        <f t="shared" si="0"/>
        <v>9385</v>
      </c>
      <c r="L80" s="1498"/>
    </row>
    <row r="81" spans="1:22" ht="22.5" customHeight="1" x14ac:dyDescent="0.35">
      <c r="A81" s="730">
        <v>73</v>
      </c>
      <c r="B81" s="744"/>
      <c r="C81" s="749"/>
      <c r="D81" s="1040" t="s">
        <v>734</v>
      </c>
      <c r="E81" s="746"/>
      <c r="F81" s="747"/>
      <c r="G81" s="1798"/>
      <c r="H81" s="986" t="s">
        <v>23</v>
      </c>
      <c r="I81" s="957"/>
      <c r="J81" s="757"/>
      <c r="K81" s="758"/>
      <c r="L81" s="748"/>
      <c r="M81" s="751"/>
    </row>
    <row r="82" spans="1:22" ht="22.5" customHeight="1" x14ac:dyDescent="0.3">
      <c r="A82" s="730">
        <v>74</v>
      </c>
      <c r="B82" s="744"/>
      <c r="C82" s="749"/>
      <c r="D82" s="1041" t="s">
        <v>471</v>
      </c>
      <c r="E82" s="746"/>
      <c r="F82" s="747"/>
      <c r="G82" s="1798"/>
      <c r="H82" s="986"/>
      <c r="I82" s="957"/>
      <c r="J82" s="757"/>
      <c r="K82" s="758"/>
      <c r="L82" s="748"/>
    </row>
    <row r="83" spans="1:22" ht="22.5" customHeight="1" x14ac:dyDescent="0.3">
      <c r="A83" s="730">
        <v>75</v>
      </c>
      <c r="B83" s="744"/>
      <c r="C83" s="745">
        <v>14</v>
      </c>
      <c r="D83" s="1039" t="s">
        <v>735</v>
      </c>
      <c r="E83" s="746">
        <f>F83+G83+K87+L84</f>
        <v>1976</v>
      </c>
      <c r="F83" s="747"/>
      <c r="G83" s="1798">
        <v>1231</v>
      </c>
      <c r="H83" s="986"/>
      <c r="I83" s="957"/>
      <c r="J83" s="757"/>
      <c r="K83" s="758"/>
      <c r="L83" s="748"/>
    </row>
    <row r="84" spans="1:22" s="1477" customFormat="1" ht="18" customHeight="1" x14ac:dyDescent="0.3">
      <c r="A84" s="730">
        <v>76</v>
      </c>
      <c r="B84" s="1467"/>
      <c r="C84" s="1468"/>
      <c r="D84" s="1500" t="s">
        <v>311</v>
      </c>
      <c r="E84" s="1470"/>
      <c r="F84" s="1471"/>
      <c r="G84" s="1801"/>
      <c r="H84" s="1472"/>
      <c r="I84" s="1473"/>
      <c r="J84" s="1474">
        <v>769</v>
      </c>
      <c r="K84" s="2036">
        <f t="shared" ref="K84:K87" si="8">SUM(I84:J84)</f>
        <v>769</v>
      </c>
      <c r="L84" s="1476"/>
    </row>
    <row r="85" spans="1:22" s="1477" customFormat="1" ht="18" customHeight="1" x14ac:dyDescent="0.3">
      <c r="A85" s="730">
        <v>77</v>
      </c>
      <c r="B85" s="1467"/>
      <c r="C85" s="1468"/>
      <c r="D85" s="1502" t="s">
        <v>1072</v>
      </c>
      <c r="E85" s="1470"/>
      <c r="F85" s="1471"/>
      <c r="G85" s="1801"/>
      <c r="H85" s="1472"/>
      <c r="I85" s="1473"/>
      <c r="J85" s="1496">
        <v>745</v>
      </c>
      <c r="K85" s="1497">
        <f t="shared" si="8"/>
        <v>745</v>
      </c>
      <c r="L85" s="1476"/>
    </row>
    <row r="86" spans="1:22" s="1488" customFormat="1" ht="18" customHeight="1" x14ac:dyDescent="0.3">
      <c r="A86" s="730">
        <v>78</v>
      </c>
      <c r="B86" s="1478"/>
      <c r="C86" s="1479"/>
      <c r="D86" s="1501" t="s">
        <v>986</v>
      </c>
      <c r="E86" s="1481"/>
      <c r="F86" s="1482"/>
      <c r="G86" s="1799"/>
      <c r="H86" s="1483"/>
      <c r="I86" s="1484"/>
      <c r="J86" s="1485"/>
      <c r="K86" s="1486">
        <f t="shared" si="8"/>
        <v>0</v>
      </c>
      <c r="L86" s="1487"/>
    </row>
    <row r="87" spans="1:22" s="1499" customFormat="1" ht="18" customHeight="1" x14ac:dyDescent="0.3">
      <c r="A87" s="730">
        <v>79</v>
      </c>
      <c r="B87" s="1489"/>
      <c r="C87" s="1490"/>
      <c r="D87" s="1502" t="s">
        <v>1151</v>
      </c>
      <c r="E87" s="1492"/>
      <c r="F87" s="1493"/>
      <c r="G87" s="1800"/>
      <c r="H87" s="1494"/>
      <c r="I87" s="1495"/>
      <c r="J87" s="1496">
        <f>SUM(J85:J86)</f>
        <v>745</v>
      </c>
      <c r="K87" s="1497">
        <f t="shared" si="8"/>
        <v>745</v>
      </c>
      <c r="L87" s="1498"/>
    </row>
    <row r="88" spans="1:22" ht="22.5" customHeight="1" x14ac:dyDescent="0.3">
      <c r="A88" s="730">
        <v>80</v>
      </c>
      <c r="B88" s="744"/>
      <c r="C88" s="745">
        <v>15</v>
      </c>
      <c r="D88" s="1039" t="s">
        <v>736</v>
      </c>
      <c r="E88" s="746">
        <f>F88+G88+K92+L89</f>
        <v>4691</v>
      </c>
      <c r="F88" s="747"/>
      <c r="G88" s="1798">
        <v>4551</v>
      </c>
      <c r="H88" s="986"/>
      <c r="I88" s="957"/>
      <c r="J88" s="757"/>
      <c r="K88" s="758"/>
      <c r="L88" s="748"/>
    </row>
    <row r="89" spans="1:22" s="1477" customFormat="1" ht="18" customHeight="1" x14ac:dyDescent="0.3">
      <c r="A89" s="730">
        <v>81</v>
      </c>
      <c r="B89" s="1467"/>
      <c r="C89" s="1468"/>
      <c r="D89" s="1500" t="s">
        <v>311</v>
      </c>
      <c r="E89" s="1470"/>
      <c r="F89" s="1471"/>
      <c r="G89" s="1801"/>
      <c r="H89" s="1472"/>
      <c r="I89" s="1473"/>
      <c r="J89" s="1474">
        <v>249</v>
      </c>
      <c r="K89" s="2036">
        <f t="shared" si="0"/>
        <v>249</v>
      </c>
      <c r="L89" s="1476"/>
    </row>
    <row r="90" spans="1:22" s="1477" customFormat="1" ht="18" customHeight="1" x14ac:dyDescent="0.3">
      <c r="A90" s="730">
        <v>82</v>
      </c>
      <c r="B90" s="1467"/>
      <c r="C90" s="1468"/>
      <c r="D90" s="1502" t="s">
        <v>1072</v>
      </c>
      <c r="E90" s="1470"/>
      <c r="F90" s="1471"/>
      <c r="G90" s="1801"/>
      <c r="H90" s="1472"/>
      <c r="I90" s="1473"/>
      <c r="J90" s="1496">
        <v>140</v>
      </c>
      <c r="K90" s="1497">
        <f t="shared" si="0"/>
        <v>140</v>
      </c>
      <c r="L90" s="1476"/>
    </row>
    <row r="91" spans="1:22" s="1488" customFormat="1" ht="18" customHeight="1" x14ac:dyDescent="0.3">
      <c r="A91" s="730">
        <v>83</v>
      </c>
      <c r="B91" s="1478"/>
      <c r="C91" s="1479"/>
      <c r="D91" s="1501" t="s">
        <v>986</v>
      </c>
      <c r="E91" s="1481"/>
      <c r="F91" s="1482"/>
      <c r="G91" s="1799"/>
      <c r="H91" s="1483"/>
      <c r="I91" s="1484"/>
      <c r="J91" s="1485"/>
      <c r="K91" s="1486">
        <f t="shared" si="0"/>
        <v>0</v>
      </c>
      <c r="L91" s="1487"/>
    </row>
    <row r="92" spans="1:22" s="1499" customFormat="1" ht="18" customHeight="1" x14ac:dyDescent="0.3">
      <c r="A92" s="730">
        <v>84</v>
      </c>
      <c r="B92" s="1489"/>
      <c r="C92" s="1490"/>
      <c r="D92" s="1502" t="s">
        <v>1151</v>
      </c>
      <c r="E92" s="1492"/>
      <c r="F92" s="1493"/>
      <c r="G92" s="1800"/>
      <c r="H92" s="1494"/>
      <c r="I92" s="1495"/>
      <c r="J92" s="1496">
        <f>SUM(J90:J91)</f>
        <v>140</v>
      </c>
      <c r="K92" s="1497">
        <f t="shared" si="0"/>
        <v>140</v>
      </c>
      <c r="L92" s="1498"/>
    </row>
    <row r="93" spans="1:22" ht="22.5" customHeight="1" x14ac:dyDescent="0.35">
      <c r="A93" s="730">
        <v>85</v>
      </c>
      <c r="B93" s="744"/>
      <c r="C93" s="749"/>
      <c r="D93" s="1042" t="s">
        <v>737</v>
      </c>
      <c r="E93" s="746"/>
      <c r="F93" s="747"/>
      <c r="G93" s="1798"/>
      <c r="H93" s="986" t="s">
        <v>23</v>
      </c>
      <c r="I93" s="957"/>
      <c r="J93" s="757"/>
      <c r="K93" s="758"/>
      <c r="L93" s="748"/>
      <c r="M93" s="731"/>
      <c r="N93" s="731"/>
      <c r="O93" s="731"/>
      <c r="P93" s="731"/>
      <c r="Q93" s="731"/>
      <c r="R93" s="731"/>
      <c r="S93" s="731"/>
      <c r="T93" s="731"/>
      <c r="U93" s="731"/>
      <c r="V93" s="731"/>
    </row>
    <row r="94" spans="1:22" ht="22.5" customHeight="1" x14ac:dyDescent="0.3">
      <c r="A94" s="730">
        <v>86</v>
      </c>
      <c r="B94" s="744"/>
      <c r="C94" s="745"/>
      <c r="D94" s="1043" t="s">
        <v>738</v>
      </c>
      <c r="E94" s="746"/>
      <c r="F94" s="747"/>
      <c r="G94" s="1798"/>
      <c r="H94" s="986"/>
      <c r="I94" s="957"/>
      <c r="J94" s="757"/>
      <c r="K94" s="758"/>
      <c r="L94" s="748"/>
    </row>
    <row r="95" spans="1:22" ht="22.5" customHeight="1" x14ac:dyDescent="0.3">
      <c r="A95" s="730">
        <v>87</v>
      </c>
      <c r="B95" s="744"/>
      <c r="C95" s="745">
        <v>16</v>
      </c>
      <c r="D95" s="1039" t="s">
        <v>739</v>
      </c>
      <c r="E95" s="746">
        <f>F95+G95+K99+L96</f>
        <v>1163</v>
      </c>
      <c r="F95" s="747"/>
      <c r="G95" s="1798">
        <v>1125</v>
      </c>
      <c r="H95" s="986"/>
      <c r="I95" s="957"/>
      <c r="J95" s="757"/>
      <c r="K95" s="758"/>
      <c r="L95" s="748"/>
    </row>
    <row r="96" spans="1:22" s="1477" customFormat="1" ht="18" customHeight="1" x14ac:dyDescent="0.3">
      <c r="A96" s="730">
        <v>88</v>
      </c>
      <c r="B96" s="1467"/>
      <c r="C96" s="1468"/>
      <c r="D96" s="1500" t="s">
        <v>311</v>
      </c>
      <c r="E96" s="1470"/>
      <c r="F96" s="1471"/>
      <c r="G96" s="1801"/>
      <c r="H96" s="1472"/>
      <c r="I96" s="1473"/>
      <c r="J96" s="1474">
        <v>75</v>
      </c>
      <c r="K96" s="2036">
        <f t="shared" ref="K96:K99" si="9">SUM(I96:J96)</f>
        <v>75</v>
      </c>
      <c r="L96" s="1476"/>
    </row>
    <row r="97" spans="1:12" s="1477" customFormat="1" ht="18" customHeight="1" x14ac:dyDescent="0.3">
      <c r="A97" s="730">
        <v>89</v>
      </c>
      <c r="B97" s="1467"/>
      <c r="C97" s="1468"/>
      <c r="D97" s="1502" t="s">
        <v>1072</v>
      </c>
      <c r="E97" s="1470"/>
      <c r="F97" s="1471"/>
      <c r="G97" s="1801"/>
      <c r="H97" s="1472"/>
      <c r="I97" s="1473"/>
      <c r="J97" s="1496">
        <v>38</v>
      </c>
      <c r="K97" s="1497">
        <f t="shared" si="9"/>
        <v>38</v>
      </c>
      <c r="L97" s="1476"/>
    </row>
    <row r="98" spans="1:12" s="1488" customFormat="1" ht="18" customHeight="1" x14ac:dyDescent="0.3">
      <c r="A98" s="730">
        <v>90</v>
      </c>
      <c r="B98" s="1478"/>
      <c r="C98" s="1479"/>
      <c r="D98" s="1501" t="s">
        <v>986</v>
      </c>
      <c r="E98" s="1481"/>
      <c r="F98" s="1482"/>
      <c r="G98" s="1799"/>
      <c r="H98" s="1483"/>
      <c r="I98" s="1484"/>
      <c r="J98" s="1485"/>
      <c r="K98" s="1486">
        <f t="shared" si="9"/>
        <v>0</v>
      </c>
      <c r="L98" s="1487"/>
    </row>
    <row r="99" spans="1:12" s="1499" customFormat="1" ht="18" customHeight="1" x14ac:dyDescent="0.3">
      <c r="A99" s="730">
        <v>91</v>
      </c>
      <c r="B99" s="1489"/>
      <c r="C99" s="1490"/>
      <c r="D99" s="1502" t="s">
        <v>1151</v>
      </c>
      <c r="E99" s="1492"/>
      <c r="F99" s="1493"/>
      <c r="G99" s="1800"/>
      <c r="H99" s="1494"/>
      <c r="I99" s="1495"/>
      <c r="J99" s="1496">
        <f>SUM(J97:J98)</f>
        <v>38</v>
      </c>
      <c r="K99" s="1497">
        <f t="shared" si="9"/>
        <v>38</v>
      </c>
      <c r="L99" s="1498"/>
    </row>
    <row r="100" spans="1:12" ht="22.5" customHeight="1" x14ac:dyDescent="0.3">
      <c r="A100" s="730">
        <v>92</v>
      </c>
      <c r="B100" s="744"/>
      <c r="C100" s="745">
        <v>17</v>
      </c>
      <c r="D100" s="1039" t="s">
        <v>740</v>
      </c>
      <c r="E100" s="746">
        <f>F100+G100+K104+L101</f>
        <v>0</v>
      </c>
      <c r="F100" s="747"/>
      <c r="G100" s="1798"/>
      <c r="H100" s="986"/>
      <c r="I100" s="957"/>
      <c r="J100" s="757"/>
      <c r="K100" s="758"/>
      <c r="L100" s="748"/>
    </row>
    <row r="101" spans="1:12" s="1477" customFormat="1" ht="18" customHeight="1" x14ac:dyDescent="0.3">
      <c r="A101" s="730">
        <v>93</v>
      </c>
      <c r="B101" s="1467"/>
      <c r="C101" s="1468"/>
      <c r="D101" s="1500" t="s">
        <v>311</v>
      </c>
      <c r="E101" s="1470"/>
      <c r="F101" s="1471"/>
      <c r="G101" s="1801"/>
      <c r="H101" s="1472"/>
      <c r="I101" s="1473"/>
      <c r="J101" s="1474">
        <v>5000</v>
      </c>
      <c r="K101" s="2036">
        <f t="shared" si="0"/>
        <v>5000</v>
      </c>
      <c r="L101" s="1476"/>
    </row>
    <row r="102" spans="1:12" s="1477" customFormat="1" ht="18" customHeight="1" x14ac:dyDescent="0.3">
      <c r="A102" s="730">
        <v>94</v>
      </c>
      <c r="B102" s="1467"/>
      <c r="C102" s="1468"/>
      <c r="D102" s="1502" t="s">
        <v>1072</v>
      </c>
      <c r="E102" s="1470"/>
      <c r="F102" s="1471"/>
      <c r="G102" s="1801"/>
      <c r="H102" s="1472"/>
      <c r="I102" s="1473"/>
      <c r="J102" s="1496">
        <v>0</v>
      </c>
      <c r="K102" s="1497">
        <f t="shared" si="0"/>
        <v>0</v>
      </c>
      <c r="L102" s="1476"/>
    </row>
    <row r="103" spans="1:12" s="1488" customFormat="1" ht="18" customHeight="1" x14ac:dyDescent="0.3">
      <c r="A103" s="730">
        <v>95</v>
      </c>
      <c r="B103" s="1478"/>
      <c r="C103" s="1479"/>
      <c r="D103" s="1501" t="s">
        <v>986</v>
      </c>
      <c r="E103" s="1481"/>
      <c r="F103" s="1482"/>
      <c r="G103" s="1799"/>
      <c r="H103" s="1483"/>
      <c r="I103" s="1484"/>
      <c r="J103" s="1485"/>
      <c r="K103" s="1486">
        <f t="shared" si="0"/>
        <v>0</v>
      </c>
      <c r="L103" s="1487"/>
    </row>
    <row r="104" spans="1:12" s="1499" customFormat="1" ht="18" customHeight="1" x14ac:dyDescent="0.3">
      <c r="A104" s="730">
        <v>96</v>
      </c>
      <c r="B104" s="1489"/>
      <c r="C104" s="1490"/>
      <c r="D104" s="1502" t="s">
        <v>1151</v>
      </c>
      <c r="E104" s="1492"/>
      <c r="F104" s="1493"/>
      <c r="G104" s="1800"/>
      <c r="H104" s="1494"/>
      <c r="I104" s="1495"/>
      <c r="J104" s="1496">
        <f>SUM(J102:J103)</f>
        <v>0</v>
      </c>
      <c r="K104" s="1497">
        <f t="shared" si="0"/>
        <v>0</v>
      </c>
      <c r="L104" s="1498"/>
    </row>
    <row r="105" spans="1:12" ht="22.5" customHeight="1" x14ac:dyDescent="0.35">
      <c r="A105" s="730">
        <v>97</v>
      </c>
      <c r="B105" s="744"/>
      <c r="C105" s="745"/>
      <c r="D105" s="1044" t="s">
        <v>741</v>
      </c>
      <c r="E105" s="746"/>
      <c r="F105" s="747"/>
      <c r="G105" s="1798"/>
      <c r="H105" s="986" t="s">
        <v>23</v>
      </c>
      <c r="I105" s="957"/>
      <c r="J105" s="757"/>
      <c r="K105" s="758"/>
      <c r="L105" s="748"/>
    </row>
    <row r="106" spans="1:12" ht="22.5" customHeight="1" x14ac:dyDescent="0.3">
      <c r="A106" s="730">
        <v>98</v>
      </c>
      <c r="B106" s="744"/>
      <c r="C106" s="749"/>
      <c r="D106" s="1041" t="s">
        <v>475</v>
      </c>
      <c r="E106" s="746"/>
      <c r="F106" s="747"/>
      <c r="G106" s="1798"/>
      <c r="H106" s="986"/>
      <c r="I106" s="957"/>
      <c r="J106" s="757"/>
      <c r="K106" s="758"/>
      <c r="L106" s="748"/>
    </row>
    <row r="107" spans="1:12" ht="22.5" customHeight="1" x14ac:dyDescent="0.3">
      <c r="A107" s="730">
        <v>99</v>
      </c>
      <c r="B107" s="744"/>
      <c r="C107" s="745">
        <v>18</v>
      </c>
      <c r="D107" s="1039" t="s">
        <v>742</v>
      </c>
      <c r="E107" s="746">
        <f>F107+G107+K111+L108</f>
        <v>9200</v>
      </c>
      <c r="F107" s="746"/>
      <c r="G107" s="1798"/>
      <c r="H107" s="986"/>
      <c r="I107" s="958"/>
      <c r="J107" s="746"/>
      <c r="K107" s="759"/>
      <c r="L107" s="748"/>
    </row>
    <row r="108" spans="1:12" s="1477" customFormat="1" ht="18" customHeight="1" x14ac:dyDescent="0.3">
      <c r="A108" s="730">
        <v>100</v>
      </c>
      <c r="B108" s="1467"/>
      <c r="C108" s="1468"/>
      <c r="D108" s="1500" t="s">
        <v>311</v>
      </c>
      <c r="E108" s="1470"/>
      <c r="F108" s="1471"/>
      <c r="G108" s="1801"/>
      <c r="H108" s="1472"/>
      <c r="I108" s="1473"/>
      <c r="J108" s="1474">
        <v>9200</v>
      </c>
      <c r="K108" s="2036">
        <f t="shared" ref="K108:K111" si="10">SUM(I108:J108)</f>
        <v>9200</v>
      </c>
      <c r="L108" s="1476"/>
    </row>
    <row r="109" spans="1:12" s="1477" customFormat="1" ht="18" customHeight="1" x14ac:dyDescent="0.3">
      <c r="A109" s="730">
        <v>101</v>
      </c>
      <c r="B109" s="1467"/>
      <c r="C109" s="1468"/>
      <c r="D109" s="1502" t="s">
        <v>1072</v>
      </c>
      <c r="E109" s="1470"/>
      <c r="F109" s="1471"/>
      <c r="G109" s="1801"/>
      <c r="H109" s="1472"/>
      <c r="I109" s="1473"/>
      <c r="J109" s="1496">
        <v>9200</v>
      </c>
      <c r="K109" s="1497">
        <f t="shared" si="10"/>
        <v>9200</v>
      </c>
      <c r="L109" s="1476"/>
    </row>
    <row r="110" spans="1:12" s="1488" customFormat="1" ht="18" customHeight="1" x14ac:dyDescent="0.3">
      <c r="A110" s="730">
        <v>102</v>
      </c>
      <c r="B110" s="1478"/>
      <c r="C110" s="1479"/>
      <c r="D110" s="1501" t="s">
        <v>963</v>
      </c>
      <c r="E110" s="1481"/>
      <c r="F110" s="1482"/>
      <c r="G110" s="1799"/>
      <c r="H110" s="1483"/>
      <c r="I110" s="1484"/>
      <c r="J110" s="1485"/>
      <c r="K110" s="1486">
        <f t="shared" si="10"/>
        <v>0</v>
      </c>
      <c r="L110" s="1487"/>
    </row>
    <row r="111" spans="1:12" s="1499" customFormat="1" ht="18" customHeight="1" x14ac:dyDescent="0.3">
      <c r="A111" s="730">
        <v>103</v>
      </c>
      <c r="B111" s="1489"/>
      <c r="C111" s="1490"/>
      <c r="D111" s="1502" t="s">
        <v>1151</v>
      </c>
      <c r="E111" s="1492"/>
      <c r="F111" s="1493"/>
      <c r="G111" s="1800"/>
      <c r="H111" s="1494"/>
      <c r="I111" s="1495"/>
      <c r="J111" s="1496">
        <f>SUM(J109:J110)</f>
        <v>9200</v>
      </c>
      <c r="K111" s="1497">
        <f t="shared" si="10"/>
        <v>9200</v>
      </c>
      <c r="L111" s="1498"/>
    </row>
    <row r="112" spans="1:12" ht="22.5" customHeight="1" x14ac:dyDescent="0.35">
      <c r="A112" s="730">
        <v>104</v>
      </c>
      <c r="B112" s="744"/>
      <c r="C112" s="745"/>
      <c r="D112" s="2301" t="s">
        <v>528</v>
      </c>
      <c r="E112" s="2302"/>
      <c r="F112" s="2303"/>
      <c r="G112" s="1798"/>
      <c r="H112" s="986" t="s">
        <v>23</v>
      </c>
      <c r="I112" s="958"/>
      <c r="J112" s="746"/>
      <c r="K112" s="759"/>
      <c r="L112" s="748"/>
    </row>
    <row r="113" spans="1:12" ht="22.5" customHeight="1" x14ac:dyDescent="0.3">
      <c r="A113" s="730">
        <v>105</v>
      </c>
      <c r="B113" s="744"/>
      <c r="C113" s="749"/>
      <c r="D113" s="1041" t="s">
        <v>743</v>
      </c>
      <c r="E113" s="746"/>
      <c r="F113" s="746"/>
      <c r="G113" s="1798"/>
      <c r="H113" s="986"/>
      <c r="I113" s="958"/>
      <c r="J113" s="746"/>
      <c r="K113" s="759"/>
      <c r="L113" s="748"/>
    </row>
    <row r="114" spans="1:12" ht="22.5" customHeight="1" x14ac:dyDescent="0.3">
      <c r="A114" s="730">
        <v>106</v>
      </c>
      <c r="B114" s="744"/>
      <c r="C114" s="745">
        <v>19</v>
      </c>
      <c r="D114" s="1039" t="s">
        <v>744</v>
      </c>
      <c r="E114" s="746">
        <f>F114+G114+K118+L115</f>
        <v>2470</v>
      </c>
      <c r="F114" s="746"/>
      <c r="G114" s="1798">
        <v>2394</v>
      </c>
      <c r="H114" s="986"/>
      <c r="I114" s="958"/>
      <c r="J114" s="746"/>
      <c r="K114" s="759"/>
      <c r="L114" s="748"/>
    </row>
    <row r="115" spans="1:12" s="1477" customFormat="1" ht="18" customHeight="1" x14ac:dyDescent="0.3">
      <c r="A115" s="730">
        <v>107</v>
      </c>
      <c r="B115" s="1467"/>
      <c r="C115" s="1468"/>
      <c r="D115" s="1500" t="s">
        <v>311</v>
      </c>
      <c r="E115" s="1470"/>
      <c r="F115" s="1471"/>
      <c r="G115" s="1801"/>
      <c r="H115" s="1472"/>
      <c r="I115" s="1473"/>
      <c r="J115" s="1474">
        <v>106</v>
      </c>
      <c r="K115" s="2036">
        <f t="shared" ref="K115:K118" si="11">SUM(I115:J115)</f>
        <v>106</v>
      </c>
      <c r="L115" s="1476"/>
    </row>
    <row r="116" spans="1:12" s="1477" customFormat="1" ht="18" customHeight="1" x14ac:dyDescent="0.3">
      <c r="A116" s="730">
        <v>108</v>
      </c>
      <c r="B116" s="1467"/>
      <c r="C116" s="1468"/>
      <c r="D116" s="1502" t="s">
        <v>1072</v>
      </c>
      <c r="E116" s="1470"/>
      <c r="F116" s="1471"/>
      <c r="G116" s="1801"/>
      <c r="H116" s="1472"/>
      <c r="I116" s="1473"/>
      <c r="J116" s="1496">
        <v>76</v>
      </c>
      <c r="K116" s="1497">
        <f t="shared" si="11"/>
        <v>76</v>
      </c>
      <c r="L116" s="1476"/>
    </row>
    <row r="117" spans="1:12" s="1488" customFormat="1" ht="18" customHeight="1" x14ac:dyDescent="0.3">
      <c r="A117" s="730">
        <v>109</v>
      </c>
      <c r="B117" s="1478"/>
      <c r="C117" s="1479"/>
      <c r="D117" s="1501" t="s">
        <v>986</v>
      </c>
      <c r="E117" s="1481"/>
      <c r="F117" s="1482"/>
      <c r="G117" s="1799"/>
      <c r="H117" s="1483"/>
      <c r="I117" s="1484"/>
      <c r="J117" s="1485"/>
      <c r="K117" s="1486">
        <f t="shared" si="11"/>
        <v>0</v>
      </c>
      <c r="L117" s="1487"/>
    </row>
    <row r="118" spans="1:12" s="1499" customFormat="1" ht="18" customHeight="1" x14ac:dyDescent="0.3">
      <c r="A118" s="730">
        <v>110</v>
      </c>
      <c r="B118" s="1489"/>
      <c r="C118" s="1490"/>
      <c r="D118" s="1502" t="s">
        <v>1151</v>
      </c>
      <c r="E118" s="1492"/>
      <c r="F118" s="1493"/>
      <c r="G118" s="1800"/>
      <c r="H118" s="1494"/>
      <c r="I118" s="1495"/>
      <c r="J118" s="1496">
        <f>SUM(J116:J117)</f>
        <v>76</v>
      </c>
      <c r="K118" s="1497">
        <f t="shared" si="11"/>
        <v>76</v>
      </c>
      <c r="L118" s="1498"/>
    </row>
    <row r="119" spans="1:12" ht="22.5" customHeight="1" x14ac:dyDescent="0.35">
      <c r="A119" s="730">
        <v>111</v>
      </c>
      <c r="B119" s="744"/>
      <c r="C119" s="745"/>
      <c r="D119" s="1042" t="s">
        <v>25</v>
      </c>
      <c r="E119" s="746"/>
      <c r="F119" s="746"/>
      <c r="G119" s="1798"/>
      <c r="H119" s="986" t="s">
        <v>23</v>
      </c>
      <c r="I119" s="958"/>
      <c r="J119" s="746"/>
      <c r="K119" s="759"/>
      <c r="L119" s="748"/>
    </row>
    <row r="120" spans="1:12" ht="22.5" customHeight="1" x14ac:dyDescent="0.3">
      <c r="A120" s="730">
        <v>112</v>
      </c>
      <c r="B120" s="744"/>
      <c r="C120" s="745">
        <v>20</v>
      </c>
      <c r="D120" s="1039" t="s">
        <v>947</v>
      </c>
      <c r="E120" s="746">
        <f>F120+G120+K124+L121</f>
        <v>8396</v>
      </c>
      <c r="F120" s="747"/>
      <c r="G120" s="1798"/>
      <c r="H120" s="987"/>
      <c r="I120" s="958"/>
      <c r="J120" s="746"/>
      <c r="K120" s="759"/>
      <c r="L120" s="748"/>
    </row>
    <row r="121" spans="1:12" s="1477" customFormat="1" ht="18" customHeight="1" x14ac:dyDescent="0.3">
      <c r="A121" s="730">
        <v>113</v>
      </c>
      <c r="B121" s="1467"/>
      <c r="C121" s="1468"/>
      <c r="D121" s="1500" t="s">
        <v>311</v>
      </c>
      <c r="E121" s="1470"/>
      <c r="F121" s="1471"/>
      <c r="G121" s="1801"/>
      <c r="H121" s="1472"/>
      <c r="I121" s="1473"/>
      <c r="J121" s="1474">
        <v>8020</v>
      </c>
      <c r="K121" s="2036">
        <f t="shared" ref="K121:K127" si="12">SUM(I121:J121)</f>
        <v>8020</v>
      </c>
      <c r="L121" s="1476"/>
    </row>
    <row r="122" spans="1:12" s="1477" customFormat="1" ht="18" customHeight="1" x14ac:dyDescent="0.3">
      <c r="A122" s="730">
        <v>114</v>
      </c>
      <c r="B122" s="1467"/>
      <c r="C122" s="1468"/>
      <c r="D122" s="1502" t="s">
        <v>1072</v>
      </c>
      <c r="E122" s="1470"/>
      <c r="F122" s="1471"/>
      <c r="G122" s="1801"/>
      <c r="H122" s="1472"/>
      <c r="I122" s="1473"/>
      <c r="J122" s="1496">
        <v>8396</v>
      </c>
      <c r="K122" s="1497">
        <f t="shared" si="12"/>
        <v>8396</v>
      </c>
      <c r="L122" s="1476"/>
    </row>
    <row r="123" spans="1:12" s="1488" customFormat="1" ht="18" customHeight="1" x14ac:dyDescent="0.3">
      <c r="A123" s="730">
        <v>115</v>
      </c>
      <c r="B123" s="1478"/>
      <c r="C123" s="1479"/>
      <c r="D123" s="1501" t="s">
        <v>986</v>
      </c>
      <c r="E123" s="1481"/>
      <c r="F123" s="1482"/>
      <c r="G123" s="1799"/>
      <c r="H123" s="1483"/>
      <c r="I123" s="1484"/>
      <c r="J123" s="1485"/>
      <c r="K123" s="1486">
        <f t="shared" si="12"/>
        <v>0</v>
      </c>
      <c r="L123" s="1487"/>
    </row>
    <row r="124" spans="1:12" s="1499" customFormat="1" ht="18" customHeight="1" x14ac:dyDescent="0.3">
      <c r="A124" s="730">
        <v>116</v>
      </c>
      <c r="B124" s="1489"/>
      <c r="C124" s="1490"/>
      <c r="D124" s="1502" t="s">
        <v>1151</v>
      </c>
      <c r="E124" s="1492"/>
      <c r="F124" s="1493"/>
      <c r="G124" s="1800"/>
      <c r="H124" s="1494"/>
      <c r="I124" s="1495"/>
      <c r="J124" s="1496">
        <f>SUM(J122:J123)</f>
        <v>8396</v>
      </c>
      <c r="K124" s="1497">
        <f t="shared" si="12"/>
        <v>8396</v>
      </c>
      <c r="L124" s="1498"/>
    </row>
    <row r="125" spans="1:12" s="1499" customFormat="1" ht="22.5" customHeight="1" x14ac:dyDescent="0.3">
      <c r="A125" s="730">
        <v>117</v>
      </c>
      <c r="B125" s="1489"/>
      <c r="C125" s="745">
        <v>21</v>
      </c>
      <c r="D125" s="1039" t="s">
        <v>745</v>
      </c>
      <c r="E125" s="746">
        <f>F125+G125+K129+L126</f>
        <v>0</v>
      </c>
      <c r="F125" s="1493"/>
      <c r="G125" s="1800"/>
      <c r="H125" s="1494"/>
      <c r="I125" s="1495"/>
      <c r="J125" s="1496"/>
      <c r="K125" s="1497"/>
      <c r="L125" s="1498"/>
    </row>
    <row r="126" spans="1:12" s="1499" customFormat="1" ht="18" customHeight="1" x14ac:dyDescent="0.3">
      <c r="A126" s="730">
        <v>118</v>
      </c>
      <c r="B126" s="1489"/>
      <c r="C126" s="1490"/>
      <c r="D126" s="1500" t="s">
        <v>311</v>
      </c>
      <c r="E126" s="1492"/>
      <c r="F126" s="1493"/>
      <c r="G126" s="1800"/>
      <c r="H126" s="1494"/>
      <c r="I126" s="1495"/>
      <c r="J126" s="1474">
        <v>1500</v>
      </c>
      <c r="K126" s="2036">
        <f t="shared" si="12"/>
        <v>1500</v>
      </c>
      <c r="L126" s="1498"/>
    </row>
    <row r="127" spans="1:12" s="1499" customFormat="1" ht="18" customHeight="1" x14ac:dyDescent="0.3">
      <c r="A127" s="730">
        <v>119</v>
      </c>
      <c r="B127" s="1489"/>
      <c r="C127" s="1490"/>
      <c r="D127" s="1502" t="s">
        <v>1072</v>
      </c>
      <c r="E127" s="1492"/>
      <c r="F127" s="1493"/>
      <c r="G127" s="1800"/>
      <c r="H127" s="1494"/>
      <c r="I127" s="1495"/>
      <c r="J127" s="1496">
        <v>0</v>
      </c>
      <c r="K127" s="1497">
        <f t="shared" si="12"/>
        <v>0</v>
      </c>
      <c r="L127" s="1498"/>
    </row>
    <row r="128" spans="1:12" s="1499" customFormat="1" ht="18" customHeight="1" x14ac:dyDescent="0.3">
      <c r="A128" s="730">
        <v>120</v>
      </c>
      <c r="B128" s="1489"/>
      <c r="C128" s="1490"/>
      <c r="D128" s="1501" t="s">
        <v>986</v>
      </c>
      <c r="E128" s="1492"/>
      <c r="F128" s="1493"/>
      <c r="G128" s="1800"/>
      <c r="H128" s="1494"/>
      <c r="I128" s="1495"/>
      <c r="J128" s="1496"/>
      <c r="K128" s="1497"/>
      <c r="L128" s="1498"/>
    </row>
    <row r="129" spans="1:252" s="1499" customFormat="1" ht="18" customHeight="1" x14ac:dyDescent="0.3">
      <c r="A129" s="730">
        <v>121</v>
      </c>
      <c r="B129" s="1489"/>
      <c r="C129" s="1490"/>
      <c r="D129" s="1502" t="s">
        <v>1151</v>
      </c>
      <c r="E129" s="1492"/>
      <c r="F129" s="1493"/>
      <c r="G129" s="1800"/>
      <c r="H129" s="1494"/>
      <c r="I129" s="1495"/>
      <c r="J129" s="2001">
        <f>SUM(J127:J128)</f>
        <v>0</v>
      </c>
      <c r="K129" s="1496">
        <f>SUM(K127:K128)</f>
        <v>0</v>
      </c>
      <c r="L129" s="1498"/>
    </row>
    <row r="130" spans="1:252" ht="22.5" customHeight="1" x14ac:dyDescent="0.35">
      <c r="A130" s="730">
        <v>122</v>
      </c>
      <c r="B130" s="744"/>
      <c r="C130" s="745">
        <v>22</v>
      </c>
      <c r="D130" s="1042" t="s">
        <v>1120</v>
      </c>
      <c r="E130" s="746">
        <f>F130+G130+K133</f>
        <v>5000</v>
      </c>
      <c r="F130" s="747"/>
      <c r="G130" s="1798"/>
      <c r="H130" s="987"/>
      <c r="I130" s="958"/>
      <c r="J130" s="746"/>
      <c r="K130" s="759"/>
      <c r="L130" s="748"/>
    </row>
    <row r="131" spans="1:252" ht="20.100000000000001" customHeight="1" x14ac:dyDescent="0.3">
      <c r="A131" s="730"/>
      <c r="B131" s="744"/>
      <c r="C131" s="745"/>
      <c r="D131" s="1502" t="s">
        <v>1072</v>
      </c>
      <c r="E131" s="746"/>
      <c r="F131" s="747"/>
      <c r="G131" s="1798"/>
      <c r="H131" s="987"/>
      <c r="I131" s="958"/>
      <c r="J131" s="1809">
        <v>5000</v>
      </c>
      <c r="K131" s="1497">
        <f t="shared" ref="K131" si="13">SUM(I131:J131)</f>
        <v>5000</v>
      </c>
      <c r="L131" s="748"/>
    </row>
    <row r="132" spans="1:252" s="1488" customFormat="1" ht="18" customHeight="1" x14ac:dyDescent="0.3">
      <c r="A132" s="730">
        <v>123</v>
      </c>
      <c r="B132" s="1478"/>
      <c r="C132" s="1479"/>
      <c r="D132" s="1501" t="s">
        <v>986</v>
      </c>
      <c r="E132" s="1481"/>
      <c r="F132" s="1482"/>
      <c r="G132" s="1799"/>
      <c r="H132" s="1483"/>
      <c r="I132" s="1484"/>
      <c r="J132" s="1485"/>
      <c r="K132" s="2010">
        <f t="shared" ref="K132:K133" si="14">SUM(I132:J132)</f>
        <v>0</v>
      </c>
      <c r="L132" s="1487"/>
    </row>
    <row r="133" spans="1:252" s="1499" customFormat="1" ht="18" customHeight="1" thickBot="1" x14ac:dyDescent="0.35">
      <c r="A133" s="730">
        <v>124</v>
      </c>
      <c r="B133" s="1489"/>
      <c r="C133" s="1490"/>
      <c r="D133" s="1502" t="s">
        <v>1151</v>
      </c>
      <c r="E133" s="1492"/>
      <c r="F133" s="1493"/>
      <c r="G133" s="1800"/>
      <c r="H133" s="1494"/>
      <c r="I133" s="1495"/>
      <c r="J133" s="1496">
        <f>SUM(J131:J132)</f>
        <v>5000</v>
      </c>
      <c r="K133" s="1497">
        <f t="shared" si="14"/>
        <v>5000</v>
      </c>
      <c r="L133" s="1498"/>
    </row>
    <row r="134" spans="1:252" ht="20.100000000000001" customHeight="1" x14ac:dyDescent="0.3">
      <c r="A134" s="730">
        <v>125</v>
      </c>
      <c r="B134" s="2294" t="s">
        <v>13</v>
      </c>
      <c r="C134" s="2295"/>
      <c r="D134" s="2295"/>
      <c r="E134" s="2295"/>
      <c r="F134" s="2295"/>
      <c r="G134" s="2296"/>
      <c r="H134" s="1503"/>
      <c r="I134" s="1504"/>
      <c r="J134" s="1504"/>
      <c r="K134" s="1505"/>
      <c r="L134" s="1506"/>
    </row>
    <row r="135" spans="1:252" s="1477" customFormat="1" ht="18" customHeight="1" x14ac:dyDescent="0.3">
      <c r="A135" s="730">
        <v>126</v>
      </c>
      <c r="B135" s="1467"/>
      <c r="C135" s="1468"/>
      <c r="D135" s="1469" t="s">
        <v>311</v>
      </c>
      <c r="E135" s="1470"/>
      <c r="F135" s="1471"/>
      <c r="G135" s="1801"/>
      <c r="H135" s="1472"/>
      <c r="I135" s="1856">
        <f>SUM(I11,I16,I21,I26,I31,I36,I41,I46,I52,I58,I64,I71,I77,I84,I89,I96,I101,I108,I115,I121,)</f>
        <v>300</v>
      </c>
      <c r="J135" s="1474">
        <f>SUM(J11,J16,J21,J26,J31,J36,J41,J46,J52,J58,J64,J71,J77,J84,J89,J96,J101,J108,J115,J121,J126)</f>
        <v>319939</v>
      </c>
      <c r="K135" s="1475">
        <f t="shared" ref="K135:K138" si="15">SUM(I135:J135)</f>
        <v>320239</v>
      </c>
      <c r="L135" s="1476"/>
    </row>
    <row r="136" spans="1:252" s="1477" customFormat="1" ht="18" customHeight="1" x14ac:dyDescent="0.3">
      <c r="A136" s="730">
        <v>127</v>
      </c>
      <c r="B136" s="1467"/>
      <c r="C136" s="1468"/>
      <c r="D136" s="1855" t="s">
        <v>1072</v>
      </c>
      <c r="E136" s="1470"/>
      <c r="F136" s="1471"/>
      <c r="G136" s="1801"/>
      <c r="H136" s="1472"/>
      <c r="I136" s="1495">
        <f>SUM(I12,I17,I22,I27,I32,I37,I42,I47,I53,I59,I65,I72,I78,I85,I90,I97,I102,I109,I116,I122,I127,I131)</f>
        <v>18</v>
      </c>
      <c r="J136" s="1495">
        <f>SUM(J12,J17,J22,J27,J32,J37,J42,J47,J53,J59,J65,J72,J78,J85,J90,J97,J102,J109,J116,J122,J127,J131)</f>
        <v>160119</v>
      </c>
      <c r="K136" s="1497">
        <f>SUM(I136:J136)</f>
        <v>160137</v>
      </c>
      <c r="L136" s="1476"/>
    </row>
    <row r="137" spans="1:252" s="1488" customFormat="1" ht="18" customHeight="1" x14ac:dyDescent="0.3">
      <c r="A137" s="730">
        <v>128</v>
      </c>
      <c r="B137" s="1478"/>
      <c r="C137" s="1479"/>
      <c r="D137" s="1480" t="s">
        <v>963</v>
      </c>
      <c r="E137" s="1481"/>
      <c r="F137" s="1482"/>
      <c r="G137" s="1799"/>
      <c r="H137" s="1483"/>
      <c r="I137" s="1484">
        <f>SUM(I13,I18,I23,I28,I33,I38,I43,I48,I54,I60,I66,I73,I79,I86,I91,I98,I103,I110,I117,I123,I132)</f>
        <v>0</v>
      </c>
      <c r="J137" s="1485">
        <f>SUM(J13,J18,J23,J28,J33,J38,J43,J48,J54,J60,J66,J73,J79,J86,J91,J98,J103,J110,J117,J123,J132)</f>
        <v>0</v>
      </c>
      <c r="K137" s="2010">
        <f>SUM(I137:J137)</f>
        <v>0</v>
      </c>
      <c r="L137" s="1487"/>
    </row>
    <row r="138" spans="1:252" s="1499" customFormat="1" ht="18" customHeight="1" thickBot="1" x14ac:dyDescent="0.35">
      <c r="A138" s="730">
        <v>129</v>
      </c>
      <c r="B138" s="1507"/>
      <c r="C138" s="1508"/>
      <c r="D138" s="1509" t="s">
        <v>1151</v>
      </c>
      <c r="E138" s="1510"/>
      <c r="F138" s="1511"/>
      <c r="G138" s="1804"/>
      <c r="H138" s="1512"/>
      <c r="I138" s="1513">
        <f>SUM(I136:I137)</f>
        <v>18</v>
      </c>
      <c r="J138" s="1514">
        <f>SUM(J136:J137)</f>
        <v>160119</v>
      </c>
      <c r="K138" s="1515">
        <f t="shared" si="15"/>
        <v>160137</v>
      </c>
      <c r="L138" s="1516"/>
    </row>
    <row r="139" spans="1:252" ht="18" customHeight="1" x14ac:dyDescent="0.3">
      <c r="B139" s="1517" t="s">
        <v>27</v>
      </c>
      <c r="C139" s="1517"/>
      <c r="D139" s="1517"/>
      <c r="E139" s="726"/>
      <c r="F139" s="727"/>
      <c r="G139" s="726"/>
      <c r="H139" s="1518"/>
      <c r="I139" s="726"/>
      <c r="J139" s="726"/>
      <c r="K139" s="726"/>
    </row>
    <row r="140" spans="1:252" ht="18" customHeight="1" x14ac:dyDescent="0.3">
      <c r="B140" s="1517" t="s">
        <v>28</v>
      </c>
      <c r="C140" s="1517"/>
      <c r="D140" s="1517"/>
      <c r="E140" s="1519"/>
      <c r="F140" s="727"/>
      <c r="G140" s="726"/>
      <c r="H140" s="1518"/>
      <c r="I140" s="726"/>
      <c r="J140" s="726"/>
      <c r="K140" s="726"/>
    </row>
    <row r="141" spans="1:252" ht="18" customHeight="1" x14ac:dyDescent="0.3">
      <c r="B141" s="1517" t="s">
        <v>29</v>
      </c>
      <c r="C141" s="1517"/>
      <c r="D141" s="1517"/>
      <c r="E141" s="1519"/>
      <c r="F141" s="727"/>
      <c r="G141" s="726"/>
      <c r="H141" s="1518"/>
      <c r="I141" s="726"/>
      <c r="J141" s="726"/>
      <c r="K141" s="726"/>
    </row>
    <row r="142" spans="1:252" s="718" customFormat="1" x14ac:dyDescent="0.3">
      <c r="A142" s="729"/>
      <c r="B142" s="720"/>
      <c r="C142" s="721"/>
      <c r="D142" s="722"/>
      <c r="H142" s="723"/>
      <c r="L142" s="728"/>
      <c r="M142" s="719"/>
      <c r="N142" s="719"/>
      <c r="O142" s="719"/>
      <c r="P142" s="719"/>
      <c r="Q142" s="719"/>
      <c r="R142" s="719"/>
      <c r="S142" s="719"/>
      <c r="T142" s="719"/>
      <c r="U142" s="719"/>
      <c r="V142" s="719"/>
      <c r="W142" s="719"/>
      <c r="X142" s="719"/>
      <c r="Y142" s="719"/>
      <c r="Z142" s="719"/>
      <c r="AA142" s="719"/>
      <c r="AB142" s="719"/>
      <c r="AC142" s="719"/>
      <c r="AD142" s="719"/>
      <c r="AE142" s="719"/>
      <c r="AF142" s="719"/>
      <c r="AG142" s="719"/>
      <c r="AH142" s="719"/>
      <c r="AI142" s="719"/>
      <c r="AJ142" s="719"/>
      <c r="AK142" s="719"/>
      <c r="AL142" s="719"/>
      <c r="AM142" s="719"/>
      <c r="AN142" s="719"/>
      <c r="AO142" s="719"/>
      <c r="AP142" s="719"/>
      <c r="AQ142" s="719"/>
      <c r="AR142" s="719"/>
      <c r="AS142" s="719"/>
      <c r="AT142" s="719"/>
      <c r="AU142" s="719"/>
      <c r="AV142" s="719"/>
      <c r="AW142" s="719"/>
      <c r="AX142" s="719"/>
      <c r="AY142" s="719"/>
      <c r="AZ142" s="719"/>
      <c r="BA142" s="719"/>
      <c r="BB142" s="719"/>
      <c r="BC142" s="719"/>
      <c r="BD142" s="719"/>
      <c r="BE142" s="719"/>
      <c r="BF142" s="719"/>
      <c r="BG142" s="719"/>
      <c r="BH142" s="719"/>
      <c r="BI142" s="719"/>
      <c r="BJ142" s="719"/>
      <c r="BK142" s="719"/>
      <c r="BL142" s="719"/>
      <c r="BM142" s="719"/>
      <c r="BN142" s="719"/>
      <c r="BO142" s="719"/>
      <c r="BP142" s="719"/>
      <c r="BQ142" s="719"/>
      <c r="BR142" s="719"/>
      <c r="BS142" s="719"/>
      <c r="BT142" s="719"/>
      <c r="BU142" s="719"/>
      <c r="BV142" s="719"/>
      <c r="BW142" s="719"/>
      <c r="BX142" s="719"/>
      <c r="BY142" s="719"/>
      <c r="BZ142" s="719"/>
      <c r="CA142" s="719"/>
      <c r="CB142" s="719"/>
      <c r="CC142" s="719"/>
      <c r="CD142" s="719"/>
      <c r="CE142" s="719"/>
      <c r="CF142" s="719"/>
      <c r="CG142" s="719"/>
      <c r="CH142" s="719"/>
      <c r="CI142" s="719"/>
      <c r="CJ142" s="719"/>
      <c r="CK142" s="719"/>
      <c r="CL142" s="719"/>
      <c r="CM142" s="719"/>
      <c r="CN142" s="719"/>
      <c r="CO142" s="719"/>
      <c r="CP142" s="719"/>
      <c r="CQ142" s="719"/>
      <c r="CR142" s="719"/>
      <c r="CS142" s="719"/>
      <c r="CT142" s="719"/>
      <c r="CU142" s="719"/>
      <c r="CV142" s="719"/>
      <c r="CW142" s="719"/>
      <c r="CX142" s="719"/>
      <c r="CY142" s="719"/>
      <c r="CZ142" s="719"/>
      <c r="DA142" s="719"/>
      <c r="DB142" s="719"/>
      <c r="DC142" s="719"/>
      <c r="DD142" s="719"/>
      <c r="DE142" s="719"/>
      <c r="DF142" s="719"/>
      <c r="DG142" s="719"/>
      <c r="DH142" s="719"/>
      <c r="DI142" s="719"/>
      <c r="DJ142" s="719"/>
      <c r="DK142" s="719"/>
      <c r="DL142" s="719"/>
      <c r="DM142" s="719"/>
      <c r="DN142" s="719"/>
      <c r="DO142" s="719"/>
      <c r="DP142" s="719"/>
      <c r="DQ142" s="719"/>
      <c r="DR142" s="719"/>
      <c r="DS142" s="719"/>
      <c r="DT142" s="719"/>
      <c r="DU142" s="719"/>
      <c r="DV142" s="719"/>
      <c r="DW142" s="719"/>
      <c r="DX142" s="719"/>
      <c r="DY142" s="719"/>
      <c r="DZ142" s="719"/>
      <c r="EA142" s="719"/>
      <c r="EB142" s="719"/>
      <c r="EC142" s="719"/>
      <c r="ED142" s="719"/>
      <c r="EE142" s="719"/>
      <c r="EF142" s="719"/>
      <c r="EG142" s="719"/>
      <c r="EH142" s="719"/>
      <c r="EI142" s="719"/>
      <c r="EJ142" s="719"/>
      <c r="EK142" s="719"/>
      <c r="EL142" s="719"/>
      <c r="EM142" s="719"/>
      <c r="EN142" s="719"/>
      <c r="EO142" s="719"/>
      <c r="EP142" s="719"/>
      <c r="EQ142" s="719"/>
      <c r="ER142" s="719"/>
      <c r="ES142" s="719"/>
      <c r="ET142" s="719"/>
      <c r="EU142" s="719"/>
      <c r="EV142" s="719"/>
      <c r="EW142" s="719"/>
      <c r="EX142" s="719"/>
      <c r="EY142" s="719"/>
      <c r="EZ142" s="719"/>
      <c r="FA142" s="719"/>
      <c r="FB142" s="719"/>
      <c r="FC142" s="719"/>
      <c r="FD142" s="719"/>
      <c r="FE142" s="719"/>
      <c r="FF142" s="719"/>
      <c r="FG142" s="719"/>
      <c r="FH142" s="719"/>
      <c r="FI142" s="719"/>
      <c r="FJ142" s="719"/>
      <c r="FK142" s="719"/>
      <c r="FL142" s="719"/>
      <c r="FM142" s="719"/>
      <c r="FN142" s="719"/>
      <c r="FO142" s="719"/>
      <c r="FP142" s="719"/>
      <c r="FQ142" s="719"/>
      <c r="FR142" s="719"/>
      <c r="FS142" s="719"/>
      <c r="FT142" s="719"/>
      <c r="FU142" s="719"/>
      <c r="FV142" s="719"/>
      <c r="FW142" s="719"/>
      <c r="FX142" s="719"/>
      <c r="FY142" s="719"/>
      <c r="FZ142" s="719"/>
      <c r="GA142" s="719"/>
      <c r="GB142" s="719"/>
      <c r="GC142" s="719"/>
      <c r="GD142" s="719"/>
      <c r="GE142" s="719"/>
      <c r="GF142" s="719"/>
      <c r="GG142" s="719"/>
      <c r="GH142" s="719"/>
      <c r="GI142" s="719"/>
      <c r="GJ142" s="719"/>
      <c r="GK142" s="719"/>
      <c r="GL142" s="719"/>
      <c r="GM142" s="719"/>
      <c r="GN142" s="719"/>
      <c r="GO142" s="719"/>
      <c r="GP142" s="719"/>
      <c r="GQ142" s="719"/>
      <c r="GR142" s="719"/>
      <c r="GS142" s="719"/>
      <c r="GT142" s="719"/>
      <c r="GU142" s="719"/>
      <c r="GV142" s="719"/>
      <c r="GW142" s="719"/>
      <c r="GX142" s="719"/>
      <c r="GY142" s="719"/>
      <c r="GZ142" s="719"/>
      <c r="HA142" s="719"/>
      <c r="HB142" s="719"/>
      <c r="HC142" s="719"/>
      <c r="HD142" s="719"/>
      <c r="HE142" s="719"/>
      <c r="HF142" s="719"/>
      <c r="HG142" s="719"/>
      <c r="HH142" s="719"/>
      <c r="HI142" s="719"/>
      <c r="HJ142" s="719"/>
      <c r="HK142" s="719"/>
      <c r="HL142" s="719"/>
      <c r="HM142" s="719"/>
      <c r="HN142" s="719"/>
      <c r="HO142" s="719"/>
      <c r="HP142" s="719"/>
      <c r="HQ142" s="719"/>
      <c r="HR142" s="719"/>
      <c r="HS142" s="719"/>
      <c r="HT142" s="719"/>
      <c r="HU142" s="719"/>
      <c r="HV142" s="719"/>
      <c r="HW142" s="719"/>
      <c r="HX142" s="719"/>
      <c r="HY142" s="719"/>
      <c r="HZ142" s="719"/>
      <c r="IA142" s="719"/>
      <c r="IB142" s="719"/>
      <c r="IC142" s="719"/>
      <c r="ID142" s="719"/>
      <c r="IE142" s="719"/>
      <c r="IF142" s="719"/>
      <c r="IG142" s="719"/>
      <c r="IH142" s="719"/>
      <c r="II142" s="719"/>
      <c r="IJ142" s="719"/>
      <c r="IK142" s="719"/>
      <c r="IL142" s="719"/>
      <c r="IM142" s="719"/>
      <c r="IN142" s="719"/>
      <c r="IO142" s="719"/>
      <c r="IP142" s="719"/>
      <c r="IQ142" s="719"/>
      <c r="IR142" s="719"/>
    </row>
  </sheetData>
  <mergeCells count="16">
    <mergeCell ref="B134:G134"/>
    <mergeCell ref="B1:D1"/>
    <mergeCell ref="I1:L1"/>
    <mergeCell ref="B2:L2"/>
    <mergeCell ref="B3:L3"/>
    <mergeCell ref="B6:B8"/>
    <mergeCell ref="C6:C8"/>
    <mergeCell ref="D6:D8"/>
    <mergeCell ref="E6:E8"/>
    <mergeCell ref="F6:F8"/>
    <mergeCell ref="G6:G8"/>
    <mergeCell ref="H6:H8"/>
    <mergeCell ref="I6:K6"/>
    <mergeCell ref="L6:L8"/>
    <mergeCell ref="K7:K8"/>
    <mergeCell ref="D112:F11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8" fitToHeight="0" orientation="portrait" r:id="rId1"/>
  <headerFooter>
    <oddFooter>&amp;C- &amp;P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A214"/>
  <sheetViews>
    <sheetView view="pageBreakPreview" zoomScale="85" zoomScaleNormal="100" zoomScaleSheetLayoutView="85" workbookViewId="0">
      <selection activeCell="B1" sqref="B1:P1"/>
    </sheetView>
  </sheetViews>
  <sheetFormatPr defaultColWidth="9.140625" defaultRowHeight="17.25" x14ac:dyDescent="0.35"/>
  <cols>
    <col min="1" max="1" width="4.5703125" style="760" customWidth="1"/>
    <col min="2" max="3" width="5.7109375" style="898" customWidth="1"/>
    <col min="4" max="4" width="62.7109375" style="420" customWidth="1"/>
    <col min="5" max="5" width="12.7109375" style="1033" customWidth="1"/>
    <col min="6" max="7" width="10.7109375" style="897" customWidth="1"/>
    <col min="8" max="8" width="6.7109375" style="763" customWidth="1"/>
    <col min="9" max="14" width="14.85546875" style="897" customWidth="1"/>
    <col min="15" max="15" width="15.7109375" style="784" customWidth="1"/>
    <col min="16" max="16" width="13.85546875" style="897" customWidth="1"/>
    <col min="17" max="16384" width="9.140625" style="420"/>
  </cols>
  <sheetData>
    <row r="1" spans="1:261" x14ac:dyDescent="0.35">
      <c r="A1" s="2058"/>
      <c r="B1" s="2260" t="s">
        <v>1313</v>
      </c>
      <c r="C1" s="2260"/>
      <c r="D1" s="2260"/>
      <c r="E1" s="2260"/>
      <c r="F1" s="2260"/>
      <c r="G1" s="2260"/>
      <c r="H1" s="2260"/>
      <c r="I1" s="2260"/>
      <c r="J1" s="2260"/>
      <c r="K1" s="2260"/>
      <c r="L1" s="2260"/>
      <c r="M1" s="2260"/>
      <c r="N1" s="2260"/>
      <c r="O1" s="2260"/>
      <c r="P1" s="2260"/>
    </row>
    <row r="2" spans="1:261" ht="18" customHeight="1" x14ac:dyDescent="0.3">
      <c r="A2" s="2058"/>
      <c r="B2" s="2261" t="s">
        <v>1296</v>
      </c>
      <c r="C2" s="2261"/>
      <c r="D2" s="2261"/>
      <c r="E2" s="2261"/>
      <c r="F2" s="2261"/>
      <c r="G2" s="2261"/>
      <c r="H2" s="2261"/>
      <c r="I2" s="2261"/>
      <c r="J2" s="2261"/>
      <c r="K2" s="2261"/>
      <c r="L2" s="2261"/>
      <c r="M2" s="2261"/>
      <c r="N2" s="2261"/>
      <c r="O2" s="2261"/>
      <c r="P2" s="2261"/>
      <c r="Q2" s="762"/>
      <c r="R2" s="762"/>
      <c r="S2" s="762"/>
      <c r="T2" s="762"/>
      <c r="U2" s="762"/>
      <c r="V2" s="762"/>
      <c r="W2" s="762"/>
      <c r="X2" s="762"/>
      <c r="Y2" s="762"/>
      <c r="Z2" s="762"/>
      <c r="AA2" s="762"/>
      <c r="AB2" s="762"/>
      <c r="AC2" s="762"/>
      <c r="AD2" s="762"/>
      <c r="AE2" s="762"/>
      <c r="AF2" s="762"/>
      <c r="AG2" s="762"/>
      <c r="AH2" s="762"/>
      <c r="AI2" s="762"/>
      <c r="AJ2" s="762"/>
      <c r="AK2" s="762"/>
      <c r="AL2" s="762"/>
      <c r="AM2" s="762"/>
      <c r="AN2" s="762"/>
      <c r="AO2" s="762"/>
      <c r="AP2" s="762"/>
      <c r="AQ2" s="762"/>
      <c r="AR2" s="762"/>
      <c r="AS2" s="762"/>
      <c r="AT2" s="762"/>
      <c r="AU2" s="762"/>
      <c r="AV2" s="762"/>
      <c r="AW2" s="762"/>
      <c r="AX2" s="762"/>
      <c r="AY2" s="762"/>
      <c r="AZ2" s="762"/>
      <c r="BA2" s="762"/>
      <c r="BB2" s="762"/>
      <c r="BC2" s="762"/>
      <c r="BD2" s="762"/>
      <c r="BE2" s="762"/>
      <c r="BF2" s="762"/>
      <c r="BG2" s="762"/>
      <c r="BH2" s="762"/>
      <c r="BI2" s="762"/>
      <c r="BJ2" s="762"/>
      <c r="BK2" s="762"/>
      <c r="BL2" s="762"/>
      <c r="BM2" s="762"/>
      <c r="BN2" s="762"/>
      <c r="BO2" s="762"/>
      <c r="BP2" s="762"/>
      <c r="BQ2" s="762"/>
      <c r="BR2" s="762"/>
      <c r="BS2" s="762"/>
      <c r="BT2" s="762"/>
      <c r="BU2" s="762"/>
      <c r="BV2" s="762"/>
      <c r="BW2" s="762"/>
      <c r="BX2" s="762"/>
      <c r="BY2" s="762"/>
      <c r="BZ2" s="762"/>
      <c r="CA2" s="762"/>
      <c r="CB2" s="762"/>
      <c r="CC2" s="762"/>
      <c r="CD2" s="762"/>
      <c r="CE2" s="762"/>
      <c r="CF2" s="762"/>
      <c r="CG2" s="762"/>
      <c r="CH2" s="762"/>
      <c r="CI2" s="762"/>
      <c r="CJ2" s="762"/>
      <c r="CK2" s="762"/>
      <c r="CL2" s="762"/>
      <c r="CM2" s="762"/>
      <c r="CN2" s="762"/>
      <c r="CO2" s="762"/>
      <c r="CP2" s="762"/>
      <c r="CQ2" s="762"/>
      <c r="CR2" s="762"/>
      <c r="CS2" s="762"/>
      <c r="CT2" s="762"/>
      <c r="CU2" s="762"/>
      <c r="CV2" s="762"/>
      <c r="CW2" s="762"/>
      <c r="CX2" s="762"/>
      <c r="CY2" s="762"/>
      <c r="CZ2" s="762"/>
      <c r="DA2" s="762"/>
      <c r="DB2" s="762"/>
      <c r="DC2" s="762"/>
      <c r="DD2" s="762"/>
      <c r="DE2" s="762"/>
      <c r="DF2" s="762"/>
      <c r="DG2" s="762"/>
      <c r="DH2" s="762"/>
      <c r="DI2" s="762"/>
      <c r="DJ2" s="762"/>
      <c r="DK2" s="762"/>
      <c r="DL2" s="762"/>
      <c r="DM2" s="762"/>
      <c r="DN2" s="762"/>
      <c r="DO2" s="762"/>
      <c r="DP2" s="762"/>
      <c r="DQ2" s="762"/>
      <c r="DR2" s="762"/>
      <c r="DS2" s="762"/>
      <c r="DT2" s="762"/>
      <c r="DU2" s="762"/>
      <c r="DV2" s="762"/>
      <c r="DW2" s="762"/>
      <c r="DX2" s="762"/>
      <c r="DY2" s="762"/>
      <c r="DZ2" s="762"/>
      <c r="EA2" s="762"/>
      <c r="EB2" s="762"/>
      <c r="EC2" s="762"/>
      <c r="ED2" s="762"/>
      <c r="EE2" s="762"/>
      <c r="EF2" s="762"/>
      <c r="EG2" s="762"/>
      <c r="EH2" s="762"/>
      <c r="EI2" s="762"/>
      <c r="EJ2" s="762"/>
      <c r="EK2" s="762"/>
      <c r="EL2" s="762"/>
      <c r="EM2" s="762"/>
      <c r="EN2" s="762"/>
      <c r="EO2" s="762"/>
      <c r="EP2" s="762"/>
      <c r="EQ2" s="762"/>
      <c r="ER2" s="762"/>
      <c r="ES2" s="762"/>
      <c r="ET2" s="762"/>
      <c r="EU2" s="762"/>
      <c r="EV2" s="762"/>
      <c r="EW2" s="762"/>
      <c r="EX2" s="762"/>
      <c r="EY2" s="762"/>
      <c r="EZ2" s="762"/>
      <c r="FA2" s="762"/>
      <c r="FB2" s="762"/>
      <c r="FC2" s="762"/>
      <c r="FD2" s="762"/>
      <c r="FE2" s="762"/>
      <c r="FF2" s="762"/>
      <c r="FG2" s="762"/>
      <c r="FH2" s="762"/>
      <c r="FI2" s="762"/>
      <c r="FJ2" s="762"/>
      <c r="FK2" s="762"/>
      <c r="FL2" s="762"/>
      <c r="FM2" s="762"/>
      <c r="FN2" s="762"/>
      <c r="FO2" s="762"/>
      <c r="FP2" s="762"/>
      <c r="FQ2" s="762"/>
      <c r="FR2" s="762"/>
      <c r="FS2" s="762"/>
      <c r="FT2" s="762"/>
      <c r="FU2" s="762"/>
      <c r="FV2" s="762"/>
      <c r="FW2" s="762"/>
      <c r="FX2" s="762"/>
      <c r="FY2" s="762"/>
      <c r="FZ2" s="762"/>
      <c r="GA2" s="762"/>
      <c r="GB2" s="762"/>
      <c r="GC2" s="762"/>
      <c r="GD2" s="762"/>
      <c r="GE2" s="762"/>
      <c r="GF2" s="762"/>
      <c r="GG2" s="762"/>
      <c r="GH2" s="762"/>
      <c r="GI2" s="762"/>
      <c r="GJ2" s="762"/>
      <c r="GK2" s="762"/>
      <c r="GL2" s="762"/>
      <c r="GM2" s="762"/>
      <c r="GN2" s="762"/>
      <c r="GO2" s="762"/>
      <c r="GP2" s="762"/>
      <c r="GQ2" s="762"/>
      <c r="GR2" s="762"/>
      <c r="GS2" s="762"/>
      <c r="GT2" s="762"/>
      <c r="GU2" s="762"/>
      <c r="GV2" s="762"/>
      <c r="GW2" s="762"/>
      <c r="GX2" s="762"/>
      <c r="GY2" s="762"/>
      <c r="GZ2" s="762"/>
      <c r="HA2" s="762"/>
      <c r="HB2" s="762"/>
      <c r="HC2" s="762"/>
      <c r="HD2" s="762"/>
      <c r="HE2" s="762"/>
      <c r="HF2" s="762"/>
      <c r="HG2" s="762"/>
      <c r="HH2" s="762"/>
      <c r="HI2" s="762"/>
      <c r="HJ2" s="762"/>
      <c r="HK2" s="762"/>
      <c r="HL2" s="762"/>
      <c r="HM2" s="762"/>
      <c r="HN2" s="762"/>
      <c r="HO2" s="762"/>
      <c r="HP2" s="762"/>
      <c r="HQ2" s="762"/>
      <c r="HR2" s="762"/>
      <c r="HS2" s="762"/>
      <c r="HT2" s="762"/>
      <c r="HU2" s="762"/>
      <c r="HV2" s="762"/>
      <c r="HW2" s="762"/>
      <c r="HX2" s="762"/>
      <c r="HY2" s="762"/>
      <c r="HZ2" s="762"/>
      <c r="IA2" s="762"/>
      <c r="IB2" s="762"/>
      <c r="IC2" s="762"/>
      <c r="ID2" s="762"/>
      <c r="IE2" s="762"/>
      <c r="IF2" s="762"/>
      <c r="IG2" s="762"/>
      <c r="IH2" s="762"/>
      <c r="II2" s="762"/>
      <c r="IJ2" s="762"/>
      <c r="IK2" s="762"/>
      <c r="IL2" s="762"/>
      <c r="IM2" s="762"/>
      <c r="IN2" s="762"/>
      <c r="IO2" s="762"/>
      <c r="IP2" s="762"/>
    </row>
    <row r="3" spans="1:261" ht="18" customHeight="1" x14ac:dyDescent="0.3">
      <c r="A3" s="2058"/>
      <c r="B3" s="2055"/>
      <c r="C3" s="2055"/>
      <c r="D3" s="2055"/>
      <c r="E3" s="2055"/>
      <c r="F3" s="2055"/>
      <c r="G3" s="2055"/>
      <c r="H3" s="2055"/>
      <c r="I3" s="2055"/>
      <c r="J3" s="2055"/>
      <c r="K3" s="2055"/>
      <c r="L3" s="2055"/>
      <c r="M3" s="2055"/>
      <c r="N3" s="2055"/>
      <c r="O3" s="2055"/>
      <c r="P3" s="2055"/>
      <c r="Q3" s="762"/>
      <c r="R3" s="762"/>
      <c r="S3" s="762"/>
      <c r="T3" s="762"/>
      <c r="U3" s="762"/>
      <c r="V3" s="762"/>
      <c r="W3" s="762"/>
      <c r="X3" s="762"/>
      <c r="Y3" s="762"/>
      <c r="Z3" s="762"/>
      <c r="AA3" s="762"/>
      <c r="AB3" s="762"/>
      <c r="AC3" s="762"/>
      <c r="AD3" s="762"/>
      <c r="AE3" s="762"/>
      <c r="AF3" s="762"/>
      <c r="AG3" s="762"/>
      <c r="AH3" s="762"/>
      <c r="AI3" s="762"/>
      <c r="AJ3" s="762"/>
      <c r="AK3" s="762"/>
      <c r="AL3" s="762"/>
      <c r="AM3" s="762"/>
      <c r="AN3" s="762"/>
      <c r="AO3" s="762"/>
      <c r="AP3" s="762"/>
      <c r="AQ3" s="762"/>
      <c r="AR3" s="762"/>
      <c r="AS3" s="762"/>
      <c r="AT3" s="762"/>
      <c r="AU3" s="762"/>
      <c r="AV3" s="762"/>
      <c r="AW3" s="762"/>
      <c r="AX3" s="762"/>
      <c r="AY3" s="762"/>
      <c r="AZ3" s="762"/>
      <c r="BA3" s="762"/>
      <c r="BB3" s="762"/>
      <c r="BC3" s="762"/>
      <c r="BD3" s="762"/>
      <c r="BE3" s="762"/>
      <c r="BF3" s="762"/>
      <c r="BG3" s="762"/>
      <c r="BH3" s="762"/>
      <c r="BI3" s="762"/>
      <c r="BJ3" s="762"/>
      <c r="BK3" s="762"/>
      <c r="BL3" s="762"/>
      <c r="BM3" s="762"/>
      <c r="BN3" s="762"/>
      <c r="BO3" s="762"/>
      <c r="BP3" s="762"/>
      <c r="BQ3" s="762"/>
      <c r="BR3" s="762"/>
      <c r="BS3" s="762"/>
      <c r="BT3" s="762"/>
      <c r="BU3" s="762"/>
      <c r="BV3" s="762"/>
      <c r="BW3" s="762"/>
      <c r="BX3" s="762"/>
      <c r="BY3" s="762"/>
      <c r="BZ3" s="762"/>
      <c r="CA3" s="762"/>
      <c r="CB3" s="762"/>
      <c r="CC3" s="762"/>
      <c r="CD3" s="762"/>
      <c r="CE3" s="762"/>
      <c r="CF3" s="762"/>
      <c r="CG3" s="762"/>
      <c r="CH3" s="762"/>
      <c r="CI3" s="762"/>
      <c r="CJ3" s="762"/>
      <c r="CK3" s="762"/>
      <c r="CL3" s="762"/>
      <c r="CM3" s="762"/>
      <c r="CN3" s="762"/>
      <c r="CO3" s="762"/>
      <c r="CP3" s="762"/>
      <c r="CQ3" s="762"/>
      <c r="CR3" s="762"/>
      <c r="CS3" s="762"/>
      <c r="CT3" s="762"/>
      <c r="CU3" s="762"/>
      <c r="CV3" s="762"/>
      <c r="CW3" s="762"/>
      <c r="CX3" s="762"/>
      <c r="CY3" s="762"/>
      <c r="CZ3" s="762"/>
      <c r="DA3" s="762"/>
      <c r="DB3" s="762"/>
      <c r="DC3" s="762"/>
      <c r="DD3" s="762"/>
      <c r="DE3" s="762"/>
      <c r="DF3" s="762"/>
      <c r="DG3" s="762"/>
      <c r="DH3" s="762"/>
      <c r="DI3" s="762"/>
      <c r="DJ3" s="762"/>
      <c r="DK3" s="762"/>
      <c r="DL3" s="762"/>
      <c r="DM3" s="762"/>
      <c r="DN3" s="762"/>
      <c r="DO3" s="762"/>
      <c r="DP3" s="762"/>
      <c r="DQ3" s="762"/>
      <c r="DR3" s="762"/>
      <c r="DS3" s="762"/>
      <c r="DT3" s="762"/>
      <c r="DU3" s="762"/>
      <c r="DV3" s="762"/>
      <c r="DW3" s="762"/>
      <c r="DX3" s="762"/>
      <c r="DY3" s="762"/>
      <c r="DZ3" s="762"/>
      <c r="EA3" s="762"/>
      <c r="EB3" s="762"/>
      <c r="EC3" s="762"/>
      <c r="ED3" s="762"/>
      <c r="EE3" s="762"/>
      <c r="EF3" s="762"/>
      <c r="EG3" s="762"/>
      <c r="EH3" s="762"/>
      <c r="EI3" s="762"/>
      <c r="EJ3" s="762"/>
      <c r="EK3" s="762"/>
      <c r="EL3" s="762"/>
      <c r="EM3" s="762"/>
      <c r="EN3" s="762"/>
      <c r="EO3" s="762"/>
      <c r="EP3" s="762"/>
      <c r="EQ3" s="762"/>
      <c r="ER3" s="762"/>
      <c r="ES3" s="762"/>
      <c r="ET3" s="762"/>
      <c r="EU3" s="762"/>
      <c r="EV3" s="762"/>
      <c r="EW3" s="762"/>
      <c r="EX3" s="762"/>
      <c r="EY3" s="762"/>
      <c r="EZ3" s="762"/>
      <c r="FA3" s="762"/>
      <c r="FB3" s="762"/>
      <c r="FC3" s="762"/>
      <c r="FD3" s="762"/>
      <c r="FE3" s="762"/>
      <c r="FF3" s="762"/>
      <c r="FG3" s="762"/>
      <c r="FH3" s="762"/>
      <c r="FI3" s="762"/>
      <c r="FJ3" s="762"/>
      <c r="FK3" s="762"/>
      <c r="FL3" s="762"/>
      <c r="FM3" s="762"/>
      <c r="FN3" s="762"/>
      <c r="FO3" s="762"/>
      <c r="FP3" s="762"/>
      <c r="FQ3" s="762"/>
      <c r="FR3" s="762"/>
      <c r="FS3" s="762"/>
      <c r="FT3" s="762"/>
      <c r="FU3" s="762"/>
      <c r="FV3" s="762"/>
      <c r="FW3" s="762"/>
      <c r="FX3" s="762"/>
      <c r="FY3" s="762"/>
      <c r="FZ3" s="762"/>
      <c r="GA3" s="762"/>
      <c r="GB3" s="762"/>
      <c r="GC3" s="762"/>
      <c r="GD3" s="762"/>
      <c r="GE3" s="762"/>
      <c r="GF3" s="762"/>
      <c r="GG3" s="762"/>
      <c r="GH3" s="762"/>
      <c r="GI3" s="762"/>
      <c r="GJ3" s="762"/>
      <c r="GK3" s="762"/>
      <c r="GL3" s="762"/>
      <c r="GM3" s="762"/>
      <c r="GN3" s="762"/>
      <c r="GO3" s="762"/>
      <c r="GP3" s="762"/>
      <c r="GQ3" s="762"/>
      <c r="GR3" s="762"/>
      <c r="GS3" s="762"/>
      <c r="GT3" s="762"/>
      <c r="GU3" s="762"/>
      <c r="GV3" s="762"/>
      <c r="GW3" s="762"/>
      <c r="GX3" s="762"/>
      <c r="GY3" s="762"/>
      <c r="GZ3" s="762"/>
      <c r="HA3" s="762"/>
      <c r="HB3" s="762"/>
      <c r="HC3" s="762"/>
      <c r="HD3" s="762"/>
      <c r="HE3" s="762"/>
      <c r="HF3" s="762"/>
      <c r="HG3" s="762"/>
      <c r="HH3" s="762"/>
      <c r="HI3" s="762"/>
      <c r="HJ3" s="762"/>
      <c r="HK3" s="762"/>
      <c r="HL3" s="762"/>
      <c r="HM3" s="762"/>
      <c r="HN3" s="762"/>
      <c r="HO3" s="762"/>
      <c r="HP3" s="762"/>
      <c r="HQ3" s="762"/>
      <c r="HR3" s="762"/>
      <c r="HS3" s="762"/>
      <c r="HT3" s="762"/>
      <c r="HU3" s="762"/>
      <c r="HV3" s="762"/>
      <c r="HW3" s="762"/>
      <c r="HX3" s="762"/>
      <c r="HY3" s="762"/>
      <c r="HZ3" s="762"/>
      <c r="IA3" s="762"/>
      <c r="IB3" s="762"/>
      <c r="IC3" s="762"/>
      <c r="ID3" s="762"/>
      <c r="IE3" s="762"/>
      <c r="IF3" s="762"/>
      <c r="IG3" s="762"/>
      <c r="IH3" s="762"/>
      <c r="II3" s="762"/>
      <c r="IJ3" s="762"/>
      <c r="IK3" s="762"/>
      <c r="IL3" s="762"/>
      <c r="IM3" s="762"/>
      <c r="IN3" s="762"/>
      <c r="IO3" s="762"/>
      <c r="IP3" s="762"/>
    </row>
    <row r="4" spans="1:261" ht="24.75" customHeight="1" x14ac:dyDescent="0.35">
      <c r="A4" s="2265" t="s">
        <v>14</v>
      </c>
      <c r="B4" s="2265"/>
      <c r="C4" s="2265"/>
      <c r="D4" s="2265"/>
      <c r="E4" s="2265"/>
      <c r="F4" s="2265"/>
      <c r="G4" s="2265"/>
      <c r="H4" s="2265"/>
      <c r="I4" s="2265"/>
      <c r="J4" s="2265"/>
      <c r="K4" s="2265"/>
      <c r="L4" s="2265"/>
      <c r="M4" s="2265"/>
      <c r="N4" s="2265"/>
      <c r="O4" s="2265"/>
      <c r="P4" s="2265"/>
    </row>
    <row r="5" spans="1:261" ht="24.75" customHeight="1" x14ac:dyDescent="0.35">
      <c r="A5" s="2324" t="s">
        <v>1285</v>
      </c>
      <c r="B5" s="2324"/>
      <c r="C5" s="2324"/>
      <c r="D5" s="2324"/>
      <c r="E5" s="2324"/>
      <c r="F5" s="2324"/>
      <c r="G5" s="2324"/>
      <c r="H5" s="2324"/>
      <c r="I5" s="2324"/>
      <c r="J5" s="2324"/>
      <c r="K5" s="2324"/>
      <c r="L5" s="2324"/>
      <c r="M5" s="2324"/>
      <c r="N5" s="2324"/>
      <c r="O5" s="2324"/>
      <c r="P5" s="2324"/>
    </row>
    <row r="6" spans="1:261" s="978" customFormat="1" ht="18" customHeight="1" x14ac:dyDescent="0.3">
      <c r="A6" s="760"/>
      <c r="B6" s="760"/>
      <c r="C6" s="760"/>
      <c r="E6" s="718"/>
      <c r="F6" s="718"/>
      <c r="G6" s="718"/>
      <c r="H6" s="979"/>
      <c r="I6" s="718"/>
      <c r="J6" s="718"/>
      <c r="K6" s="718"/>
      <c r="L6" s="718"/>
      <c r="M6" s="718"/>
      <c r="N6" s="718"/>
      <c r="O6" s="980"/>
      <c r="P6" s="724" t="s">
        <v>0</v>
      </c>
    </row>
    <row r="7" spans="1:261" s="984" customFormat="1" ht="18" customHeight="1" thickBot="1" x14ac:dyDescent="0.35">
      <c r="A7" s="981"/>
      <c r="B7" s="982" t="s">
        <v>1</v>
      </c>
      <c r="C7" s="983" t="s">
        <v>3</v>
      </c>
      <c r="D7" s="983" t="s">
        <v>2</v>
      </c>
      <c r="E7" s="983" t="s">
        <v>4</v>
      </c>
      <c r="F7" s="983" t="s">
        <v>5</v>
      </c>
      <c r="G7" s="983" t="s">
        <v>15</v>
      </c>
      <c r="H7" s="983" t="s">
        <v>16</v>
      </c>
      <c r="I7" s="983" t="s">
        <v>17</v>
      </c>
      <c r="J7" s="983" t="s">
        <v>36</v>
      </c>
      <c r="K7" s="983" t="s">
        <v>30</v>
      </c>
      <c r="L7" s="983" t="s">
        <v>23</v>
      </c>
      <c r="M7" s="983" t="s">
        <v>37</v>
      </c>
      <c r="N7" s="983" t="s">
        <v>38</v>
      </c>
      <c r="O7" s="983" t="s">
        <v>160</v>
      </c>
      <c r="P7" s="983" t="s">
        <v>161</v>
      </c>
      <c r="Q7" s="981"/>
      <c r="R7" s="981"/>
      <c r="S7" s="981"/>
      <c r="T7" s="981"/>
      <c r="U7" s="981"/>
      <c r="V7" s="981"/>
      <c r="W7" s="981"/>
      <c r="X7" s="981"/>
      <c r="Y7" s="981"/>
      <c r="Z7" s="981"/>
      <c r="AA7" s="981"/>
      <c r="AB7" s="981"/>
      <c r="AC7" s="981"/>
      <c r="AD7" s="981"/>
      <c r="AE7" s="981"/>
      <c r="AF7" s="981"/>
      <c r="AG7" s="981"/>
      <c r="AH7" s="981"/>
      <c r="AI7" s="981"/>
      <c r="AJ7" s="981"/>
      <c r="AK7" s="981"/>
      <c r="AL7" s="981"/>
      <c r="AM7" s="981"/>
      <c r="AN7" s="981"/>
      <c r="AO7" s="981"/>
      <c r="AP7" s="981"/>
      <c r="AQ7" s="981"/>
      <c r="AR7" s="981"/>
      <c r="AS7" s="981"/>
      <c r="AT7" s="981"/>
      <c r="AU7" s="981"/>
      <c r="AV7" s="981"/>
      <c r="AW7" s="981"/>
      <c r="AX7" s="981"/>
      <c r="AY7" s="981"/>
      <c r="AZ7" s="981"/>
      <c r="BA7" s="981"/>
      <c r="BB7" s="981"/>
      <c r="BC7" s="981"/>
      <c r="BD7" s="981"/>
      <c r="BE7" s="981"/>
      <c r="BF7" s="981"/>
      <c r="BG7" s="981"/>
      <c r="BH7" s="981"/>
      <c r="BI7" s="981"/>
      <c r="BJ7" s="981"/>
      <c r="BK7" s="981"/>
      <c r="BL7" s="981"/>
      <c r="BM7" s="981"/>
      <c r="BN7" s="981"/>
      <c r="BO7" s="981"/>
      <c r="BP7" s="981"/>
      <c r="BQ7" s="981"/>
      <c r="BR7" s="981"/>
      <c r="BS7" s="981"/>
      <c r="BT7" s="981"/>
      <c r="BU7" s="981"/>
      <c r="BV7" s="981"/>
      <c r="BW7" s="981"/>
      <c r="BX7" s="981"/>
      <c r="BY7" s="981"/>
      <c r="BZ7" s="981"/>
      <c r="CA7" s="981"/>
      <c r="CB7" s="981"/>
      <c r="CC7" s="981"/>
      <c r="CD7" s="981"/>
      <c r="CE7" s="981"/>
      <c r="CF7" s="981"/>
      <c r="CG7" s="981"/>
      <c r="CH7" s="981"/>
      <c r="CI7" s="981"/>
      <c r="CJ7" s="981"/>
      <c r="CK7" s="981"/>
      <c r="CL7" s="981"/>
      <c r="CM7" s="981"/>
      <c r="CN7" s="981"/>
      <c r="CO7" s="981"/>
      <c r="CP7" s="981"/>
      <c r="CQ7" s="981"/>
      <c r="CR7" s="981"/>
      <c r="CS7" s="981"/>
      <c r="CT7" s="981"/>
      <c r="CU7" s="981"/>
      <c r="CV7" s="981"/>
      <c r="CW7" s="981"/>
      <c r="CX7" s="981"/>
      <c r="CY7" s="981"/>
      <c r="CZ7" s="981"/>
      <c r="DA7" s="981"/>
      <c r="DB7" s="981"/>
      <c r="DC7" s="981"/>
      <c r="DD7" s="981"/>
      <c r="DE7" s="981"/>
      <c r="DF7" s="981"/>
      <c r="DG7" s="981"/>
      <c r="DH7" s="981"/>
      <c r="DI7" s="981"/>
      <c r="DJ7" s="981"/>
      <c r="DK7" s="981"/>
      <c r="DL7" s="981"/>
      <c r="DM7" s="981"/>
      <c r="DN7" s="981"/>
      <c r="DO7" s="981"/>
      <c r="DP7" s="981"/>
      <c r="DQ7" s="981"/>
      <c r="DR7" s="981"/>
      <c r="DS7" s="981"/>
      <c r="DT7" s="981"/>
      <c r="DU7" s="981"/>
      <c r="DV7" s="981"/>
      <c r="DW7" s="981"/>
      <c r="DX7" s="981"/>
      <c r="DY7" s="981"/>
      <c r="DZ7" s="981"/>
      <c r="EA7" s="981"/>
      <c r="EB7" s="981"/>
      <c r="EC7" s="981"/>
      <c r="ED7" s="981"/>
      <c r="EE7" s="981"/>
      <c r="EF7" s="981"/>
      <c r="EG7" s="981"/>
      <c r="EH7" s="981"/>
      <c r="EI7" s="981"/>
      <c r="EJ7" s="981"/>
      <c r="EK7" s="981"/>
      <c r="EL7" s="981"/>
      <c r="EM7" s="981"/>
      <c r="EN7" s="981"/>
      <c r="EO7" s="981"/>
      <c r="EP7" s="981"/>
      <c r="EQ7" s="981"/>
      <c r="ER7" s="981"/>
      <c r="ES7" s="981"/>
      <c r="ET7" s="981"/>
      <c r="EU7" s="981"/>
      <c r="EV7" s="981"/>
      <c r="EW7" s="981"/>
      <c r="EX7" s="981"/>
      <c r="EY7" s="981"/>
      <c r="EZ7" s="981"/>
      <c r="FA7" s="981"/>
      <c r="FB7" s="981"/>
      <c r="FC7" s="981"/>
      <c r="FD7" s="981"/>
      <c r="FE7" s="981"/>
      <c r="FF7" s="981"/>
      <c r="FG7" s="981"/>
      <c r="FH7" s="981"/>
      <c r="FI7" s="981"/>
      <c r="FJ7" s="981"/>
      <c r="FK7" s="981"/>
      <c r="FL7" s="981"/>
      <c r="FM7" s="981"/>
      <c r="FN7" s="981"/>
      <c r="FO7" s="981"/>
      <c r="FP7" s="981"/>
      <c r="FQ7" s="981"/>
      <c r="FR7" s="981"/>
      <c r="FS7" s="981"/>
      <c r="FT7" s="981"/>
      <c r="FU7" s="981"/>
      <c r="FV7" s="981"/>
      <c r="FW7" s="981"/>
      <c r="FX7" s="981"/>
      <c r="FY7" s="981"/>
      <c r="FZ7" s="981"/>
      <c r="GA7" s="981"/>
      <c r="GB7" s="981"/>
      <c r="GC7" s="981"/>
      <c r="GD7" s="981"/>
      <c r="GE7" s="981"/>
      <c r="GF7" s="981"/>
      <c r="GG7" s="981"/>
      <c r="GH7" s="981"/>
      <c r="GI7" s="981"/>
      <c r="GJ7" s="981"/>
      <c r="GK7" s="981"/>
      <c r="GL7" s="981"/>
      <c r="GM7" s="981"/>
      <c r="GN7" s="981"/>
      <c r="GO7" s="981"/>
      <c r="GP7" s="981"/>
      <c r="GQ7" s="981"/>
      <c r="GR7" s="981"/>
      <c r="GS7" s="981"/>
      <c r="GT7" s="981"/>
      <c r="GU7" s="981"/>
      <c r="GV7" s="981"/>
      <c r="GW7" s="981"/>
      <c r="GX7" s="981"/>
      <c r="GY7" s="981"/>
      <c r="GZ7" s="981"/>
      <c r="HA7" s="981"/>
      <c r="HB7" s="981"/>
      <c r="HC7" s="981"/>
      <c r="HD7" s="981"/>
      <c r="HE7" s="981"/>
      <c r="HF7" s="981"/>
      <c r="HG7" s="981"/>
      <c r="HH7" s="981"/>
      <c r="HI7" s="981"/>
      <c r="HJ7" s="981"/>
      <c r="HK7" s="981"/>
      <c r="HL7" s="981"/>
      <c r="HM7" s="981"/>
      <c r="HN7" s="981"/>
      <c r="HO7" s="981"/>
      <c r="HP7" s="981"/>
      <c r="HQ7" s="981"/>
      <c r="HR7" s="981"/>
      <c r="HS7" s="981"/>
      <c r="HT7" s="981"/>
      <c r="HU7" s="981"/>
      <c r="HV7" s="981"/>
      <c r="HW7" s="981"/>
      <c r="HX7" s="981"/>
      <c r="HY7" s="981"/>
      <c r="HZ7" s="981"/>
      <c r="IA7" s="981"/>
      <c r="IB7" s="981"/>
      <c r="IC7" s="981"/>
      <c r="ID7" s="981"/>
      <c r="IE7" s="981"/>
      <c r="IF7" s="981"/>
      <c r="IG7" s="981"/>
      <c r="IH7" s="981"/>
      <c r="II7" s="981"/>
      <c r="IJ7" s="981"/>
      <c r="IK7" s="981"/>
      <c r="IL7" s="981"/>
      <c r="IM7" s="981"/>
      <c r="IN7" s="981"/>
      <c r="IO7" s="981"/>
      <c r="IP7" s="981"/>
    </row>
    <row r="8" spans="1:261" ht="22.5" customHeight="1" x14ac:dyDescent="0.3">
      <c r="B8" s="2318" t="s">
        <v>18</v>
      </c>
      <c r="C8" s="2314" t="s">
        <v>19</v>
      </c>
      <c r="D8" s="2325" t="s">
        <v>6</v>
      </c>
      <c r="E8" s="2321" t="s">
        <v>648</v>
      </c>
      <c r="F8" s="2321" t="s">
        <v>654</v>
      </c>
      <c r="G8" s="2328" t="s">
        <v>1020</v>
      </c>
      <c r="H8" s="2282" t="s">
        <v>20</v>
      </c>
      <c r="I8" s="2331" t="s">
        <v>634</v>
      </c>
      <c r="J8" s="2321"/>
      <c r="K8" s="2321"/>
      <c r="L8" s="2321"/>
      <c r="M8" s="2321"/>
      <c r="N8" s="2321"/>
      <c r="O8" s="2332"/>
      <c r="P8" s="2333" t="s">
        <v>644</v>
      </c>
      <c r="Q8" s="2317"/>
      <c r="R8" s="2317"/>
    </row>
    <row r="9" spans="1:261" ht="33" customHeight="1" x14ac:dyDescent="0.3">
      <c r="B9" s="2319"/>
      <c r="C9" s="2315"/>
      <c r="D9" s="2326"/>
      <c r="E9" s="2322"/>
      <c r="F9" s="2322"/>
      <c r="G9" s="2329"/>
      <c r="H9" s="2283"/>
      <c r="I9" s="2336" t="s">
        <v>650</v>
      </c>
      <c r="J9" s="2337"/>
      <c r="K9" s="2338"/>
      <c r="L9" s="2338"/>
      <c r="M9" s="2339" t="s">
        <v>163</v>
      </c>
      <c r="N9" s="2339"/>
      <c r="O9" s="2340" t="s">
        <v>129</v>
      </c>
      <c r="P9" s="2334"/>
    </row>
    <row r="10" spans="1:261" ht="53.25" customHeight="1" thickBot="1" x14ac:dyDescent="0.35">
      <c r="B10" s="2320"/>
      <c r="C10" s="2316"/>
      <c r="D10" s="2327"/>
      <c r="E10" s="2323"/>
      <c r="F10" s="2323"/>
      <c r="G10" s="2330"/>
      <c r="H10" s="2284"/>
      <c r="I10" s="1003" t="s">
        <v>40</v>
      </c>
      <c r="J10" s="764" t="s">
        <v>645</v>
      </c>
      <c r="K10" s="765" t="s">
        <v>42</v>
      </c>
      <c r="L10" s="765" t="s">
        <v>647</v>
      </c>
      <c r="M10" s="764" t="s">
        <v>231</v>
      </c>
      <c r="N10" s="764" t="s">
        <v>164</v>
      </c>
      <c r="O10" s="2341"/>
      <c r="P10" s="2335"/>
    </row>
    <row r="11" spans="1:261" s="768" customFormat="1" ht="22.5" customHeight="1" x14ac:dyDescent="0.35">
      <c r="A11" s="783">
        <v>1</v>
      </c>
      <c r="B11" s="766">
        <v>18</v>
      </c>
      <c r="C11" s="778" t="s">
        <v>14</v>
      </c>
      <c r="D11" s="991"/>
      <c r="E11" s="429"/>
      <c r="F11" s="427"/>
      <c r="G11" s="428"/>
      <c r="H11" s="1008"/>
      <c r="I11" s="1024"/>
      <c r="J11" s="1025"/>
      <c r="K11" s="1025"/>
      <c r="L11" s="1025"/>
      <c r="M11" s="1025"/>
      <c r="N11" s="1025"/>
      <c r="O11" s="1026"/>
      <c r="P11" s="77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/>
      <c r="AJ11" s="420"/>
      <c r="AK11" s="420"/>
      <c r="AL11" s="420"/>
      <c r="AM11" s="420"/>
      <c r="AN11" s="420"/>
      <c r="AO11" s="420"/>
      <c r="AP11" s="420"/>
      <c r="AQ11" s="420"/>
      <c r="AR11" s="420"/>
      <c r="AS11" s="420"/>
      <c r="AT11" s="420"/>
      <c r="AU11" s="420"/>
      <c r="AV11" s="420"/>
      <c r="AW11" s="420"/>
      <c r="AX11" s="420"/>
      <c r="AY11" s="420"/>
      <c r="AZ11" s="420"/>
      <c r="BA11" s="420"/>
      <c r="BB11" s="420"/>
      <c r="BC11" s="420"/>
      <c r="BD11" s="420"/>
      <c r="BE11" s="420"/>
      <c r="BF11" s="420"/>
      <c r="BG11" s="420"/>
      <c r="BH11" s="420"/>
      <c r="BI11" s="420"/>
      <c r="BJ11" s="420"/>
      <c r="BK11" s="420"/>
      <c r="BL11" s="420"/>
      <c r="BM11" s="420"/>
      <c r="BN11" s="420"/>
      <c r="BO11" s="420"/>
      <c r="BP11" s="420"/>
      <c r="BQ11" s="420"/>
      <c r="BR11" s="420"/>
      <c r="BS11" s="420"/>
      <c r="BT11" s="420"/>
      <c r="BU11" s="420"/>
      <c r="BV11" s="420"/>
      <c r="BW11" s="420"/>
      <c r="BX11" s="420"/>
      <c r="BY11" s="420"/>
      <c r="BZ11" s="420"/>
      <c r="CA11" s="420"/>
      <c r="CB11" s="420"/>
      <c r="CC11" s="420"/>
      <c r="CD11" s="420"/>
      <c r="CE11" s="420"/>
      <c r="CF11" s="420"/>
      <c r="CG11" s="420"/>
      <c r="CH11" s="420"/>
      <c r="CI11" s="420"/>
      <c r="CJ11" s="420"/>
      <c r="CK11" s="420"/>
      <c r="CL11" s="420"/>
      <c r="CM11" s="420"/>
      <c r="CN11" s="420"/>
      <c r="CO11" s="420"/>
      <c r="CP11" s="420"/>
      <c r="CQ11" s="420"/>
      <c r="CR11" s="420"/>
      <c r="CS11" s="420"/>
      <c r="CT11" s="420"/>
      <c r="CU11" s="420"/>
      <c r="CV11" s="420"/>
      <c r="CW11" s="420"/>
      <c r="CX11" s="420"/>
      <c r="CY11" s="420"/>
      <c r="CZ11" s="420"/>
      <c r="DA11" s="420"/>
      <c r="DB11" s="420"/>
      <c r="DC11" s="420"/>
      <c r="DD11" s="420"/>
      <c r="DE11" s="420"/>
      <c r="DF11" s="420"/>
      <c r="DG11" s="420"/>
      <c r="DH11" s="420"/>
      <c r="DI11" s="420"/>
      <c r="DJ11" s="420"/>
      <c r="DK11" s="420"/>
      <c r="DL11" s="420"/>
      <c r="DM11" s="420"/>
      <c r="DN11" s="420"/>
      <c r="DO11" s="420"/>
      <c r="DP11" s="420"/>
      <c r="DQ11" s="420"/>
      <c r="DR11" s="420"/>
      <c r="DS11" s="420"/>
      <c r="DT11" s="420"/>
      <c r="DU11" s="420"/>
      <c r="DV11" s="420"/>
      <c r="DW11" s="420"/>
      <c r="DX11" s="420"/>
      <c r="DY11" s="420"/>
      <c r="DZ11" s="420"/>
      <c r="EA11" s="420"/>
      <c r="EB11" s="420"/>
      <c r="EC11" s="420"/>
      <c r="ED11" s="420"/>
      <c r="EE11" s="420"/>
      <c r="EF11" s="420"/>
      <c r="EG11" s="420"/>
      <c r="EH11" s="420"/>
      <c r="EI11" s="420"/>
      <c r="EJ11" s="420"/>
      <c r="EK11" s="420"/>
      <c r="EL11" s="420"/>
      <c r="EM11" s="420"/>
      <c r="EN11" s="420"/>
      <c r="EO11" s="420"/>
      <c r="EP11" s="420"/>
      <c r="EQ11" s="420"/>
      <c r="ER11" s="420"/>
      <c r="ES11" s="420"/>
      <c r="ET11" s="420"/>
      <c r="EU11" s="420"/>
      <c r="EV11" s="420"/>
      <c r="EW11" s="420"/>
      <c r="EX11" s="420"/>
      <c r="EY11" s="420"/>
      <c r="EZ11" s="420"/>
      <c r="FA11" s="420"/>
      <c r="FB11" s="420"/>
      <c r="FC11" s="420"/>
      <c r="FD11" s="420"/>
      <c r="FE11" s="420"/>
      <c r="FF11" s="420"/>
      <c r="FG11" s="420"/>
      <c r="FH11" s="420"/>
      <c r="FI11" s="420"/>
      <c r="FJ11" s="420"/>
      <c r="FK11" s="420"/>
      <c r="FL11" s="420"/>
      <c r="FM11" s="420"/>
      <c r="FN11" s="420"/>
      <c r="FO11" s="420"/>
      <c r="FP11" s="420"/>
      <c r="FQ11" s="420"/>
      <c r="FR11" s="420"/>
      <c r="FS11" s="420"/>
      <c r="FT11" s="420"/>
      <c r="FU11" s="420"/>
      <c r="FV11" s="420"/>
      <c r="FW11" s="420"/>
      <c r="FX11" s="420"/>
      <c r="FY11" s="420"/>
      <c r="FZ11" s="420"/>
      <c r="GA11" s="420"/>
      <c r="GB11" s="420"/>
      <c r="GC11" s="420"/>
      <c r="GD11" s="420"/>
      <c r="GE11" s="420"/>
      <c r="GF11" s="420"/>
      <c r="GG11" s="420"/>
      <c r="GH11" s="420"/>
      <c r="GI11" s="420"/>
      <c r="GJ11" s="420"/>
      <c r="GK11" s="420"/>
      <c r="GL11" s="420"/>
      <c r="GM11" s="420"/>
      <c r="GN11" s="420"/>
      <c r="GO11" s="420"/>
      <c r="GP11" s="420"/>
      <c r="GQ11" s="420"/>
      <c r="GR11" s="420"/>
      <c r="GS11" s="420"/>
      <c r="GT11" s="420"/>
      <c r="GU11" s="420"/>
      <c r="GV11" s="420"/>
      <c r="GW11" s="420"/>
      <c r="GX11" s="420"/>
      <c r="GY11" s="420"/>
      <c r="GZ11" s="420"/>
      <c r="HA11" s="420"/>
      <c r="HB11" s="420"/>
      <c r="HC11" s="420"/>
      <c r="HD11" s="420"/>
      <c r="HE11" s="420"/>
      <c r="HF11" s="420"/>
      <c r="HG11" s="420"/>
      <c r="HH11" s="420"/>
      <c r="HI11" s="420"/>
      <c r="HJ11" s="420"/>
      <c r="HK11" s="420"/>
      <c r="HL11" s="420"/>
      <c r="HM11" s="420"/>
      <c r="HN11" s="420"/>
      <c r="HO11" s="420"/>
      <c r="HP11" s="420"/>
      <c r="HQ11" s="420"/>
      <c r="HR11" s="420"/>
      <c r="HS11" s="420"/>
      <c r="HT11" s="420"/>
      <c r="HU11" s="420"/>
      <c r="HV11" s="420"/>
      <c r="HW11" s="420"/>
      <c r="HX11" s="420"/>
      <c r="HY11" s="420"/>
      <c r="HZ11" s="420"/>
      <c r="IA11" s="420"/>
      <c r="IB11" s="420"/>
      <c r="IC11" s="420"/>
      <c r="ID11" s="420"/>
      <c r="IE11" s="420"/>
      <c r="IF11" s="420"/>
      <c r="IG11" s="420"/>
      <c r="IH11" s="420"/>
      <c r="II11" s="420"/>
      <c r="IJ11" s="420"/>
      <c r="IK11" s="420"/>
      <c r="IL11" s="420"/>
      <c r="IM11" s="420"/>
      <c r="IN11" s="420"/>
      <c r="IO11" s="420"/>
      <c r="IP11" s="420"/>
      <c r="IQ11" s="420"/>
      <c r="IR11" s="420"/>
      <c r="IS11" s="420"/>
      <c r="IT11" s="420"/>
      <c r="IU11" s="420"/>
      <c r="IV11" s="420"/>
      <c r="IW11" s="420"/>
      <c r="IX11" s="420"/>
      <c r="IY11" s="420"/>
      <c r="IZ11" s="420"/>
      <c r="JA11" s="420"/>
    </row>
    <row r="12" spans="1:261" s="768" customFormat="1" ht="22.5" customHeight="1" x14ac:dyDescent="0.35">
      <c r="A12" s="783">
        <v>2</v>
      </c>
      <c r="B12" s="776"/>
      <c r="C12" s="466">
        <v>1</v>
      </c>
      <c r="D12" s="771" t="s">
        <v>608</v>
      </c>
      <c r="E12" s="432"/>
      <c r="F12" s="772"/>
      <c r="G12" s="433"/>
      <c r="H12" s="1009" t="s">
        <v>24</v>
      </c>
      <c r="I12" s="1027"/>
      <c r="J12" s="1023"/>
      <c r="K12" s="1023"/>
      <c r="L12" s="1023"/>
      <c r="M12" s="1023"/>
      <c r="N12" s="1023"/>
      <c r="O12" s="992"/>
      <c r="P12" s="773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/>
      <c r="AJ12" s="420"/>
      <c r="AK12" s="420"/>
      <c r="AL12" s="420"/>
      <c r="AM12" s="420"/>
      <c r="AN12" s="420"/>
      <c r="AO12" s="420"/>
      <c r="AP12" s="420"/>
      <c r="AQ12" s="420"/>
      <c r="AR12" s="420"/>
      <c r="AS12" s="420"/>
      <c r="AT12" s="420"/>
      <c r="AU12" s="420"/>
      <c r="AV12" s="420"/>
      <c r="AW12" s="420"/>
      <c r="AX12" s="420"/>
      <c r="AY12" s="420"/>
      <c r="AZ12" s="420"/>
      <c r="BA12" s="420"/>
      <c r="BB12" s="420"/>
      <c r="BC12" s="420"/>
      <c r="BD12" s="420"/>
      <c r="BE12" s="420"/>
      <c r="BF12" s="420"/>
      <c r="BG12" s="420"/>
      <c r="BH12" s="420"/>
      <c r="BI12" s="420"/>
      <c r="BJ12" s="420"/>
      <c r="BK12" s="420"/>
      <c r="BL12" s="420"/>
      <c r="BM12" s="420"/>
      <c r="BN12" s="420"/>
      <c r="BO12" s="420"/>
      <c r="BP12" s="420"/>
      <c r="BQ12" s="420"/>
      <c r="BR12" s="420"/>
      <c r="BS12" s="420"/>
      <c r="BT12" s="420"/>
      <c r="BU12" s="420"/>
      <c r="BV12" s="420"/>
      <c r="BW12" s="420"/>
      <c r="BX12" s="420"/>
      <c r="BY12" s="420"/>
      <c r="BZ12" s="420"/>
      <c r="CA12" s="420"/>
      <c r="CB12" s="420"/>
      <c r="CC12" s="420"/>
      <c r="CD12" s="420"/>
      <c r="CE12" s="420"/>
      <c r="CF12" s="420"/>
      <c r="CG12" s="420"/>
      <c r="CH12" s="420"/>
      <c r="CI12" s="420"/>
      <c r="CJ12" s="420"/>
      <c r="CK12" s="420"/>
      <c r="CL12" s="420"/>
      <c r="CM12" s="420"/>
      <c r="CN12" s="420"/>
      <c r="CO12" s="420"/>
      <c r="CP12" s="420"/>
      <c r="CQ12" s="420"/>
      <c r="CR12" s="420"/>
      <c r="CS12" s="420"/>
      <c r="CT12" s="420"/>
      <c r="CU12" s="420"/>
      <c r="CV12" s="420"/>
      <c r="CW12" s="420"/>
      <c r="CX12" s="420"/>
      <c r="CY12" s="420"/>
      <c r="CZ12" s="420"/>
      <c r="DA12" s="420"/>
      <c r="DB12" s="420"/>
      <c r="DC12" s="420"/>
      <c r="DD12" s="420"/>
      <c r="DE12" s="420"/>
      <c r="DF12" s="420"/>
      <c r="DG12" s="420"/>
      <c r="DH12" s="420"/>
      <c r="DI12" s="420"/>
      <c r="DJ12" s="420"/>
      <c r="DK12" s="420"/>
      <c r="DL12" s="420"/>
      <c r="DM12" s="420"/>
      <c r="DN12" s="420"/>
      <c r="DO12" s="420"/>
      <c r="DP12" s="420"/>
      <c r="DQ12" s="420"/>
      <c r="DR12" s="420"/>
      <c r="DS12" s="420"/>
      <c r="DT12" s="420"/>
      <c r="DU12" s="420"/>
      <c r="DV12" s="420"/>
      <c r="DW12" s="420"/>
      <c r="DX12" s="420"/>
      <c r="DY12" s="420"/>
      <c r="DZ12" s="420"/>
      <c r="EA12" s="420"/>
      <c r="EB12" s="420"/>
      <c r="EC12" s="420"/>
      <c r="ED12" s="420"/>
      <c r="EE12" s="420"/>
      <c r="EF12" s="420"/>
      <c r="EG12" s="420"/>
      <c r="EH12" s="420"/>
      <c r="EI12" s="420"/>
      <c r="EJ12" s="420"/>
      <c r="EK12" s="420"/>
      <c r="EL12" s="420"/>
      <c r="EM12" s="420"/>
      <c r="EN12" s="420"/>
      <c r="EO12" s="420"/>
      <c r="EP12" s="420"/>
      <c r="EQ12" s="420"/>
      <c r="ER12" s="420"/>
      <c r="ES12" s="420"/>
      <c r="ET12" s="420"/>
      <c r="EU12" s="420"/>
      <c r="EV12" s="420"/>
      <c r="EW12" s="420"/>
      <c r="EX12" s="420"/>
      <c r="EY12" s="420"/>
      <c r="EZ12" s="420"/>
      <c r="FA12" s="420"/>
      <c r="FB12" s="420"/>
      <c r="FC12" s="420"/>
      <c r="FD12" s="420"/>
      <c r="FE12" s="420"/>
      <c r="FF12" s="420"/>
      <c r="FG12" s="420"/>
      <c r="FH12" s="420"/>
      <c r="FI12" s="420"/>
      <c r="FJ12" s="420"/>
      <c r="FK12" s="420"/>
      <c r="FL12" s="420"/>
      <c r="FM12" s="420"/>
      <c r="FN12" s="420"/>
      <c r="FO12" s="420"/>
      <c r="FP12" s="420"/>
      <c r="FQ12" s="420"/>
      <c r="FR12" s="420"/>
      <c r="FS12" s="420"/>
      <c r="FT12" s="420"/>
      <c r="FU12" s="420"/>
      <c r="FV12" s="420"/>
      <c r="FW12" s="420"/>
      <c r="FX12" s="420"/>
      <c r="FY12" s="420"/>
      <c r="FZ12" s="420"/>
      <c r="GA12" s="420"/>
      <c r="GB12" s="420"/>
      <c r="GC12" s="420"/>
      <c r="GD12" s="420"/>
      <c r="GE12" s="420"/>
      <c r="GF12" s="420"/>
      <c r="GG12" s="420"/>
      <c r="GH12" s="420"/>
      <c r="GI12" s="420"/>
      <c r="GJ12" s="420"/>
      <c r="GK12" s="420"/>
      <c r="GL12" s="420"/>
      <c r="GM12" s="420"/>
      <c r="GN12" s="420"/>
      <c r="GO12" s="420"/>
      <c r="GP12" s="420"/>
      <c r="GQ12" s="420"/>
      <c r="GR12" s="420"/>
      <c r="GS12" s="420"/>
      <c r="GT12" s="420"/>
      <c r="GU12" s="420"/>
      <c r="GV12" s="420"/>
      <c r="GW12" s="420"/>
      <c r="GX12" s="420"/>
      <c r="GY12" s="420"/>
      <c r="GZ12" s="420"/>
      <c r="HA12" s="420"/>
      <c r="HB12" s="420"/>
      <c r="HC12" s="420"/>
      <c r="HD12" s="420"/>
      <c r="HE12" s="420"/>
      <c r="HF12" s="420"/>
      <c r="HG12" s="420"/>
      <c r="HH12" s="420"/>
      <c r="HI12" s="420"/>
      <c r="HJ12" s="420"/>
      <c r="HK12" s="420"/>
      <c r="HL12" s="420"/>
      <c r="HM12" s="420"/>
      <c r="HN12" s="420"/>
      <c r="HO12" s="420"/>
      <c r="HP12" s="420"/>
      <c r="HQ12" s="420"/>
      <c r="HR12" s="420"/>
      <c r="HS12" s="420"/>
      <c r="HT12" s="420"/>
      <c r="HU12" s="420"/>
      <c r="HV12" s="420"/>
      <c r="HW12" s="420"/>
      <c r="HX12" s="420"/>
      <c r="HY12" s="420"/>
      <c r="HZ12" s="420"/>
      <c r="IA12" s="420"/>
      <c r="IB12" s="420"/>
      <c r="IC12" s="420"/>
      <c r="ID12" s="420"/>
      <c r="IE12" s="420"/>
      <c r="IF12" s="420"/>
      <c r="IG12" s="420"/>
      <c r="IH12" s="420"/>
      <c r="II12" s="420"/>
      <c r="IJ12" s="420"/>
      <c r="IK12" s="420"/>
      <c r="IL12" s="420"/>
      <c r="IM12" s="420"/>
      <c r="IN12" s="420"/>
      <c r="IO12" s="420"/>
      <c r="IP12" s="420"/>
      <c r="IQ12" s="420"/>
      <c r="IR12" s="420"/>
      <c r="IS12" s="420"/>
      <c r="IT12" s="420"/>
      <c r="IU12" s="420"/>
      <c r="IV12" s="420"/>
      <c r="IW12" s="420"/>
      <c r="IX12" s="420"/>
      <c r="IY12" s="420"/>
      <c r="IZ12" s="420"/>
      <c r="JA12" s="420"/>
    </row>
    <row r="13" spans="1:261" s="1001" customFormat="1" ht="18" customHeight="1" x14ac:dyDescent="0.35">
      <c r="A13" s="783">
        <v>3</v>
      </c>
      <c r="B13" s="993"/>
      <c r="C13" s="994"/>
      <c r="D13" s="995" t="s">
        <v>311</v>
      </c>
      <c r="E13" s="432">
        <f>F13+G13+O16+P16</f>
        <v>1119735</v>
      </c>
      <c r="F13" s="772"/>
      <c r="G13" s="433">
        <v>237</v>
      </c>
      <c r="H13" s="1009"/>
      <c r="I13" s="1006"/>
      <c r="J13" s="999"/>
      <c r="K13" s="1023">
        <v>1398</v>
      </c>
      <c r="L13" s="999"/>
      <c r="M13" s="1023">
        <f>201554+916546</f>
        <v>1118100</v>
      </c>
      <c r="N13" s="999"/>
      <c r="O13" s="992">
        <f>SUM(I13:N13)</f>
        <v>1119498</v>
      </c>
      <c r="P13" s="1000"/>
    </row>
    <row r="14" spans="1:261" s="1001" customFormat="1" ht="18" customHeight="1" x14ac:dyDescent="0.35">
      <c r="A14" s="783">
        <v>4</v>
      </c>
      <c r="B14" s="993"/>
      <c r="C14" s="994"/>
      <c r="D14" s="583" t="s">
        <v>1072</v>
      </c>
      <c r="E14" s="432"/>
      <c r="F14" s="772"/>
      <c r="G14" s="433"/>
      <c r="H14" s="1009"/>
      <c r="I14" s="1006"/>
      <c r="J14" s="999"/>
      <c r="K14" s="769">
        <v>1698</v>
      </c>
      <c r="L14" s="1548"/>
      <c r="M14" s="769">
        <v>1117800</v>
      </c>
      <c r="N14" s="999"/>
      <c r="O14" s="777">
        <f>SUM(I14:N14)</f>
        <v>1119498</v>
      </c>
      <c r="P14" s="1000"/>
    </row>
    <row r="15" spans="1:261" s="1001" customFormat="1" ht="18" customHeight="1" x14ac:dyDescent="0.35">
      <c r="A15" s="783">
        <v>5</v>
      </c>
      <c r="B15" s="993"/>
      <c r="C15" s="994"/>
      <c r="D15" s="1338" t="s">
        <v>986</v>
      </c>
      <c r="E15" s="432"/>
      <c r="F15" s="772"/>
      <c r="G15" s="433"/>
      <c r="H15" s="1009"/>
      <c r="I15" s="1549"/>
      <c r="J15" s="1548"/>
      <c r="K15" s="769"/>
      <c r="L15" s="1548"/>
      <c r="M15" s="769"/>
      <c r="N15" s="1548"/>
      <c r="O15" s="1623">
        <f>SUM(I15:N15)</f>
        <v>0</v>
      </c>
      <c r="P15" s="1000"/>
    </row>
    <row r="16" spans="1:261" s="1001" customFormat="1" ht="18" customHeight="1" x14ac:dyDescent="0.35">
      <c r="A16" s="783">
        <v>6</v>
      </c>
      <c r="B16" s="993"/>
      <c r="C16" s="994"/>
      <c r="D16" s="583" t="s">
        <v>1151</v>
      </c>
      <c r="E16" s="432"/>
      <c r="F16" s="772"/>
      <c r="G16" s="433"/>
      <c r="H16" s="1009"/>
      <c r="I16" s="1549"/>
      <c r="J16" s="1548"/>
      <c r="K16" s="769">
        <f>SUM(K14:K15)</f>
        <v>1698</v>
      </c>
      <c r="L16" s="769"/>
      <c r="M16" s="769">
        <f t="shared" ref="M16" si="0">SUM(M14:M15)</f>
        <v>1117800</v>
      </c>
      <c r="N16" s="1548"/>
      <c r="O16" s="777">
        <f>SUM(I16:N16)</f>
        <v>1119498</v>
      </c>
      <c r="P16" s="1000"/>
    </row>
    <row r="17" spans="1:261" s="768" customFormat="1" ht="22.5" customHeight="1" x14ac:dyDescent="0.35">
      <c r="A17" s="783">
        <v>7</v>
      </c>
      <c r="B17" s="776"/>
      <c r="C17" s="466">
        <v>2</v>
      </c>
      <c r="D17" s="779" t="s">
        <v>506</v>
      </c>
      <c r="E17" s="432"/>
      <c r="F17" s="772"/>
      <c r="G17" s="433"/>
      <c r="H17" s="1009" t="s">
        <v>24</v>
      </c>
      <c r="I17" s="1027"/>
      <c r="J17" s="1023"/>
      <c r="K17" s="1023"/>
      <c r="L17" s="1023"/>
      <c r="M17" s="1023"/>
      <c r="N17" s="1023"/>
      <c r="O17" s="992"/>
      <c r="P17" s="773"/>
      <c r="Q17" s="420"/>
      <c r="R17" s="420"/>
      <c r="S17" s="420"/>
      <c r="T17" s="420"/>
      <c r="U17" s="420"/>
      <c r="V17" s="420"/>
      <c r="W17" s="420"/>
      <c r="X17" s="420"/>
      <c r="Y17" s="420"/>
      <c r="Z17" s="420"/>
      <c r="AA17" s="420"/>
      <c r="AB17" s="420"/>
      <c r="AC17" s="420"/>
      <c r="AD17" s="420"/>
      <c r="AE17" s="420"/>
      <c r="AF17" s="420"/>
      <c r="AG17" s="420"/>
      <c r="AH17" s="420"/>
      <c r="AI17" s="420"/>
      <c r="AJ17" s="420"/>
      <c r="AK17" s="420"/>
      <c r="AL17" s="420"/>
      <c r="AM17" s="420"/>
      <c r="AN17" s="420"/>
      <c r="AO17" s="420"/>
      <c r="AP17" s="420"/>
      <c r="AQ17" s="420"/>
      <c r="AR17" s="420"/>
      <c r="AS17" s="420"/>
      <c r="AT17" s="420"/>
      <c r="AU17" s="420"/>
      <c r="AV17" s="420"/>
      <c r="AW17" s="420"/>
      <c r="AX17" s="420"/>
      <c r="AY17" s="420"/>
      <c r="AZ17" s="420"/>
      <c r="BA17" s="420"/>
      <c r="BB17" s="420"/>
      <c r="BC17" s="420"/>
      <c r="BD17" s="420"/>
      <c r="BE17" s="420"/>
      <c r="BF17" s="420"/>
      <c r="BG17" s="420"/>
      <c r="BH17" s="420"/>
      <c r="BI17" s="420"/>
      <c r="BJ17" s="420"/>
      <c r="BK17" s="420"/>
      <c r="BL17" s="420"/>
      <c r="BM17" s="420"/>
      <c r="BN17" s="420"/>
      <c r="BO17" s="420"/>
      <c r="BP17" s="420"/>
      <c r="BQ17" s="420"/>
      <c r="BR17" s="420"/>
      <c r="BS17" s="420"/>
      <c r="BT17" s="420"/>
      <c r="BU17" s="420"/>
      <c r="BV17" s="420"/>
      <c r="BW17" s="420"/>
      <c r="BX17" s="420"/>
      <c r="BY17" s="420"/>
      <c r="BZ17" s="420"/>
      <c r="CA17" s="420"/>
      <c r="CB17" s="420"/>
      <c r="CC17" s="420"/>
      <c r="CD17" s="420"/>
      <c r="CE17" s="420"/>
      <c r="CF17" s="420"/>
      <c r="CG17" s="420"/>
      <c r="CH17" s="420"/>
      <c r="CI17" s="420"/>
      <c r="CJ17" s="420"/>
      <c r="CK17" s="420"/>
      <c r="CL17" s="420"/>
      <c r="CM17" s="420"/>
      <c r="CN17" s="420"/>
      <c r="CO17" s="420"/>
      <c r="CP17" s="420"/>
      <c r="CQ17" s="420"/>
      <c r="CR17" s="420"/>
      <c r="CS17" s="420"/>
      <c r="CT17" s="420"/>
      <c r="CU17" s="420"/>
      <c r="CV17" s="420"/>
      <c r="CW17" s="420"/>
      <c r="CX17" s="420"/>
      <c r="CY17" s="420"/>
      <c r="CZ17" s="420"/>
      <c r="DA17" s="420"/>
      <c r="DB17" s="420"/>
      <c r="DC17" s="420"/>
      <c r="DD17" s="420"/>
      <c r="DE17" s="420"/>
      <c r="DF17" s="420"/>
      <c r="DG17" s="420"/>
      <c r="DH17" s="420"/>
      <c r="DI17" s="420"/>
      <c r="DJ17" s="420"/>
      <c r="DK17" s="420"/>
      <c r="DL17" s="420"/>
      <c r="DM17" s="420"/>
      <c r="DN17" s="420"/>
      <c r="DO17" s="420"/>
      <c r="DP17" s="420"/>
      <c r="DQ17" s="420"/>
      <c r="DR17" s="420"/>
      <c r="DS17" s="420"/>
      <c r="DT17" s="420"/>
      <c r="DU17" s="420"/>
      <c r="DV17" s="420"/>
      <c r="DW17" s="420"/>
      <c r="DX17" s="420"/>
      <c r="DY17" s="420"/>
      <c r="DZ17" s="420"/>
      <c r="EA17" s="420"/>
      <c r="EB17" s="420"/>
      <c r="EC17" s="420"/>
      <c r="ED17" s="420"/>
      <c r="EE17" s="420"/>
      <c r="EF17" s="420"/>
      <c r="EG17" s="420"/>
      <c r="EH17" s="420"/>
      <c r="EI17" s="420"/>
      <c r="EJ17" s="420"/>
      <c r="EK17" s="420"/>
      <c r="EL17" s="420"/>
      <c r="EM17" s="420"/>
      <c r="EN17" s="420"/>
      <c r="EO17" s="420"/>
      <c r="EP17" s="420"/>
      <c r="EQ17" s="420"/>
      <c r="ER17" s="420"/>
      <c r="ES17" s="420"/>
      <c r="ET17" s="420"/>
      <c r="EU17" s="420"/>
      <c r="EV17" s="420"/>
      <c r="EW17" s="420"/>
      <c r="EX17" s="420"/>
      <c r="EY17" s="420"/>
      <c r="EZ17" s="420"/>
      <c r="FA17" s="420"/>
      <c r="FB17" s="420"/>
      <c r="FC17" s="420"/>
      <c r="FD17" s="420"/>
      <c r="FE17" s="420"/>
      <c r="FF17" s="420"/>
      <c r="FG17" s="420"/>
      <c r="FH17" s="420"/>
      <c r="FI17" s="420"/>
      <c r="FJ17" s="420"/>
      <c r="FK17" s="420"/>
      <c r="FL17" s="420"/>
      <c r="FM17" s="420"/>
      <c r="FN17" s="420"/>
      <c r="FO17" s="420"/>
      <c r="FP17" s="420"/>
      <c r="FQ17" s="420"/>
      <c r="FR17" s="420"/>
      <c r="FS17" s="420"/>
      <c r="FT17" s="420"/>
      <c r="FU17" s="420"/>
      <c r="FV17" s="420"/>
      <c r="FW17" s="420"/>
      <c r="FX17" s="420"/>
      <c r="FY17" s="420"/>
      <c r="FZ17" s="420"/>
      <c r="GA17" s="420"/>
      <c r="GB17" s="420"/>
      <c r="GC17" s="420"/>
      <c r="GD17" s="420"/>
      <c r="GE17" s="420"/>
      <c r="GF17" s="420"/>
      <c r="GG17" s="420"/>
      <c r="GH17" s="420"/>
      <c r="GI17" s="420"/>
      <c r="GJ17" s="420"/>
      <c r="GK17" s="420"/>
      <c r="GL17" s="420"/>
      <c r="GM17" s="420"/>
      <c r="GN17" s="420"/>
      <c r="GO17" s="420"/>
      <c r="GP17" s="420"/>
      <c r="GQ17" s="420"/>
      <c r="GR17" s="420"/>
      <c r="GS17" s="420"/>
      <c r="GT17" s="420"/>
      <c r="GU17" s="420"/>
      <c r="GV17" s="420"/>
      <c r="GW17" s="420"/>
      <c r="GX17" s="420"/>
      <c r="GY17" s="420"/>
      <c r="GZ17" s="420"/>
      <c r="HA17" s="420"/>
      <c r="HB17" s="420"/>
      <c r="HC17" s="420"/>
      <c r="HD17" s="420"/>
      <c r="HE17" s="420"/>
      <c r="HF17" s="420"/>
      <c r="HG17" s="420"/>
      <c r="HH17" s="420"/>
      <c r="HI17" s="420"/>
      <c r="HJ17" s="420"/>
      <c r="HK17" s="420"/>
      <c r="HL17" s="420"/>
      <c r="HM17" s="420"/>
      <c r="HN17" s="420"/>
      <c r="HO17" s="420"/>
      <c r="HP17" s="420"/>
      <c r="HQ17" s="420"/>
      <c r="HR17" s="420"/>
      <c r="HS17" s="420"/>
      <c r="HT17" s="420"/>
      <c r="HU17" s="420"/>
      <c r="HV17" s="420"/>
      <c r="HW17" s="420"/>
      <c r="HX17" s="420"/>
      <c r="HY17" s="420"/>
      <c r="HZ17" s="420"/>
      <c r="IA17" s="420"/>
      <c r="IB17" s="420"/>
      <c r="IC17" s="420"/>
      <c r="ID17" s="420"/>
      <c r="IE17" s="420"/>
      <c r="IF17" s="420"/>
      <c r="IG17" s="420"/>
      <c r="IH17" s="420"/>
      <c r="II17" s="420"/>
      <c r="IJ17" s="420"/>
      <c r="IK17" s="420"/>
      <c r="IL17" s="420"/>
      <c r="IM17" s="420"/>
      <c r="IN17" s="420"/>
      <c r="IO17" s="420"/>
      <c r="IP17" s="420"/>
      <c r="IQ17" s="420"/>
      <c r="IR17" s="420"/>
      <c r="IS17" s="420"/>
      <c r="IT17" s="420"/>
      <c r="IU17" s="420"/>
      <c r="IV17" s="420"/>
      <c r="IW17" s="420"/>
      <c r="IX17" s="420"/>
      <c r="IY17" s="420"/>
      <c r="IZ17" s="420"/>
      <c r="JA17" s="420"/>
    </row>
    <row r="18" spans="1:261" s="1001" customFormat="1" ht="18" customHeight="1" x14ac:dyDescent="0.35">
      <c r="A18" s="783">
        <v>8</v>
      </c>
      <c r="B18" s="993"/>
      <c r="C18" s="994"/>
      <c r="D18" s="995" t="s">
        <v>311</v>
      </c>
      <c r="E18" s="432">
        <f>F18+G18+O21+P21</f>
        <v>25975</v>
      </c>
      <c r="F18" s="772">
        <f>6208+6205</f>
        <v>12413</v>
      </c>
      <c r="G18" s="433">
        <f>2345+10041</f>
        <v>12386</v>
      </c>
      <c r="H18" s="1009"/>
      <c r="I18" s="1027">
        <v>73</v>
      </c>
      <c r="J18" s="1023">
        <v>73</v>
      </c>
      <c r="K18" s="1023">
        <v>509</v>
      </c>
      <c r="L18" s="999"/>
      <c r="M18" s="999"/>
      <c r="N18" s="999"/>
      <c r="O18" s="992">
        <f>SUM(I18:N18)</f>
        <v>655</v>
      </c>
      <c r="P18" s="1000"/>
    </row>
    <row r="19" spans="1:261" s="1001" customFormat="1" ht="18" customHeight="1" x14ac:dyDescent="0.35">
      <c r="A19" s="783">
        <v>9</v>
      </c>
      <c r="B19" s="993"/>
      <c r="C19" s="994"/>
      <c r="D19" s="583" t="s">
        <v>1072</v>
      </c>
      <c r="E19" s="432"/>
      <c r="F19" s="772"/>
      <c r="G19" s="433"/>
      <c r="H19" s="1009"/>
      <c r="I19" s="1005">
        <v>74</v>
      </c>
      <c r="J19" s="769">
        <v>40</v>
      </c>
      <c r="K19" s="769">
        <v>302</v>
      </c>
      <c r="L19" s="769">
        <v>760</v>
      </c>
      <c r="M19" s="999"/>
      <c r="N19" s="999"/>
      <c r="O19" s="777">
        <f>SUM(I19:N19)</f>
        <v>1176</v>
      </c>
      <c r="P19" s="1000"/>
    </row>
    <row r="20" spans="1:261" s="1001" customFormat="1" ht="18" customHeight="1" x14ac:dyDescent="0.35">
      <c r="A20" s="783">
        <v>10</v>
      </c>
      <c r="B20" s="993"/>
      <c r="C20" s="994"/>
      <c r="D20" s="1338" t="s">
        <v>986</v>
      </c>
      <c r="E20" s="432"/>
      <c r="F20" s="772"/>
      <c r="G20" s="433"/>
      <c r="H20" s="1009"/>
      <c r="I20" s="1005"/>
      <c r="J20" s="769"/>
      <c r="K20" s="769"/>
      <c r="L20" s="1810"/>
      <c r="M20" s="1548"/>
      <c r="N20" s="1548"/>
      <c r="O20" s="1623">
        <f>SUM(I20:N20)</f>
        <v>0</v>
      </c>
      <c r="P20" s="1000"/>
    </row>
    <row r="21" spans="1:261" s="1001" customFormat="1" ht="18" customHeight="1" x14ac:dyDescent="0.35">
      <c r="A21" s="783">
        <v>11</v>
      </c>
      <c r="B21" s="993"/>
      <c r="C21" s="994"/>
      <c r="D21" s="583" t="s">
        <v>1151</v>
      </c>
      <c r="E21" s="432"/>
      <c r="F21" s="772"/>
      <c r="G21" s="433"/>
      <c r="H21" s="1009"/>
      <c r="I21" s="1005">
        <f>SUM(I19:I20)</f>
        <v>74</v>
      </c>
      <c r="J21" s="1005">
        <f t="shared" ref="J21:K21" si="1">SUM(J19:J20)</f>
        <v>40</v>
      </c>
      <c r="K21" s="1005">
        <f t="shared" si="1"/>
        <v>302</v>
      </c>
      <c r="L21" s="769">
        <f>SUM(L19:L20)</f>
        <v>760</v>
      </c>
      <c r="M21" s="1548"/>
      <c r="N21" s="1548"/>
      <c r="O21" s="777">
        <f>SUM(I21:N21)</f>
        <v>1176</v>
      </c>
      <c r="P21" s="1000"/>
    </row>
    <row r="22" spans="1:261" s="768" customFormat="1" ht="36" customHeight="1" x14ac:dyDescent="0.35">
      <c r="A22" s="783">
        <v>12</v>
      </c>
      <c r="B22" s="776"/>
      <c r="C22" s="422">
        <v>3</v>
      </c>
      <c r="D22" s="1030" t="s">
        <v>678</v>
      </c>
      <c r="E22" s="432"/>
      <c r="F22" s="772"/>
      <c r="G22" s="433"/>
      <c r="H22" s="1035" t="s">
        <v>24</v>
      </c>
      <c r="I22" s="1027"/>
      <c r="J22" s="1023"/>
      <c r="K22" s="1023"/>
      <c r="L22" s="1023"/>
      <c r="M22" s="1023"/>
      <c r="N22" s="1023"/>
      <c r="O22" s="992"/>
      <c r="P22" s="773"/>
      <c r="Q22" s="420"/>
      <c r="R22" s="420"/>
      <c r="S22" s="420"/>
      <c r="T22" s="420"/>
      <c r="U22" s="420"/>
      <c r="V22" s="420"/>
      <c r="W22" s="420"/>
      <c r="X22" s="420"/>
      <c r="Y22" s="420"/>
      <c r="Z22" s="420"/>
      <c r="AA22" s="420"/>
      <c r="AB22" s="420"/>
      <c r="AC22" s="420"/>
      <c r="AD22" s="420"/>
      <c r="AE22" s="420"/>
      <c r="AF22" s="420"/>
      <c r="AG22" s="420"/>
      <c r="AH22" s="420"/>
      <c r="AI22" s="420"/>
      <c r="AJ22" s="420"/>
      <c r="AK22" s="420"/>
      <c r="AL22" s="420"/>
      <c r="AM22" s="420"/>
      <c r="AN22" s="420"/>
      <c r="AO22" s="420"/>
      <c r="AP22" s="420"/>
      <c r="AQ22" s="420"/>
      <c r="AR22" s="420"/>
      <c r="AS22" s="420"/>
      <c r="AT22" s="420"/>
      <c r="AU22" s="420"/>
      <c r="AV22" s="420"/>
      <c r="AW22" s="420"/>
      <c r="AX22" s="420"/>
      <c r="AY22" s="420"/>
      <c r="AZ22" s="420"/>
      <c r="BA22" s="420"/>
      <c r="BB22" s="420"/>
      <c r="BC22" s="420"/>
      <c r="BD22" s="420"/>
      <c r="BE22" s="420"/>
      <c r="BF22" s="420"/>
      <c r="BG22" s="420"/>
      <c r="BH22" s="420"/>
      <c r="BI22" s="420"/>
      <c r="BJ22" s="420"/>
      <c r="BK22" s="420"/>
      <c r="BL22" s="420"/>
      <c r="BM22" s="420"/>
      <c r="BN22" s="420"/>
      <c r="BO22" s="420"/>
      <c r="BP22" s="420"/>
      <c r="BQ22" s="420"/>
      <c r="BR22" s="420"/>
      <c r="BS22" s="420"/>
      <c r="BT22" s="420"/>
      <c r="BU22" s="420"/>
      <c r="BV22" s="420"/>
      <c r="BW22" s="420"/>
      <c r="BX22" s="420"/>
      <c r="BY22" s="420"/>
      <c r="BZ22" s="420"/>
      <c r="CA22" s="420"/>
      <c r="CB22" s="420"/>
      <c r="CC22" s="420"/>
      <c r="CD22" s="420"/>
      <c r="CE22" s="420"/>
      <c r="CF22" s="420"/>
      <c r="CG22" s="420"/>
      <c r="CH22" s="420"/>
      <c r="CI22" s="420"/>
      <c r="CJ22" s="420"/>
      <c r="CK22" s="420"/>
      <c r="CL22" s="420"/>
      <c r="CM22" s="420"/>
      <c r="CN22" s="420"/>
      <c r="CO22" s="420"/>
      <c r="CP22" s="420"/>
      <c r="CQ22" s="420"/>
      <c r="CR22" s="420"/>
      <c r="CS22" s="420"/>
      <c r="CT22" s="420"/>
      <c r="CU22" s="420"/>
      <c r="CV22" s="420"/>
      <c r="CW22" s="420"/>
      <c r="CX22" s="420"/>
      <c r="CY22" s="420"/>
      <c r="CZ22" s="420"/>
      <c r="DA22" s="420"/>
      <c r="DB22" s="420"/>
      <c r="DC22" s="420"/>
      <c r="DD22" s="420"/>
      <c r="DE22" s="420"/>
      <c r="DF22" s="420"/>
      <c r="DG22" s="420"/>
      <c r="DH22" s="420"/>
      <c r="DI22" s="420"/>
      <c r="DJ22" s="420"/>
      <c r="DK22" s="420"/>
      <c r="DL22" s="420"/>
      <c r="DM22" s="420"/>
      <c r="DN22" s="420"/>
      <c r="DO22" s="420"/>
      <c r="DP22" s="420"/>
      <c r="DQ22" s="420"/>
      <c r="DR22" s="420"/>
      <c r="DS22" s="420"/>
      <c r="DT22" s="420"/>
      <c r="DU22" s="420"/>
      <c r="DV22" s="420"/>
      <c r="DW22" s="420"/>
      <c r="DX22" s="420"/>
      <c r="DY22" s="420"/>
      <c r="DZ22" s="420"/>
      <c r="EA22" s="420"/>
      <c r="EB22" s="420"/>
      <c r="EC22" s="420"/>
      <c r="ED22" s="420"/>
      <c r="EE22" s="420"/>
      <c r="EF22" s="420"/>
      <c r="EG22" s="420"/>
      <c r="EH22" s="420"/>
      <c r="EI22" s="420"/>
      <c r="EJ22" s="420"/>
      <c r="EK22" s="420"/>
      <c r="EL22" s="420"/>
      <c r="EM22" s="420"/>
      <c r="EN22" s="420"/>
      <c r="EO22" s="420"/>
      <c r="EP22" s="420"/>
      <c r="EQ22" s="420"/>
      <c r="ER22" s="420"/>
      <c r="ES22" s="420"/>
      <c r="ET22" s="420"/>
      <c r="EU22" s="420"/>
      <c r="EV22" s="420"/>
      <c r="EW22" s="420"/>
      <c r="EX22" s="420"/>
      <c r="EY22" s="420"/>
      <c r="EZ22" s="420"/>
      <c r="FA22" s="420"/>
      <c r="FB22" s="420"/>
      <c r="FC22" s="420"/>
      <c r="FD22" s="420"/>
      <c r="FE22" s="420"/>
      <c r="FF22" s="420"/>
      <c r="FG22" s="420"/>
      <c r="FH22" s="420"/>
      <c r="FI22" s="420"/>
      <c r="FJ22" s="420"/>
      <c r="FK22" s="420"/>
      <c r="FL22" s="420"/>
      <c r="FM22" s="420"/>
      <c r="FN22" s="420"/>
      <c r="FO22" s="420"/>
      <c r="FP22" s="420"/>
      <c r="FQ22" s="420"/>
      <c r="FR22" s="420"/>
      <c r="FS22" s="420"/>
      <c r="FT22" s="420"/>
      <c r="FU22" s="420"/>
      <c r="FV22" s="420"/>
      <c r="FW22" s="420"/>
      <c r="FX22" s="420"/>
      <c r="FY22" s="420"/>
      <c r="FZ22" s="420"/>
      <c r="GA22" s="420"/>
      <c r="GB22" s="420"/>
      <c r="GC22" s="420"/>
      <c r="GD22" s="420"/>
      <c r="GE22" s="420"/>
      <c r="GF22" s="420"/>
      <c r="GG22" s="420"/>
      <c r="GH22" s="420"/>
      <c r="GI22" s="420"/>
      <c r="GJ22" s="420"/>
      <c r="GK22" s="420"/>
      <c r="GL22" s="420"/>
      <c r="GM22" s="420"/>
      <c r="GN22" s="420"/>
      <c r="GO22" s="420"/>
      <c r="GP22" s="420"/>
      <c r="GQ22" s="420"/>
      <c r="GR22" s="420"/>
      <c r="GS22" s="420"/>
      <c r="GT22" s="420"/>
      <c r="GU22" s="420"/>
      <c r="GV22" s="420"/>
      <c r="GW22" s="420"/>
      <c r="GX22" s="420"/>
      <c r="GY22" s="420"/>
      <c r="GZ22" s="420"/>
      <c r="HA22" s="420"/>
      <c r="HB22" s="420"/>
      <c r="HC22" s="420"/>
      <c r="HD22" s="420"/>
      <c r="HE22" s="420"/>
      <c r="HF22" s="420"/>
      <c r="HG22" s="420"/>
      <c r="HH22" s="420"/>
      <c r="HI22" s="420"/>
      <c r="HJ22" s="420"/>
      <c r="HK22" s="420"/>
      <c r="HL22" s="420"/>
      <c r="HM22" s="420"/>
      <c r="HN22" s="420"/>
      <c r="HO22" s="420"/>
      <c r="HP22" s="420"/>
      <c r="HQ22" s="420"/>
      <c r="HR22" s="420"/>
      <c r="HS22" s="420"/>
      <c r="HT22" s="420"/>
      <c r="HU22" s="420"/>
      <c r="HV22" s="420"/>
      <c r="HW22" s="420"/>
      <c r="HX22" s="420"/>
      <c r="HY22" s="420"/>
      <c r="HZ22" s="420"/>
      <c r="IA22" s="420"/>
      <c r="IB22" s="420"/>
      <c r="IC22" s="420"/>
      <c r="ID22" s="420"/>
      <c r="IE22" s="420"/>
      <c r="IF22" s="420"/>
      <c r="IG22" s="420"/>
      <c r="IH22" s="420"/>
      <c r="II22" s="420"/>
      <c r="IJ22" s="420"/>
      <c r="IK22" s="420"/>
      <c r="IL22" s="420"/>
      <c r="IM22" s="420"/>
      <c r="IN22" s="420"/>
      <c r="IO22" s="420"/>
      <c r="IP22" s="420"/>
      <c r="IQ22" s="420"/>
      <c r="IR22" s="420"/>
      <c r="IS22" s="420"/>
      <c r="IT22" s="420"/>
      <c r="IU22" s="420"/>
      <c r="IV22" s="420"/>
      <c r="IW22" s="420"/>
      <c r="IX22" s="420"/>
      <c r="IY22" s="420"/>
      <c r="IZ22" s="420"/>
      <c r="JA22" s="420"/>
    </row>
    <row r="23" spans="1:261" s="1001" customFormat="1" ht="18" customHeight="1" x14ac:dyDescent="0.35">
      <c r="A23" s="783">
        <v>13</v>
      </c>
      <c r="B23" s="993"/>
      <c r="C23" s="994"/>
      <c r="D23" s="995" t="s">
        <v>311</v>
      </c>
      <c r="E23" s="432">
        <f>F23+G23+O26+P26</f>
        <v>282576</v>
      </c>
      <c r="F23" s="772">
        <v>6699</v>
      </c>
      <c r="G23" s="433"/>
      <c r="H23" s="1009"/>
      <c r="I23" s="1006"/>
      <c r="J23" s="999"/>
      <c r="K23" s="1023">
        <v>278</v>
      </c>
      <c r="L23" s="999"/>
      <c r="M23" s="1023">
        <f>52777+222822</f>
        <v>275599</v>
      </c>
      <c r="N23" s="999"/>
      <c r="O23" s="992">
        <f>SUM(I23:N23)</f>
        <v>275877</v>
      </c>
      <c r="P23" s="1000"/>
    </row>
    <row r="24" spans="1:261" s="1001" customFormat="1" ht="18" customHeight="1" x14ac:dyDescent="0.35">
      <c r="A24" s="783">
        <v>14</v>
      </c>
      <c r="B24" s="993"/>
      <c r="C24" s="994"/>
      <c r="D24" s="583" t="s">
        <v>1072</v>
      </c>
      <c r="E24" s="432"/>
      <c r="F24" s="772"/>
      <c r="G24" s="433"/>
      <c r="H24" s="1009"/>
      <c r="I24" s="1006"/>
      <c r="J24" s="999"/>
      <c r="K24" s="769">
        <v>278</v>
      </c>
      <c r="L24" s="1548"/>
      <c r="M24" s="769">
        <v>275599</v>
      </c>
      <c r="N24" s="999"/>
      <c r="O24" s="777">
        <f>SUM(I24:N24)</f>
        <v>275877</v>
      </c>
      <c r="P24" s="1000"/>
    </row>
    <row r="25" spans="1:261" s="1001" customFormat="1" ht="18" customHeight="1" x14ac:dyDescent="0.35">
      <c r="A25" s="783">
        <v>15</v>
      </c>
      <c r="B25" s="993"/>
      <c r="C25" s="994"/>
      <c r="D25" s="1338" t="s">
        <v>963</v>
      </c>
      <c r="E25" s="432"/>
      <c r="F25" s="772"/>
      <c r="G25" s="433"/>
      <c r="H25" s="1009"/>
      <c r="I25" s="1549"/>
      <c r="J25" s="1548"/>
      <c r="K25" s="769"/>
      <c r="L25" s="1548"/>
      <c r="M25" s="769"/>
      <c r="N25" s="1548"/>
      <c r="O25" s="1623">
        <f>SUM(I25:N25)</f>
        <v>0</v>
      </c>
      <c r="P25" s="1000"/>
    </row>
    <row r="26" spans="1:261" s="1001" customFormat="1" ht="18" customHeight="1" x14ac:dyDescent="0.35">
      <c r="A26" s="783">
        <v>16</v>
      </c>
      <c r="B26" s="993"/>
      <c r="C26" s="994"/>
      <c r="D26" s="583" t="s">
        <v>1151</v>
      </c>
      <c r="E26" s="432"/>
      <c r="F26" s="772"/>
      <c r="G26" s="433"/>
      <c r="H26" s="1009"/>
      <c r="I26" s="1549"/>
      <c r="J26" s="1548"/>
      <c r="K26" s="769">
        <f>SUM(K24:K25)</f>
        <v>278</v>
      </c>
      <c r="L26" s="769"/>
      <c r="M26" s="769">
        <f t="shared" ref="M26" si="2">SUM(M24:M25)</f>
        <v>275599</v>
      </c>
      <c r="N26" s="1548"/>
      <c r="O26" s="777">
        <f>SUM(I26:N26)</f>
        <v>275877</v>
      </c>
      <c r="P26" s="1000"/>
    </row>
    <row r="27" spans="1:261" s="768" customFormat="1" ht="22.5" customHeight="1" x14ac:dyDescent="0.35">
      <c r="A27" s="783">
        <v>17</v>
      </c>
      <c r="B27" s="776"/>
      <c r="C27" s="466">
        <v>4</v>
      </c>
      <c r="D27" s="771" t="s">
        <v>679</v>
      </c>
      <c r="E27" s="432"/>
      <c r="F27" s="772"/>
      <c r="G27" s="433"/>
      <c r="H27" s="1009" t="s">
        <v>24</v>
      </c>
      <c r="I27" s="1027"/>
      <c r="J27" s="1023"/>
      <c r="K27" s="1023"/>
      <c r="L27" s="1023"/>
      <c r="M27" s="1023"/>
      <c r="N27" s="1023"/>
      <c r="O27" s="992"/>
      <c r="P27" s="773"/>
      <c r="Q27" s="420"/>
      <c r="R27" s="420"/>
      <c r="S27" s="420"/>
      <c r="T27" s="420"/>
      <c r="U27" s="420"/>
      <c r="V27" s="420"/>
      <c r="W27" s="420"/>
      <c r="X27" s="420"/>
      <c r="Y27" s="420"/>
      <c r="Z27" s="420"/>
      <c r="AA27" s="420"/>
      <c r="AB27" s="420"/>
      <c r="AC27" s="420"/>
      <c r="AD27" s="420"/>
      <c r="AE27" s="420"/>
      <c r="AF27" s="420"/>
      <c r="AG27" s="420"/>
      <c r="AH27" s="420"/>
      <c r="AI27" s="420"/>
      <c r="AJ27" s="420"/>
      <c r="AK27" s="420"/>
      <c r="AL27" s="420"/>
      <c r="AM27" s="420"/>
      <c r="AN27" s="420"/>
      <c r="AO27" s="420"/>
      <c r="AP27" s="420"/>
      <c r="AQ27" s="420"/>
      <c r="AR27" s="420"/>
      <c r="AS27" s="420"/>
      <c r="AT27" s="420"/>
      <c r="AU27" s="420"/>
      <c r="AV27" s="420"/>
      <c r="AW27" s="420"/>
      <c r="AX27" s="420"/>
      <c r="AY27" s="420"/>
      <c r="AZ27" s="420"/>
      <c r="BA27" s="420"/>
      <c r="BB27" s="420"/>
      <c r="BC27" s="420"/>
      <c r="BD27" s="420"/>
      <c r="BE27" s="420"/>
      <c r="BF27" s="420"/>
      <c r="BG27" s="420"/>
      <c r="BH27" s="420"/>
      <c r="BI27" s="420"/>
      <c r="BJ27" s="420"/>
      <c r="BK27" s="420"/>
      <c r="BL27" s="420"/>
      <c r="BM27" s="420"/>
      <c r="BN27" s="420"/>
      <c r="BO27" s="420"/>
      <c r="BP27" s="420"/>
      <c r="BQ27" s="420"/>
      <c r="BR27" s="420"/>
      <c r="BS27" s="420"/>
      <c r="BT27" s="420"/>
      <c r="BU27" s="420"/>
      <c r="BV27" s="420"/>
      <c r="BW27" s="420"/>
      <c r="BX27" s="420"/>
      <c r="BY27" s="420"/>
      <c r="BZ27" s="420"/>
      <c r="CA27" s="420"/>
      <c r="CB27" s="420"/>
      <c r="CC27" s="420"/>
      <c r="CD27" s="420"/>
      <c r="CE27" s="420"/>
      <c r="CF27" s="420"/>
      <c r="CG27" s="420"/>
      <c r="CH27" s="420"/>
      <c r="CI27" s="420"/>
      <c r="CJ27" s="420"/>
      <c r="CK27" s="420"/>
      <c r="CL27" s="420"/>
      <c r="CM27" s="420"/>
      <c r="CN27" s="420"/>
      <c r="CO27" s="420"/>
      <c r="CP27" s="420"/>
      <c r="CQ27" s="420"/>
      <c r="CR27" s="420"/>
      <c r="CS27" s="420"/>
      <c r="CT27" s="420"/>
      <c r="CU27" s="420"/>
      <c r="CV27" s="420"/>
      <c r="CW27" s="420"/>
      <c r="CX27" s="420"/>
      <c r="CY27" s="420"/>
      <c r="CZ27" s="420"/>
      <c r="DA27" s="420"/>
      <c r="DB27" s="420"/>
      <c r="DC27" s="420"/>
      <c r="DD27" s="420"/>
      <c r="DE27" s="420"/>
      <c r="DF27" s="420"/>
      <c r="DG27" s="420"/>
      <c r="DH27" s="420"/>
      <c r="DI27" s="420"/>
      <c r="DJ27" s="420"/>
      <c r="DK27" s="420"/>
      <c r="DL27" s="420"/>
      <c r="DM27" s="420"/>
      <c r="DN27" s="420"/>
      <c r="DO27" s="420"/>
      <c r="DP27" s="420"/>
      <c r="DQ27" s="420"/>
      <c r="DR27" s="420"/>
      <c r="DS27" s="420"/>
      <c r="DT27" s="420"/>
      <c r="DU27" s="420"/>
      <c r="DV27" s="420"/>
      <c r="DW27" s="420"/>
      <c r="DX27" s="420"/>
      <c r="DY27" s="420"/>
      <c r="DZ27" s="420"/>
      <c r="EA27" s="420"/>
      <c r="EB27" s="420"/>
      <c r="EC27" s="420"/>
      <c r="ED27" s="420"/>
      <c r="EE27" s="420"/>
      <c r="EF27" s="420"/>
      <c r="EG27" s="420"/>
      <c r="EH27" s="420"/>
      <c r="EI27" s="420"/>
      <c r="EJ27" s="420"/>
      <c r="EK27" s="420"/>
      <c r="EL27" s="420"/>
      <c r="EM27" s="420"/>
      <c r="EN27" s="420"/>
      <c r="EO27" s="420"/>
      <c r="EP27" s="420"/>
      <c r="EQ27" s="420"/>
      <c r="ER27" s="420"/>
      <c r="ES27" s="420"/>
      <c r="ET27" s="420"/>
      <c r="EU27" s="420"/>
      <c r="EV27" s="420"/>
      <c r="EW27" s="420"/>
      <c r="EX27" s="420"/>
      <c r="EY27" s="420"/>
      <c r="EZ27" s="420"/>
      <c r="FA27" s="420"/>
      <c r="FB27" s="420"/>
      <c r="FC27" s="420"/>
      <c r="FD27" s="420"/>
      <c r="FE27" s="420"/>
      <c r="FF27" s="420"/>
      <c r="FG27" s="420"/>
      <c r="FH27" s="420"/>
      <c r="FI27" s="420"/>
      <c r="FJ27" s="420"/>
      <c r="FK27" s="420"/>
      <c r="FL27" s="420"/>
      <c r="FM27" s="420"/>
      <c r="FN27" s="420"/>
      <c r="FO27" s="420"/>
      <c r="FP27" s="420"/>
      <c r="FQ27" s="420"/>
      <c r="FR27" s="420"/>
      <c r="FS27" s="420"/>
      <c r="FT27" s="420"/>
      <c r="FU27" s="420"/>
      <c r="FV27" s="420"/>
      <c r="FW27" s="420"/>
      <c r="FX27" s="420"/>
      <c r="FY27" s="420"/>
      <c r="FZ27" s="420"/>
      <c r="GA27" s="420"/>
      <c r="GB27" s="420"/>
      <c r="GC27" s="420"/>
      <c r="GD27" s="420"/>
      <c r="GE27" s="420"/>
      <c r="GF27" s="420"/>
      <c r="GG27" s="420"/>
      <c r="GH27" s="420"/>
      <c r="GI27" s="420"/>
      <c r="GJ27" s="420"/>
      <c r="GK27" s="420"/>
      <c r="GL27" s="420"/>
      <c r="GM27" s="420"/>
      <c r="GN27" s="420"/>
      <c r="GO27" s="420"/>
      <c r="GP27" s="420"/>
      <c r="GQ27" s="420"/>
      <c r="GR27" s="420"/>
      <c r="GS27" s="420"/>
      <c r="GT27" s="420"/>
      <c r="GU27" s="420"/>
      <c r="GV27" s="420"/>
      <c r="GW27" s="420"/>
      <c r="GX27" s="420"/>
      <c r="GY27" s="420"/>
      <c r="GZ27" s="420"/>
      <c r="HA27" s="420"/>
      <c r="HB27" s="420"/>
      <c r="HC27" s="420"/>
      <c r="HD27" s="420"/>
      <c r="HE27" s="420"/>
      <c r="HF27" s="420"/>
      <c r="HG27" s="420"/>
      <c r="HH27" s="420"/>
      <c r="HI27" s="420"/>
      <c r="HJ27" s="420"/>
      <c r="HK27" s="420"/>
      <c r="HL27" s="420"/>
      <c r="HM27" s="420"/>
      <c r="HN27" s="420"/>
      <c r="HO27" s="420"/>
      <c r="HP27" s="420"/>
      <c r="HQ27" s="420"/>
      <c r="HR27" s="420"/>
      <c r="HS27" s="420"/>
      <c r="HT27" s="420"/>
      <c r="HU27" s="420"/>
      <c r="HV27" s="420"/>
      <c r="HW27" s="420"/>
      <c r="HX27" s="420"/>
      <c r="HY27" s="420"/>
      <c r="HZ27" s="420"/>
      <c r="IA27" s="420"/>
      <c r="IB27" s="420"/>
      <c r="IC27" s="420"/>
      <c r="ID27" s="420"/>
      <c r="IE27" s="420"/>
      <c r="IF27" s="420"/>
      <c r="IG27" s="420"/>
      <c r="IH27" s="420"/>
      <c r="II27" s="420"/>
      <c r="IJ27" s="420"/>
      <c r="IK27" s="420"/>
      <c r="IL27" s="420"/>
      <c r="IM27" s="420"/>
      <c r="IN27" s="420"/>
      <c r="IO27" s="420"/>
      <c r="IP27" s="420"/>
      <c r="IQ27" s="420"/>
      <c r="IR27" s="420"/>
      <c r="IS27" s="420"/>
      <c r="IT27" s="420"/>
      <c r="IU27" s="420"/>
      <c r="IV27" s="420"/>
      <c r="IW27" s="420"/>
      <c r="IX27" s="420"/>
      <c r="IY27" s="420"/>
      <c r="IZ27" s="420"/>
      <c r="JA27" s="420"/>
    </row>
    <row r="28" spans="1:261" s="1001" customFormat="1" ht="18" customHeight="1" x14ac:dyDescent="0.35">
      <c r="A28" s="783">
        <v>18</v>
      </c>
      <c r="B28" s="993"/>
      <c r="C28" s="994"/>
      <c r="D28" s="1002" t="s">
        <v>311</v>
      </c>
      <c r="E28" s="432">
        <f>F28+G28+O31+P31</f>
        <v>66636</v>
      </c>
      <c r="F28" s="772">
        <v>143</v>
      </c>
      <c r="G28" s="433">
        <f>196+62988+1540</f>
        <v>64724</v>
      </c>
      <c r="H28" s="1009"/>
      <c r="I28" s="1006"/>
      <c r="J28" s="999"/>
      <c r="K28" s="1023">
        <v>61</v>
      </c>
      <c r="L28" s="999"/>
      <c r="M28" s="1023">
        <v>1708</v>
      </c>
      <c r="N28" s="999"/>
      <c r="O28" s="992">
        <f>SUM(I28:N28)</f>
        <v>1769</v>
      </c>
      <c r="P28" s="1000"/>
    </row>
    <row r="29" spans="1:261" s="1001" customFormat="1" ht="18" customHeight="1" x14ac:dyDescent="0.35">
      <c r="A29" s="783">
        <v>19</v>
      </c>
      <c r="B29" s="993"/>
      <c r="C29" s="994"/>
      <c r="D29" s="583" t="s">
        <v>1072</v>
      </c>
      <c r="E29" s="432"/>
      <c r="F29" s="772"/>
      <c r="G29" s="433"/>
      <c r="H29" s="1009"/>
      <c r="I29" s="1006"/>
      <c r="J29" s="999"/>
      <c r="K29" s="769">
        <v>61</v>
      </c>
      <c r="L29" s="1548"/>
      <c r="M29" s="769">
        <v>1708</v>
      </c>
      <c r="N29" s="999"/>
      <c r="O29" s="777">
        <f>SUM(I29:N29)</f>
        <v>1769</v>
      </c>
      <c r="P29" s="1000"/>
    </row>
    <row r="30" spans="1:261" s="1001" customFormat="1" ht="18" customHeight="1" x14ac:dyDescent="0.35">
      <c r="A30" s="783">
        <v>20</v>
      </c>
      <c r="B30" s="993"/>
      <c r="C30" s="994"/>
      <c r="D30" s="1338" t="s">
        <v>963</v>
      </c>
      <c r="E30" s="432"/>
      <c r="F30" s="772"/>
      <c r="G30" s="433"/>
      <c r="H30" s="1009"/>
      <c r="I30" s="1549"/>
      <c r="J30" s="1548"/>
      <c r="K30" s="769"/>
      <c r="L30" s="1548"/>
      <c r="M30" s="769"/>
      <c r="N30" s="1548"/>
      <c r="O30" s="1623">
        <f>SUM(I30:N30)</f>
        <v>0</v>
      </c>
      <c r="P30" s="1000"/>
    </row>
    <row r="31" spans="1:261" s="1001" customFormat="1" ht="18" customHeight="1" x14ac:dyDescent="0.35">
      <c r="A31" s="783">
        <v>21</v>
      </c>
      <c r="B31" s="993"/>
      <c r="C31" s="994"/>
      <c r="D31" s="583" t="s">
        <v>1151</v>
      </c>
      <c r="E31" s="432"/>
      <c r="F31" s="772"/>
      <c r="G31" s="433"/>
      <c r="H31" s="1009"/>
      <c r="I31" s="1549"/>
      <c r="J31" s="1548"/>
      <c r="K31" s="769">
        <f>SUM(K29:K30)</f>
        <v>61</v>
      </c>
      <c r="L31" s="769"/>
      <c r="M31" s="769">
        <f t="shared" ref="M31" si="3">SUM(M29:M30)</f>
        <v>1708</v>
      </c>
      <c r="N31" s="1548"/>
      <c r="O31" s="777">
        <f>SUM(I31:N31)</f>
        <v>1769</v>
      </c>
      <c r="P31" s="1000"/>
    </row>
    <row r="32" spans="1:261" s="768" customFormat="1" ht="38.25" customHeight="1" x14ac:dyDescent="0.35">
      <c r="A32" s="783">
        <v>22</v>
      </c>
      <c r="B32" s="776"/>
      <c r="C32" s="422">
        <v>5</v>
      </c>
      <c r="D32" s="424" t="s">
        <v>616</v>
      </c>
      <c r="E32" s="432"/>
      <c r="F32" s="432"/>
      <c r="G32" s="433"/>
      <c r="H32" s="1035" t="s">
        <v>24</v>
      </c>
      <c r="I32" s="1028"/>
      <c r="J32" s="1022"/>
      <c r="K32" s="1022"/>
      <c r="L32" s="1022"/>
      <c r="M32" s="1022"/>
      <c r="N32" s="1022"/>
      <c r="O32" s="1029"/>
      <c r="P32" s="773"/>
      <c r="Q32" s="420"/>
      <c r="R32" s="420"/>
      <c r="S32" s="420"/>
      <c r="T32" s="420"/>
      <c r="U32" s="420"/>
      <c r="V32" s="420"/>
      <c r="W32" s="420"/>
      <c r="X32" s="420"/>
      <c r="Y32" s="420"/>
      <c r="Z32" s="420"/>
      <c r="AA32" s="420"/>
      <c r="AB32" s="420"/>
      <c r="AC32" s="420"/>
      <c r="AD32" s="420"/>
      <c r="AE32" s="420"/>
      <c r="AF32" s="420"/>
      <c r="AG32" s="420"/>
      <c r="AH32" s="420"/>
      <c r="AI32" s="420"/>
      <c r="AJ32" s="420"/>
      <c r="AK32" s="420"/>
      <c r="AL32" s="420"/>
      <c r="AM32" s="420"/>
      <c r="AN32" s="420"/>
      <c r="AO32" s="420"/>
      <c r="AP32" s="420"/>
      <c r="AQ32" s="420"/>
      <c r="AR32" s="420"/>
      <c r="AS32" s="420"/>
      <c r="AT32" s="420"/>
      <c r="AU32" s="420"/>
      <c r="AV32" s="420"/>
      <c r="AW32" s="420"/>
      <c r="AX32" s="420"/>
      <c r="AY32" s="420"/>
      <c r="AZ32" s="420"/>
      <c r="BA32" s="420"/>
      <c r="BB32" s="420"/>
      <c r="BC32" s="420"/>
      <c r="BD32" s="420"/>
      <c r="BE32" s="420"/>
      <c r="BF32" s="420"/>
      <c r="BG32" s="420"/>
      <c r="BH32" s="420"/>
      <c r="BI32" s="420"/>
      <c r="BJ32" s="420"/>
      <c r="BK32" s="420"/>
      <c r="BL32" s="420"/>
      <c r="BM32" s="420"/>
      <c r="BN32" s="420"/>
      <c r="BO32" s="420"/>
      <c r="BP32" s="420"/>
      <c r="BQ32" s="420"/>
      <c r="BR32" s="420"/>
      <c r="BS32" s="420"/>
      <c r="BT32" s="420"/>
      <c r="BU32" s="420"/>
      <c r="BV32" s="420"/>
      <c r="BW32" s="420"/>
      <c r="BX32" s="420"/>
      <c r="BY32" s="420"/>
      <c r="BZ32" s="420"/>
      <c r="CA32" s="420"/>
      <c r="CB32" s="420"/>
      <c r="CC32" s="420"/>
      <c r="CD32" s="420"/>
      <c r="CE32" s="420"/>
      <c r="CF32" s="420"/>
      <c r="CG32" s="420"/>
      <c r="CH32" s="420"/>
      <c r="CI32" s="420"/>
      <c r="CJ32" s="420"/>
      <c r="CK32" s="420"/>
      <c r="CL32" s="420"/>
      <c r="CM32" s="420"/>
      <c r="CN32" s="420"/>
      <c r="CO32" s="420"/>
      <c r="CP32" s="420"/>
      <c r="CQ32" s="420"/>
      <c r="CR32" s="420"/>
      <c r="CS32" s="420"/>
      <c r="CT32" s="420"/>
      <c r="CU32" s="420"/>
      <c r="CV32" s="420"/>
      <c r="CW32" s="420"/>
      <c r="CX32" s="420"/>
      <c r="CY32" s="420"/>
      <c r="CZ32" s="420"/>
      <c r="DA32" s="420"/>
      <c r="DB32" s="420"/>
      <c r="DC32" s="420"/>
      <c r="DD32" s="420"/>
      <c r="DE32" s="420"/>
      <c r="DF32" s="420"/>
      <c r="DG32" s="420"/>
      <c r="DH32" s="420"/>
      <c r="DI32" s="420"/>
      <c r="DJ32" s="420"/>
      <c r="DK32" s="420"/>
      <c r="DL32" s="420"/>
      <c r="DM32" s="420"/>
      <c r="DN32" s="420"/>
      <c r="DO32" s="420"/>
      <c r="DP32" s="420"/>
      <c r="DQ32" s="420"/>
      <c r="DR32" s="420"/>
      <c r="DS32" s="420"/>
      <c r="DT32" s="420"/>
      <c r="DU32" s="420"/>
      <c r="DV32" s="420"/>
      <c r="DW32" s="420"/>
      <c r="DX32" s="420"/>
      <c r="DY32" s="420"/>
      <c r="DZ32" s="420"/>
      <c r="EA32" s="420"/>
      <c r="EB32" s="420"/>
      <c r="EC32" s="420"/>
      <c r="ED32" s="420"/>
      <c r="EE32" s="420"/>
      <c r="EF32" s="420"/>
      <c r="EG32" s="420"/>
      <c r="EH32" s="420"/>
      <c r="EI32" s="420"/>
      <c r="EJ32" s="420"/>
      <c r="EK32" s="420"/>
      <c r="EL32" s="420"/>
      <c r="EM32" s="420"/>
      <c r="EN32" s="420"/>
      <c r="EO32" s="420"/>
      <c r="EP32" s="420"/>
      <c r="EQ32" s="420"/>
      <c r="ER32" s="420"/>
      <c r="ES32" s="420"/>
      <c r="ET32" s="420"/>
      <c r="EU32" s="420"/>
      <c r="EV32" s="420"/>
      <c r="EW32" s="420"/>
      <c r="EX32" s="420"/>
      <c r="EY32" s="420"/>
      <c r="EZ32" s="420"/>
      <c r="FA32" s="420"/>
      <c r="FB32" s="420"/>
      <c r="FC32" s="420"/>
      <c r="FD32" s="420"/>
      <c r="FE32" s="420"/>
      <c r="FF32" s="420"/>
      <c r="FG32" s="420"/>
      <c r="FH32" s="420"/>
      <c r="FI32" s="420"/>
      <c r="FJ32" s="420"/>
      <c r="FK32" s="420"/>
      <c r="FL32" s="420"/>
      <c r="FM32" s="420"/>
      <c r="FN32" s="420"/>
      <c r="FO32" s="420"/>
      <c r="FP32" s="420"/>
      <c r="FQ32" s="420"/>
      <c r="FR32" s="420"/>
      <c r="FS32" s="420"/>
      <c r="FT32" s="420"/>
      <c r="FU32" s="420"/>
      <c r="FV32" s="420"/>
      <c r="FW32" s="420"/>
      <c r="FX32" s="420"/>
      <c r="FY32" s="420"/>
      <c r="FZ32" s="420"/>
      <c r="GA32" s="420"/>
      <c r="GB32" s="420"/>
      <c r="GC32" s="420"/>
      <c r="GD32" s="420"/>
      <c r="GE32" s="420"/>
      <c r="GF32" s="420"/>
      <c r="GG32" s="420"/>
      <c r="GH32" s="420"/>
      <c r="GI32" s="420"/>
      <c r="GJ32" s="420"/>
      <c r="GK32" s="420"/>
      <c r="GL32" s="420"/>
      <c r="GM32" s="420"/>
      <c r="GN32" s="420"/>
      <c r="GO32" s="420"/>
      <c r="GP32" s="420"/>
      <c r="GQ32" s="420"/>
      <c r="GR32" s="420"/>
      <c r="GS32" s="420"/>
      <c r="GT32" s="420"/>
      <c r="GU32" s="420"/>
      <c r="GV32" s="420"/>
      <c r="GW32" s="420"/>
      <c r="GX32" s="420"/>
      <c r="GY32" s="420"/>
      <c r="GZ32" s="420"/>
      <c r="HA32" s="420"/>
      <c r="HB32" s="420"/>
      <c r="HC32" s="420"/>
      <c r="HD32" s="420"/>
      <c r="HE32" s="420"/>
      <c r="HF32" s="420"/>
      <c r="HG32" s="420"/>
      <c r="HH32" s="420"/>
      <c r="HI32" s="420"/>
      <c r="HJ32" s="420"/>
      <c r="HK32" s="420"/>
      <c r="HL32" s="420"/>
      <c r="HM32" s="420"/>
      <c r="HN32" s="420"/>
      <c r="HO32" s="420"/>
      <c r="HP32" s="420"/>
      <c r="HQ32" s="420"/>
      <c r="HR32" s="420"/>
      <c r="HS32" s="420"/>
      <c r="HT32" s="420"/>
      <c r="HU32" s="420"/>
      <c r="HV32" s="420"/>
      <c r="HW32" s="420"/>
      <c r="HX32" s="420"/>
      <c r="HY32" s="420"/>
      <c r="HZ32" s="420"/>
      <c r="IA32" s="420"/>
      <c r="IB32" s="420"/>
      <c r="IC32" s="420"/>
      <c r="ID32" s="420"/>
      <c r="IE32" s="420"/>
      <c r="IF32" s="420"/>
      <c r="IG32" s="420"/>
      <c r="IH32" s="420"/>
      <c r="II32" s="420"/>
      <c r="IJ32" s="420"/>
      <c r="IK32" s="420"/>
      <c r="IL32" s="420"/>
      <c r="IM32" s="420"/>
      <c r="IN32" s="420"/>
      <c r="IO32" s="420"/>
      <c r="IP32" s="420"/>
      <c r="IQ32" s="420"/>
      <c r="IR32" s="420"/>
      <c r="IS32" s="420"/>
      <c r="IT32" s="420"/>
      <c r="IU32" s="420"/>
      <c r="IV32" s="420"/>
      <c r="IW32" s="420"/>
      <c r="IX32" s="420"/>
      <c r="IY32" s="420"/>
      <c r="IZ32" s="420"/>
      <c r="JA32" s="420"/>
    </row>
    <row r="33" spans="1:16" ht="18" customHeight="1" x14ac:dyDescent="0.35">
      <c r="A33" s="783">
        <v>23</v>
      </c>
      <c r="B33" s="625"/>
      <c r="C33" s="466"/>
      <c r="D33" s="1002" t="s">
        <v>311</v>
      </c>
      <c r="E33" s="432">
        <f>F33+G33+O36+P36+3250-134273</f>
        <v>175747</v>
      </c>
      <c r="F33" s="432">
        <v>6541</v>
      </c>
      <c r="G33" s="433"/>
      <c r="H33" s="1009"/>
      <c r="I33" s="1028"/>
      <c r="J33" s="1022"/>
      <c r="K33" s="1022">
        <v>382</v>
      </c>
      <c r="L33" s="1022"/>
      <c r="M33" s="1022">
        <f>34933+130641</f>
        <v>165574</v>
      </c>
      <c r="N33" s="1022"/>
      <c r="O33" s="992">
        <f>SUM(I33:N33)</f>
        <v>165956</v>
      </c>
      <c r="P33" s="773"/>
    </row>
    <row r="34" spans="1:16" ht="18" customHeight="1" x14ac:dyDescent="0.35">
      <c r="A34" s="783">
        <v>24</v>
      </c>
      <c r="B34" s="625"/>
      <c r="C34" s="466"/>
      <c r="D34" s="583" t="s">
        <v>1072</v>
      </c>
      <c r="E34" s="432"/>
      <c r="F34" s="432"/>
      <c r="G34" s="433"/>
      <c r="H34" s="1009"/>
      <c r="I34" s="1028"/>
      <c r="J34" s="1022"/>
      <c r="K34" s="432">
        <v>382</v>
      </c>
      <c r="L34" s="432"/>
      <c r="M34" s="432">
        <v>165574</v>
      </c>
      <c r="N34" s="1022"/>
      <c r="O34" s="777">
        <f>SUM(I34:N34)</f>
        <v>165956</v>
      </c>
      <c r="P34" s="773"/>
    </row>
    <row r="35" spans="1:16" ht="18" customHeight="1" x14ac:dyDescent="0.35">
      <c r="A35" s="783">
        <v>25</v>
      </c>
      <c r="B35" s="625"/>
      <c r="C35" s="466"/>
      <c r="D35" s="1338" t="s">
        <v>1232</v>
      </c>
      <c r="E35" s="432"/>
      <c r="F35" s="432"/>
      <c r="G35" s="433"/>
      <c r="H35" s="1009"/>
      <c r="I35" s="1007"/>
      <c r="J35" s="432"/>
      <c r="K35" s="432"/>
      <c r="L35" s="1587">
        <v>3632</v>
      </c>
      <c r="M35" s="1587"/>
      <c r="N35" s="1587">
        <v>130641</v>
      </c>
      <c r="O35" s="1623">
        <f>SUM(I35:N35)</f>
        <v>134273</v>
      </c>
      <c r="P35" s="773"/>
    </row>
    <row r="36" spans="1:16" ht="18" customHeight="1" x14ac:dyDescent="0.35">
      <c r="A36" s="783">
        <v>26</v>
      </c>
      <c r="B36" s="625"/>
      <c r="C36" s="466"/>
      <c r="D36" s="583" t="s">
        <v>1151</v>
      </c>
      <c r="E36" s="432"/>
      <c r="F36" s="432"/>
      <c r="G36" s="433"/>
      <c r="H36" s="1009"/>
      <c r="I36" s="1007"/>
      <c r="J36" s="432"/>
      <c r="K36" s="432">
        <f>SUM(K34:K35)</f>
        <v>382</v>
      </c>
      <c r="L36" s="432">
        <f>SUM(L34:L35)</f>
        <v>3632</v>
      </c>
      <c r="M36" s="432">
        <f t="shared" ref="M36:N36" si="4">SUM(M34:M35)</f>
        <v>165574</v>
      </c>
      <c r="N36" s="432">
        <f t="shared" si="4"/>
        <v>130641</v>
      </c>
      <c r="O36" s="777">
        <f>SUM(I36:N36)</f>
        <v>300229</v>
      </c>
      <c r="P36" s="773"/>
    </row>
    <row r="37" spans="1:16" ht="33" x14ac:dyDescent="0.35">
      <c r="A37" s="783">
        <v>27</v>
      </c>
      <c r="B37" s="625"/>
      <c r="C37" s="422">
        <v>6</v>
      </c>
      <c r="D37" s="990" t="s">
        <v>681</v>
      </c>
      <c r="E37" s="432"/>
      <c r="F37" s="432"/>
      <c r="G37" s="433"/>
      <c r="H37" s="1009" t="s">
        <v>24</v>
      </c>
      <c r="I37" s="1028"/>
      <c r="J37" s="1022"/>
      <c r="K37" s="1022"/>
      <c r="L37" s="1022"/>
      <c r="M37" s="1022"/>
      <c r="N37" s="1022"/>
      <c r="O37" s="992"/>
      <c r="P37" s="773"/>
    </row>
    <row r="38" spans="1:16" ht="18" customHeight="1" x14ac:dyDescent="0.35">
      <c r="A38" s="783">
        <v>28</v>
      </c>
      <c r="B38" s="625"/>
      <c r="C38" s="466"/>
      <c r="D38" s="1002" t="s">
        <v>311</v>
      </c>
      <c r="E38" s="432">
        <f>F38+G38+O41+P41</f>
        <v>50792</v>
      </c>
      <c r="F38" s="432">
        <v>1956</v>
      </c>
      <c r="G38" s="433"/>
      <c r="H38" s="1009"/>
      <c r="I38" s="1028"/>
      <c r="J38" s="1022"/>
      <c r="K38" s="1022">
        <v>270</v>
      </c>
      <c r="L38" s="1022"/>
      <c r="M38" s="1022">
        <f>7068+41498</f>
        <v>48566</v>
      </c>
      <c r="N38" s="1022"/>
      <c r="O38" s="992">
        <f>SUM(I38:N38)</f>
        <v>48836</v>
      </c>
      <c r="P38" s="773"/>
    </row>
    <row r="39" spans="1:16" ht="18" customHeight="1" x14ac:dyDescent="0.35">
      <c r="A39" s="783">
        <v>29</v>
      </c>
      <c r="B39" s="625"/>
      <c r="C39" s="466"/>
      <c r="D39" s="583" t="s">
        <v>1072</v>
      </c>
      <c r="E39" s="432"/>
      <c r="F39" s="432"/>
      <c r="G39" s="433"/>
      <c r="H39" s="1009"/>
      <c r="I39" s="1028"/>
      <c r="J39" s="1022"/>
      <c r="K39" s="432">
        <v>270</v>
      </c>
      <c r="L39" s="432"/>
      <c r="M39" s="432">
        <v>48566</v>
      </c>
      <c r="N39" s="1022"/>
      <c r="O39" s="777">
        <f>SUM(I39:N39)</f>
        <v>48836</v>
      </c>
      <c r="P39" s="773"/>
    </row>
    <row r="40" spans="1:16" ht="18" customHeight="1" x14ac:dyDescent="0.35">
      <c r="A40" s="783">
        <v>30</v>
      </c>
      <c r="B40" s="625"/>
      <c r="C40" s="466"/>
      <c r="D40" s="1338" t="s">
        <v>963</v>
      </c>
      <c r="E40" s="432"/>
      <c r="F40" s="432"/>
      <c r="G40" s="433"/>
      <c r="H40" s="1009"/>
      <c r="I40" s="1007"/>
      <c r="J40" s="432"/>
      <c r="K40" s="432"/>
      <c r="L40" s="432"/>
      <c r="M40" s="432"/>
      <c r="N40" s="432"/>
      <c r="O40" s="1623">
        <f>SUM(I40:N40)</f>
        <v>0</v>
      </c>
      <c r="P40" s="773"/>
    </row>
    <row r="41" spans="1:16" ht="18" customHeight="1" x14ac:dyDescent="0.35">
      <c r="A41" s="783">
        <v>31</v>
      </c>
      <c r="B41" s="625"/>
      <c r="C41" s="466"/>
      <c r="D41" s="583" t="s">
        <v>1151</v>
      </c>
      <c r="E41" s="432"/>
      <c r="F41" s="432"/>
      <c r="G41" s="433"/>
      <c r="H41" s="1009"/>
      <c r="I41" s="1007"/>
      <c r="J41" s="432"/>
      <c r="K41" s="432">
        <f>SUM(K39:K40)</f>
        <v>270</v>
      </c>
      <c r="L41" s="432"/>
      <c r="M41" s="432">
        <f t="shared" ref="M41" si="5">SUM(M39:M40)</f>
        <v>48566</v>
      </c>
      <c r="N41" s="432"/>
      <c r="O41" s="777">
        <f>SUM(I41:N41)</f>
        <v>48836</v>
      </c>
      <c r="P41" s="773"/>
    </row>
    <row r="42" spans="1:16" ht="33" x14ac:dyDescent="0.35">
      <c r="A42" s="783">
        <v>32</v>
      </c>
      <c r="B42" s="625"/>
      <c r="C42" s="422">
        <v>7</v>
      </c>
      <c r="D42" s="989" t="s">
        <v>682</v>
      </c>
      <c r="E42" s="432"/>
      <c r="F42" s="432"/>
      <c r="G42" s="433"/>
      <c r="H42" s="1009" t="s">
        <v>24</v>
      </c>
      <c r="I42" s="1028"/>
      <c r="J42" s="1022"/>
      <c r="K42" s="1022"/>
      <c r="L42" s="1022"/>
      <c r="M42" s="1022"/>
      <c r="N42" s="1022"/>
      <c r="O42" s="992"/>
      <c r="P42" s="773"/>
    </row>
    <row r="43" spans="1:16" ht="18" customHeight="1" x14ac:dyDescent="0.35">
      <c r="A43" s="783">
        <v>33</v>
      </c>
      <c r="B43" s="625"/>
      <c r="C43" s="466"/>
      <c r="D43" s="1002" t="s">
        <v>311</v>
      </c>
      <c r="E43" s="432">
        <f>F43+G43+O46+P46</f>
        <v>93009</v>
      </c>
      <c r="F43" s="432">
        <v>2459</v>
      </c>
      <c r="G43" s="433"/>
      <c r="H43" s="1009"/>
      <c r="I43" s="1028"/>
      <c r="J43" s="1022"/>
      <c r="K43" s="1022">
        <v>270</v>
      </c>
      <c r="L43" s="1022"/>
      <c r="M43" s="1022">
        <f>37058+53222</f>
        <v>90280</v>
      </c>
      <c r="N43" s="1022"/>
      <c r="O43" s="992">
        <f>SUM(I43:N43)</f>
        <v>90550</v>
      </c>
      <c r="P43" s="773"/>
    </row>
    <row r="44" spans="1:16" ht="18" customHeight="1" x14ac:dyDescent="0.35">
      <c r="A44" s="783">
        <v>34</v>
      </c>
      <c r="B44" s="625"/>
      <c r="C44" s="466"/>
      <c r="D44" s="583" t="s">
        <v>1072</v>
      </c>
      <c r="E44" s="432"/>
      <c r="F44" s="432"/>
      <c r="G44" s="433"/>
      <c r="H44" s="1009"/>
      <c r="I44" s="1028"/>
      <c r="J44" s="1022"/>
      <c r="K44" s="432">
        <v>270</v>
      </c>
      <c r="L44" s="432"/>
      <c r="M44" s="432">
        <v>90280</v>
      </c>
      <c r="N44" s="1022"/>
      <c r="O44" s="777">
        <f>SUM(I44:N44)</f>
        <v>90550</v>
      </c>
      <c r="P44" s="773"/>
    </row>
    <row r="45" spans="1:16" ht="18" customHeight="1" x14ac:dyDescent="0.35">
      <c r="A45" s="783">
        <v>35</v>
      </c>
      <c r="B45" s="625"/>
      <c r="C45" s="466"/>
      <c r="D45" s="1338" t="s">
        <v>963</v>
      </c>
      <c r="E45" s="432"/>
      <c r="F45" s="432"/>
      <c r="G45" s="433"/>
      <c r="H45" s="1009"/>
      <c r="I45" s="1007"/>
      <c r="J45" s="432"/>
      <c r="K45" s="432"/>
      <c r="L45" s="432"/>
      <c r="M45" s="432"/>
      <c r="N45" s="432"/>
      <c r="O45" s="1623">
        <f>SUM(I45:N45)</f>
        <v>0</v>
      </c>
      <c r="P45" s="773"/>
    </row>
    <row r="46" spans="1:16" ht="18" customHeight="1" x14ac:dyDescent="0.35">
      <c r="A46" s="783">
        <v>36</v>
      </c>
      <c r="B46" s="625"/>
      <c r="C46" s="466"/>
      <c r="D46" s="583" t="s">
        <v>1151</v>
      </c>
      <c r="E46" s="432"/>
      <c r="F46" s="432"/>
      <c r="G46" s="433"/>
      <c r="H46" s="1009"/>
      <c r="I46" s="1007"/>
      <c r="J46" s="432"/>
      <c r="K46" s="432">
        <f>SUM(K44:K45)</f>
        <v>270</v>
      </c>
      <c r="L46" s="432"/>
      <c r="M46" s="432">
        <f t="shared" ref="M46" si="6">SUM(M44:M45)</f>
        <v>90280</v>
      </c>
      <c r="N46" s="432"/>
      <c r="O46" s="777">
        <f>SUM(I46:N46)</f>
        <v>90550</v>
      </c>
      <c r="P46" s="773"/>
    </row>
    <row r="47" spans="1:16" ht="22.5" customHeight="1" x14ac:dyDescent="0.35">
      <c r="A47" s="783">
        <v>37</v>
      </c>
      <c r="B47" s="625"/>
      <c r="C47" s="466">
        <v>8</v>
      </c>
      <c r="D47" s="1263" t="s">
        <v>575</v>
      </c>
      <c r="E47" s="432"/>
      <c r="F47" s="432"/>
      <c r="G47" s="433"/>
      <c r="H47" s="1009" t="s">
        <v>24</v>
      </c>
      <c r="I47" s="1028"/>
      <c r="J47" s="1022"/>
      <c r="K47" s="1022"/>
      <c r="L47" s="1022"/>
      <c r="M47" s="1022"/>
      <c r="N47" s="1022"/>
      <c r="O47" s="992"/>
      <c r="P47" s="773"/>
    </row>
    <row r="48" spans="1:16" ht="18" customHeight="1" x14ac:dyDescent="0.35">
      <c r="A48" s="783">
        <v>38</v>
      </c>
      <c r="B48" s="625"/>
      <c r="C48" s="466"/>
      <c r="D48" s="1002" t="s">
        <v>311</v>
      </c>
      <c r="E48" s="432">
        <f>F48+G48+O51+P51</f>
        <v>72672</v>
      </c>
      <c r="F48" s="432">
        <v>4926</v>
      </c>
      <c r="G48" s="433">
        <f>120+67252+329</f>
        <v>67701</v>
      </c>
      <c r="H48" s="1009"/>
      <c r="I48" s="1028"/>
      <c r="J48" s="1022"/>
      <c r="K48" s="1022">
        <v>45</v>
      </c>
      <c r="L48" s="1022"/>
      <c r="M48" s="1022"/>
      <c r="N48" s="1022"/>
      <c r="O48" s="992">
        <f>SUM(I48:N48)</f>
        <v>45</v>
      </c>
      <c r="P48" s="773"/>
    </row>
    <row r="49" spans="1:261" ht="18" customHeight="1" x14ac:dyDescent="0.35">
      <c r="A49" s="783">
        <v>39</v>
      </c>
      <c r="B49" s="625"/>
      <c r="C49" s="466"/>
      <c r="D49" s="583" t="s">
        <v>1072</v>
      </c>
      <c r="E49" s="432"/>
      <c r="F49" s="432"/>
      <c r="G49" s="433"/>
      <c r="H49" s="1009"/>
      <c r="I49" s="1028"/>
      <c r="J49" s="1022"/>
      <c r="K49" s="432">
        <v>0</v>
      </c>
      <c r="L49" s="432">
        <v>45</v>
      </c>
      <c r="M49" s="1022"/>
      <c r="N49" s="1022"/>
      <c r="O49" s="777">
        <f>SUM(I49:N49)</f>
        <v>45</v>
      </c>
      <c r="P49" s="773"/>
    </row>
    <row r="50" spans="1:261" ht="18" customHeight="1" x14ac:dyDescent="0.35">
      <c r="A50" s="783">
        <v>40</v>
      </c>
      <c r="B50" s="625"/>
      <c r="C50" s="466"/>
      <c r="D50" s="1338" t="s">
        <v>986</v>
      </c>
      <c r="E50" s="432"/>
      <c r="F50" s="432"/>
      <c r="G50" s="433"/>
      <c r="H50" s="1009"/>
      <c r="I50" s="1007"/>
      <c r="J50" s="432"/>
      <c r="K50" s="432"/>
      <c r="L50" s="432"/>
      <c r="M50" s="432"/>
      <c r="N50" s="432"/>
      <c r="O50" s="1623">
        <f>SUM(I50:N50)</f>
        <v>0</v>
      </c>
      <c r="P50" s="773"/>
    </row>
    <row r="51" spans="1:261" ht="18" customHeight="1" x14ac:dyDescent="0.35">
      <c r="A51" s="783">
        <v>41</v>
      </c>
      <c r="B51" s="625"/>
      <c r="C51" s="466"/>
      <c r="D51" s="583" t="s">
        <v>1151</v>
      </c>
      <c r="E51" s="432"/>
      <c r="F51" s="432"/>
      <c r="G51" s="433"/>
      <c r="H51" s="1009"/>
      <c r="I51" s="1007"/>
      <c r="J51" s="432"/>
      <c r="K51" s="432">
        <f>SUM(K49:K50)</f>
        <v>0</v>
      </c>
      <c r="L51" s="432">
        <f>SUM(L49:L50)</f>
        <v>45</v>
      </c>
      <c r="M51" s="432"/>
      <c r="N51" s="432"/>
      <c r="O51" s="777">
        <f>SUM(I51:N51)</f>
        <v>45</v>
      </c>
      <c r="P51" s="773"/>
    </row>
    <row r="52" spans="1:261" s="768" customFormat="1" ht="54.75" customHeight="1" x14ac:dyDescent="0.35">
      <c r="A52" s="783">
        <v>42</v>
      </c>
      <c r="B52" s="776"/>
      <c r="C52" s="422">
        <v>9</v>
      </c>
      <c r="D52" s="988" t="s">
        <v>617</v>
      </c>
      <c r="E52" s="432"/>
      <c r="F52" s="772"/>
      <c r="G52" s="433"/>
      <c r="H52" s="1035" t="s">
        <v>24</v>
      </c>
      <c r="I52" s="1027"/>
      <c r="J52" s="1023"/>
      <c r="K52" s="1023"/>
      <c r="L52" s="1023"/>
      <c r="M52" s="1023"/>
      <c r="N52" s="1023"/>
      <c r="O52" s="992"/>
      <c r="P52" s="773"/>
      <c r="Q52" s="420"/>
      <c r="R52" s="420"/>
      <c r="S52" s="420"/>
      <c r="T52" s="420"/>
      <c r="U52" s="420"/>
      <c r="V52" s="420"/>
      <c r="W52" s="420"/>
      <c r="X52" s="420"/>
      <c r="Y52" s="420"/>
      <c r="Z52" s="420"/>
      <c r="AA52" s="420"/>
      <c r="AB52" s="420"/>
      <c r="AC52" s="420"/>
      <c r="AD52" s="420"/>
      <c r="AE52" s="420"/>
      <c r="AF52" s="420"/>
      <c r="AG52" s="420"/>
      <c r="AH52" s="420"/>
      <c r="AI52" s="420"/>
      <c r="AJ52" s="420"/>
      <c r="AK52" s="420"/>
      <c r="AL52" s="420"/>
      <c r="AM52" s="420"/>
      <c r="AN52" s="420"/>
      <c r="AO52" s="420"/>
      <c r="AP52" s="420"/>
      <c r="AQ52" s="420"/>
      <c r="AR52" s="420"/>
      <c r="AS52" s="420"/>
      <c r="AT52" s="420"/>
      <c r="AU52" s="420"/>
      <c r="AV52" s="420"/>
      <c r="AW52" s="420"/>
      <c r="AX52" s="420"/>
      <c r="AY52" s="420"/>
      <c r="AZ52" s="420"/>
      <c r="BA52" s="420"/>
      <c r="BB52" s="420"/>
      <c r="BC52" s="420"/>
      <c r="BD52" s="420"/>
      <c r="BE52" s="420"/>
      <c r="BF52" s="420"/>
      <c r="BG52" s="420"/>
      <c r="BH52" s="420"/>
      <c r="BI52" s="420"/>
      <c r="BJ52" s="420"/>
      <c r="BK52" s="420"/>
      <c r="BL52" s="420"/>
      <c r="BM52" s="420"/>
      <c r="BN52" s="420"/>
      <c r="BO52" s="420"/>
      <c r="BP52" s="420"/>
      <c r="BQ52" s="420"/>
      <c r="BR52" s="420"/>
      <c r="BS52" s="420"/>
      <c r="BT52" s="420"/>
      <c r="BU52" s="420"/>
      <c r="BV52" s="420"/>
      <c r="BW52" s="420"/>
      <c r="BX52" s="420"/>
      <c r="BY52" s="420"/>
      <c r="BZ52" s="420"/>
      <c r="CA52" s="420"/>
      <c r="CB52" s="420"/>
      <c r="CC52" s="420"/>
      <c r="CD52" s="420"/>
      <c r="CE52" s="420"/>
      <c r="CF52" s="420"/>
      <c r="CG52" s="420"/>
      <c r="CH52" s="420"/>
      <c r="CI52" s="420"/>
      <c r="CJ52" s="420"/>
      <c r="CK52" s="420"/>
      <c r="CL52" s="420"/>
      <c r="CM52" s="420"/>
      <c r="CN52" s="420"/>
      <c r="CO52" s="420"/>
      <c r="CP52" s="420"/>
      <c r="CQ52" s="420"/>
      <c r="CR52" s="420"/>
      <c r="CS52" s="420"/>
      <c r="CT52" s="420"/>
      <c r="CU52" s="420"/>
      <c r="CV52" s="420"/>
      <c r="CW52" s="420"/>
      <c r="CX52" s="420"/>
      <c r="CY52" s="420"/>
      <c r="CZ52" s="420"/>
      <c r="DA52" s="420"/>
      <c r="DB52" s="420"/>
      <c r="DC52" s="420"/>
      <c r="DD52" s="420"/>
      <c r="DE52" s="420"/>
      <c r="DF52" s="420"/>
      <c r="DG52" s="420"/>
      <c r="DH52" s="420"/>
      <c r="DI52" s="420"/>
      <c r="DJ52" s="420"/>
      <c r="DK52" s="420"/>
      <c r="DL52" s="420"/>
      <c r="DM52" s="420"/>
      <c r="DN52" s="420"/>
      <c r="DO52" s="420"/>
      <c r="DP52" s="420"/>
      <c r="DQ52" s="420"/>
      <c r="DR52" s="420"/>
      <c r="DS52" s="420"/>
      <c r="DT52" s="420"/>
      <c r="DU52" s="420"/>
      <c r="DV52" s="420"/>
      <c r="DW52" s="420"/>
      <c r="DX52" s="420"/>
      <c r="DY52" s="420"/>
      <c r="DZ52" s="420"/>
      <c r="EA52" s="420"/>
      <c r="EB52" s="420"/>
      <c r="EC52" s="420"/>
      <c r="ED52" s="420"/>
      <c r="EE52" s="420"/>
      <c r="EF52" s="420"/>
      <c r="EG52" s="420"/>
      <c r="EH52" s="420"/>
      <c r="EI52" s="420"/>
      <c r="EJ52" s="420"/>
      <c r="EK52" s="420"/>
      <c r="EL52" s="420"/>
      <c r="EM52" s="420"/>
      <c r="EN52" s="420"/>
      <c r="EO52" s="420"/>
      <c r="EP52" s="420"/>
      <c r="EQ52" s="420"/>
      <c r="ER52" s="420"/>
      <c r="ES52" s="420"/>
      <c r="ET52" s="420"/>
      <c r="EU52" s="420"/>
      <c r="EV52" s="420"/>
      <c r="EW52" s="420"/>
      <c r="EX52" s="420"/>
      <c r="EY52" s="420"/>
      <c r="EZ52" s="420"/>
      <c r="FA52" s="420"/>
      <c r="FB52" s="420"/>
      <c r="FC52" s="420"/>
      <c r="FD52" s="420"/>
      <c r="FE52" s="420"/>
      <c r="FF52" s="420"/>
      <c r="FG52" s="420"/>
      <c r="FH52" s="420"/>
      <c r="FI52" s="420"/>
      <c r="FJ52" s="420"/>
      <c r="FK52" s="420"/>
      <c r="FL52" s="420"/>
      <c r="FM52" s="420"/>
      <c r="FN52" s="420"/>
      <c r="FO52" s="420"/>
      <c r="FP52" s="420"/>
      <c r="FQ52" s="420"/>
      <c r="FR52" s="420"/>
      <c r="FS52" s="420"/>
      <c r="FT52" s="420"/>
      <c r="FU52" s="420"/>
      <c r="FV52" s="420"/>
      <c r="FW52" s="420"/>
      <c r="FX52" s="420"/>
      <c r="FY52" s="420"/>
      <c r="FZ52" s="420"/>
      <c r="GA52" s="420"/>
      <c r="GB52" s="420"/>
      <c r="GC52" s="420"/>
      <c r="GD52" s="420"/>
      <c r="GE52" s="420"/>
      <c r="GF52" s="420"/>
      <c r="GG52" s="420"/>
      <c r="GH52" s="420"/>
      <c r="GI52" s="420"/>
      <c r="GJ52" s="420"/>
      <c r="GK52" s="420"/>
      <c r="GL52" s="420"/>
      <c r="GM52" s="420"/>
      <c r="GN52" s="420"/>
      <c r="GO52" s="420"/>
      <c r="GP52" s="420"/>
      <c r="GQ52" s="420"/>
      <c r="GR52" s="420"/>
      <c r="GS52" s="420"/>
      <c r="GT52" s="420"/>
      <c r="GU52" s="420"/>
      <c r="GV52" s="420"/>
      <c r="GW52" s="420"/>
      <c r="GX52" s="420"/>
      <c r="GY52" s="420"/>
      <c r="GZ52" s="420"/>
      <c r="HA52" s="420"/>
      <c r="HB52" s="420"/>
      <c r="HC52" s="420"/>
      <c r="HD52" s="420"/>
      <c r="HE52" s="420"/>
      <c r="HF52" s="420"/>
      <c r="HG52" s="420"/>
      <c r="HH52" s="420"/>
      <c r="HI52" s="420"/>
      <c r="HJ52" s="420"/>
      <c r="HK52" s="420"/>
      <c r="HL52" s="420"/>
      <c r="HM52" s="420"/>
      <c r="HN52" s="420"/>
      <c r="HO52" s="420"/>
      <c r="HP52" s="420"/>
      <c r="HQ52" s="420"/>
      <c r="HR52" s="420"/>
      <c r="HS52" s="420"/>
      <c r="HT52" s="420"/>
      <c r="HU52" s="420"/>
      <c r="HV52" s="420"/>
      <c r="HW52" s="420"/>
      <c r="HX52" s="420"/>
      <c r="HY52" s="420"/>
      <c r="HZ52" s="420"/>
      <c r="IA52" s="420"/>
      <c r="IB52" s="420"/>
      <c r="IC52" s="420"/>
      <c r="ID52" s="420"/>
      <c r="IE52" s="420"/>
      <c r="IF52" s="420"/>
      <c r="IG52" s="420"/>
      <c r="IH52" s="420"/>
      <c r="II52" s="420"/>
      <c r="IJ52" s="420"/>
      <c r="IK52" s="420"/>
      <c r="IL52" s="420"/>
      <c r="IM52" s="420"/>
      <c r="IN52" s="420"/>
      <c r="IO52" s="420"/>
      <c r="IP52" s="420"/>
      <c r="IQ52" s="420"/>
      <c r="IR52" s="420"/>
      <c r="IS52" s="420"/>
      <c r="IT52" s="420"/>
      <c r="IU52" s="420"/>
      <c r="IV52" s="420"/>
      <c r="IW52" s="420"/>
      <c r="IX52" s="420"/>
      <c r="IY52" s="420"/>
      <c r="IZ52" s="420"/>
      <c r="JA52" s="420"/>
    </row>
    <row r="53" spans="1:261" ht="18" customHeight="1" x14ac:dyDescent="0.35">
      <c r="A53" s="783">
        <v>43</v>
      </c>
      <c r="B53" s="625"/>
      <c r="C53" s="466"/>
      <c r="D53" s="1002" t="s">
        <v>311</v>
      </c>
      <c r="E53" s="432">
        <f>F53+G53+O56+P56</f>
        <v>91960</v>
      </c>
      <c r="F53" s="772">
        <v>4834</v>
      </c>
      <c r="G53" s="433">
        <v>40</v>
      </c>
      <c r="H53" s="1009"/>
      <c r="I53" s="1027"/>
      <c r="J53" s="1023"/>
      <c r="K53" s="1023">
        <v>395</v>
      </c>
      <c r="L53" s="1023"/>
      <c r="M53" s="1023">
        <f>760+194617</f>
        <v>195377</v>
      </c>
      <c r="N53" s="1023"/>
      <c r="O53" s="992">
        <f>SUM(I53:N53)</f>
        <v>195772</v>
      </c>
      <c r="P53" s="773"/>
    </row>
    <row r="54" spans="1:261" ht="18" customHeight="1" x14ac:dyDescent="0.35">
      <c r="A54" s="783">
        <v>44</v>
      </c>
      <c r="B54" s="625"/>
      <c r="C54" s="466"/>
      <c r="D54" s="583" t="s">
        <v>1072</v>
      </c>
      <c r="E54" s="432"/>
      <c r="F54" s="772"/>
      <c r="G54" s="433"/>
      <c r="H54" s="1009"/>
      <c r="I54" s="1027"/>
      <c r="J54" s="1023"/>
      <c r="K54" s="769">
        <v>0</v>
      </c>
      <c r="L54" s="769">
        <v>435</v>
      </c>
      <c r="M54" s="769">
        <v>0</v>
      </c>
      <c r="N54" s="769">
        <v>86651</v>
      </c>
      <c r="O54" s="777">
        <f>SUM(I54:N54)</f>
        <v>87086</v>
      </c>
      <c r="P54" s="773"/>
    </row>
    <row r="55" spans="1:261" ht="18" customHeight="1" x14ac:dyDescent="0.35">
      <c r="A55" s="783">
        <v>45</v>
      </c>
      <c r="B55" s="625"/>
      <c r="C55" s="466"/>
      <c r="D55" s="1338" t="s">
        <v>986</v>
      </c>
      <c r="E55" s="432"/>
      <c r="F55" s="772"/>
      <c r="G55" s="433"/>
      <c r="H55" s="1009"/>
      <c r="I55" s="1005"/>
      <c r="J55" s="769"/>
      <c r="K55" s="769"/>
      <c r="L55" s="769"/>
      <c r="M55" s="769"/>
      <c r="N55" s="769"/>
      <c r="O55" s="1623">
        <f>SUM(I55:N55)</f>
        <v>0</v>
      </c>
      <c r="P55" s="773"/>
    </row>
    <row r="56" spans="1:261" ht="18" customHeight="1" x14ac:dyDescent="0.35">
      <c r="A56" s="783">
        <v>46</v>
      </c>
      <c r="B56" s="625"/>
      <c r="C56" s="466"/>
      <c r="D56" s="583" t="s">
        <v>1151</v>
      </c>
      <c r="E56" s="432"/>
      <c r="F56" s="772"/>
      <c r="G56" s="433"/>
      <c r="H56" s="1009"/>
      <c r="I56" s="1005"/>
      <c r="J56" s="769"/>
      <c r="K56" s="769">
        <f>SUM(K54:K55)</f>
        <v>0</v>
      </c>
      <c r="L56" s="769">
        <f>SUM(L54:L55)</f>
        <v>435</v>
      </c>
      <c r="M56" s="769">
        <f t="shared" ref="M56:N56" si="7">SUM(M54:M55)</f>
        <v>0</v>
      </c>
      <c r="N56" s="769">
        <f t="shared" si="7"/>
        <v>86651</v>
      </c>
      <c r="O56" s="777">
        <f>SUM(I56:N56)</f>
        <v>87086</v>
      </c>
      <c r="P56" s="773"/>
    </row>
    <row r="57" spans="1:261" s="768" customFormat="1" ht="33" x14ac:dyDescent="0.35">
      <c r="A57" s="783">
        <v>47</v>
      </c>
      <c r="B57" s="776"/>
      <c r="C57" s="422">
        <v>10</v>
      </c>
      <c r="D57" s="424" t="s">
        <v>680</v>
      </c>
      <c r="E57" s="432"/>
      <c r="F57" s="772"/>
      <c r="G57" s="433"/>
      <c r="H57" s="1035" t="s">
        <v>24</v>
      </c>
      <c r="I57" s="1027"/>
      <c r="J57" s="1023"/>
      <c r="K57" s="1023"/>
      <c r="L57" s="1023"/>
      <c r="M57" s="1023"/>
      <c r="N57" s="1023"/>
      <c r="O57" s="992"/>
      <c r="P57" s="773"/>
      <c r="Q57" s="420"/>
      <c r="R57" s="420"/>
      <c r="S57" s="420"/>
      <c r="T57" s="420"/>
      <c r="U57" s="420"/>
      <c r="V57" s="420"/>
      <c r="W57" s="420"/>
      <c r="X57" s="420"/>
      <c r="Y57" s="420"/>
      <c r="Z57" s="420"/>
      <c r="AA57" s="420"/>
      <c r="AB57" s="420"/>
      <c r="AC57" s="420"/>
      <c r="AD57" s="420"/>
      <c r="AE57" s="420"/>
      <c r="AF57" s="420"/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420"/>
      <c r="AR57" s="420"/>
      <c r="AS57" s="420"/>
      <c r="AT57" s="420"/>
      <c r="AU57" s="420"/>
      <c r="AV57" s="420"/>
      <c r="AW57" s="420"/>
      <c r="AX57" s="420"/>
      <c r="AY57" s="420"/>
      <c r="AZ57" s="420"/>
      <c r="BA57" s="420"/>
      <c r="BB57" s="420"/>
      <c r="BC57" s="420"/>
      <c r="BD57" s="420"/>
      <c r="BE57" s="420"/>
      <c r="BF57" s="420"/>
      <c r="BG57" s="420"/>
      <c r="BH57" s="420"/>
      <c r="BI57" s="420"/>
      <c r="BJ57" s="420"/>
      <c r="BK57" s="420"/>
      <c r="BL57" s="420"/>
      <c r="BM57" s="420"/>
      <c r="BN57" s="420"/>
      <c r="BO57" s="420"/>
      <c r="BP57" s="420"/>
      <c r="BQ57" s="420"/>
      <c r="BR57" s="420"/>
      <c r="BS57" s="420"/>
      <c r="BT57" s="420"/>
      <c r="BU57" s="420"/>
      <c r="BV57" s="420"/>
      <c r="BW57" s="420"/>
      <c r="BX57" s="420"/>
      <c r="BY57" s="420"/>
      <c r="BZ57" s="420"/>
      <c r="CA57" s="420"/>
      <c r="CB57" s="420"/>
      <c r="CC57" s="420"/>
      <c r="CD57" s="420"/>
      <c r="CE57" s="420"/>
      <c r="CF57" s="420"/>
      <c r="CG57" s="420"/>
      <c r="CH57" s="420"/>
      <c r="CI57" s="420"/>
      <c r="CJ57" s="420"/>
      <c r="CK57" s="420"/>
      <c r="CL57" s="420"/>
      <c r="CM57" s="420"/>
      <c r="CN57" s="420"/>
      <c r="CO57" s="420"/>
      <c r="CP57" s="420"/>
      <c r="CQ57" s="420"/>
      <c r="CR57" s="420"/>
      <c r="CS57" s="420"/>
      <c r="CT57" s="420"/>
      <c r="CU57" s="420"/>
      <c r="CV57" s="420"/>
      <c r="CW57" s="420"/>
      <c r="CX57" s="420"/>
      <c r="CY57" s="420"/>
      <c r="CZ57" s="420"/>
      <c r="DA57" s="420"/>
      <c r="DB57" s="420"/>
      <c r="DC57" s="420"/>
      <c r="DD57" s="420"/>
      <c r="DE57" s="420"/>
      <c r="DF57" s="420"/>
      <c r="DG57" s="420"/>
      <c r="DH57" s="420"/>
      <c r="DI57" s="420"/>
      <c r="DJ57" s="420"/>
      <c r="DK57" s="420"/>
      <c r="DL57" s="420"/>
      <c r="DM57" s="420"/>
      <c r="DN57" s="420"/>
      <c r="DO57" s="420"/>
      <c r="DP57" s="420"/>
      <c r="DQ57" s="420"/>
      <c r="DR57" s="420"/>
      <c r="DS57" s="420"/>
      <c r="DT57" s="420"/>
      <c r="DU57" s="420"/>
      <c r="DV57" s="420"/>
      <c r="DW57" s="420"/>
      <c r="DX57" s="420"/>
      <c r="DY57" s="420"/>
      <c r="DZ57" s="420"/>
      <c r="EA57" s="420"/>
      <c r="EB57" s="420"/>
      <c r="EC57" s="420"/>
      <c r="ED57" s="420"/>
      <c r="EE57" s="420"/>
      <c r="EF57" s="420"/>
      <c r="EG57" s="420"/>
      <c r="EH57" s="420"/>
      <c r="EI57" s="420"/>
      <c r="EJ57" s="420"/>
      <c r="EK57" s="420"/>
      <c r="EL57" s="420"/>
      <c r="EM57" s="420"/>
      <c r="EN57" s="420"/>
      <c r="EO57" s="420"/>
      <c r="EP57" s="420"/>
      <c r="EQ57" s="420"/>
      <c r="ER57" s="420"/>
      <c r="ES57" s="420"/>
      <c r="ET57" s="420"/>
      <c r="EU57" s="420"/>
      <c r="EV57" s="420"/>
      <c r="EW57" s="420"/>
      <c r="EX57" s="420"/>
      <c r="EY57" s="420"/>
      <c r="EZ57" s="420"/>
      <c r="FA57" s="420"/>
      <c r="FB57" s="420"/>
      <c r="FC57" s="420"/>
      <c r="FD57" s="420"/>
      <c r="FE57" s="420"/>
      <c r="FF57" s="420"/>
      <c r="FG57" s="420"/>
      <c r="FH57" s="420"/>
      <c r="FI57" s="420"/>
      <c r="FJ57" s="420"/>
      <c r="FK57" s="420"/>
      <c r="FL57" s="420"/>
      <c r="FM57" s="420"/>
      <c r="FN57" s="420"/>
      <c r="FO57" s="420"/>
      <c r="FP57" s="420"/>
      <c r="FQ57" s="420"/>
      <c r="FR57" s="420"/>
      <c r="FS57" s="420"/>
      <c r="FT57" s="420"/>
      <c r="FU57" s="420"/>
      <c r="FV57" s="420"/>
      <c r="FW57" s="420"/>
      <c r="FX57" s="420"/>
      <c r="FY57" s="420"/>
      <c r="FZ57" s="420"/>
      <c r="GA57" s="420"/>
      <c r="GB57" s="420"/>
      <c r="GC57" s="420"/>
      <c r="GD57" s="420"/>
      <c r="GE57" s="420"/>
      <c r="GF57" s="420"/>
      <c r="GG57" s="420"/>
      <c r="GH57" s="420"/>
      <c r="GI57" s="420"/>
      <c r="GJ57" s="420"/>
      <c r="GK57" s="420"/>
      <c r="GL57" s="420"/>
      <c r="GM57" s="420"/>
      <c r="GN57" s="420"/>
      <c r="GO57" s="420"/>
      <c r="GP57" s="420"/>
      <c r="GQ57" s="420"/>
      <c r="GR57" s="420"/>
      <c r="GS57" s="420"/>
      <c r="GT57" s="420"/>
      <c r="GU57" s="420"/>
      <c r="GV57" s="420"/>
      <c r="GW57" s="420"/>
      <c r="GX57" s="420"/>
      <c r="GY57" s="420"/>
      <c r="GZ57" s="420"/>
      <c r="HA57" s="420"/>
      <c r="HB57" s="420"/>
      <c r="HC57" s="420"/>
      <c r="HD57" s="420"/>
      <c r="HE57" s="420"/>
      <c r="HF57" s="420"/>
      <c r="HG57" s="420"/>
      <c r="HH57" s="420"/>
      <c r="HI57" s="420"/>
      <c r="HJ57" s="420"/>
      <c r="HK57" s="420"/>
      <c r="HL57" s="420"/>
      <c r="HM57" s="420"/>
      <c r="HN57" s="420"/>
      <c r="HO57" s="420"/>
      <c r="HP57" s="420"/>
      <c r="HQ57" s="420"/>
      <c r="HR57" s="420"/>
      <c r="HS57" s="420"/>
      <c r="HT57" s="420"/>
      <c r="HU57" s="420"/>
      <c r="HV57" s="420"/>
      <c r="HW57" s="420"/>
      <c r="HX57" s="420"/>
      <c r="HY57" s="420"/>
      <c r="HZ57" s="420"/>
      <c r="IA57" s="420"/>
      <c r="IB57" s="420"/>
      <c r="IC57" s="420"/>
      <c r="ID57" s="420"/>
      <c r="IE57" s="420"/>
      <c r="IF57" s="420"/>
      <c r="IG57" s="420"/>
      <c r="IH57" s="420"/>
      <c r="II57" s="420"/>
      <c r="IJ57" s="420"/>
      <c r="IK57" s="420"/>
      <c r="IL57" s="420"/>
      <c r="IM57" s="420"/>
      <c r="IN57" s="420"/>
      <c r="IO57" s="420"/>
      <c r="IP57" s="420"/>
      <c r="IQ57" s="420"/>
      <c r="IR57" s="420"/>
      <c r="IS57" s="420"/>
      <c r="IT57" s="420"/>
      <c r="IU57" s="420"/>
      <c r="IV57" s="420"/>
      <c r="IW57" s="420"/>
      <c r="IX57" s="420"/>
      <c r="IY57" s="420"/>
      <c r="IZ57" s="420"/>
      <c r="JA57" s="420"/>
    </row>
    <row r="58" spans="1:261" ht="18" customHeight="1" x14ac:dyDescent="0.35">
      <c r="A58" s="783">
        <v>48</v>
      </c>
      <c r="B58" s="625"/>
      <c r="C58" s="466"/>
      <c r="D58" s="1002" t="s">
        <v>311</v>
      </c>
      <c r="E58" s="432">
        <f>F58+G58+O61+P61</f>
        <v>334981</v>
      </c>
      <c r="F58" s="772">
        <v>6401</v>
      </c>
      <c r="G58" s="433">
        <v>100</v>
      </c>
      <c r="H58" s="1009"/>
      <c r="I58" s="1027"/>
      <c r="J58" s="1023"/>
      <c r="K58" s="1023">
        <v>278</v>
      </c>
      <c r="L58" s="1023"/>
      <c r="M58" s="1023">
        <f>29875+298327</f>
        <v>328202</v>
      </c>
      <c r="N58" s="1023"/>
      <c r="O58" s="992">
        <f>SUM(I58:N58)</f>
        <v>328480</v>
      </c>
      <c r="P58" s="773"/>
    </row>
    <row r="59" spans="1:261" ht="18" customHeight="1" x14ac:dyDescent="0.35">
      <c r="A59" s="783">
        <v>49</v>
      </c>
      <c r="B59" s="625"/>
      <c r="C59" s="466"/>
      <c r="D59" s="583" t="s">
        <v>1072</v>
      </c>
      <c r="E59" s="432"/>
      <c r="F59" s="772"/>
      <c r="G59" s="433"/>
      <c r="H59" s="1009"/>
      <c r="I59" s="1027"/>
      <c r="J59" s="1023"/>
      <c r="K59" s="769">
        <v>278</v>
      </c>
      <c r="L59" s="769"/>
      <c r="M59" s="769">
        <v>328202</v>
      </c>
      <c r="N59" s="1023"/>
      <c r="O59" s="777">
        <f>SUM(I59:N59)</f>
        <v>328480</v>
      </c>
      <c r="P59" s="773"/>
    </row>
    <row r="60" spans="1:261" ht="18" customHeight="1" x14ac:dyDescent="0.35">
      <c r="A60" s="783">
        <v>50</v>
      </c>
      <c r="B60" s="625"/>
      <c r="C60" s="466"/>
      <c r="D60" s="1338" t="s">
        <v>963</v>
      </c>
      <c r="E60" s="432"/>
      <c r="F60" s="772"/>
      <c r="G60" s="433"/>
      <c r="H60" s="1009"/>
      <c r="I60" s="1005"/>
      <c r="J60" s="769"/>
      <c r="K60" s="769"/>
      <c r="L60" s="769"/>
      <c r="M60" s="769"/>
      <c r="N60" s="769"/>
      <c r="O60" s="1623">
        <f>SUM(I60:N60)</f>
        <v>0</v>
      </c>
      <c r="P60" s="773"/>
    </row>
    <row r="61" spans="1:261" ht="18" customHeight="1" x14ac:dyDescent="0.35">
      <c r="A61" s="783">
        <v>51</v>
      </c>
      <c r="B61" s="625"/>
      <c r="C61" s="466"/>
      <c r="D61" s="583" t="s">
        <v>1151</v>
      </c>
      <c r="E61" s="432"/>
      <c r="F61" s="772"/>
      <c r="G61" s="433"/>
      <c r="H61" s="1009"/>
      <c r="I61" s="1005"/>
      <c r="J61" s="769"/>
      <c r="K61" s="769">
        <f>SUM(K59:K60)</f>
        <v>278</v>
      </c>
      <c r="L61" s="769"/>
      <c r="M61" s="769">
        <f t="shared" ref="M61" si="8">SUM(M59:M60)</f>
        <v>328202</v>
      </c>
      <c r="N61" s="769"/>
      <c r="O61" s="777">
        <f>SUM(I61:N61)</f>
        <v>328480</v>
      </c>
      <c r="P61" s="773"/>
    </row>
    <row r="62" spans="1:261" ht="33" x14ac:dyDescent="0.35">
      <c r="A62" s="783">
        <v>52</v>
      </c>
      <c r="B62" s="625"/>
      <c r="C62" s="422">
        <v>11</v>
      </c>
      <c r="D62" s="424" t="s">
        <v>683</v>
      </c>
      <c r="E62" s="432"/>
      <c r="F62" s="772"/>
      <c r="G62" s="433"/>
      <c r="H62" s="1009" t="s">
        <v>24</v>
      </c>
      <c r="I62" s="1027"/>
      <c r="J62" s="1023"/>
      <c r="K62" s="1023"/>
      <c r="L62" s="1023"/>
      <c r="M62" s="1023"/>
      <c r="N62" s="1023"/>
      <c r="O62" s="992"/>
      <c r="P62" s="773"/>
    </row>
    <row r="63" spans="1:261" s="768" customFormat="1" ht="18" customHeight="1" x14ac:dyDescent="0.35">
      <c r="A63" s="783">
        <v>53</v>
      </c>
      <c r="B63" s="776"/>
      <c r="C63" s="422"/>
      <c r="D63" s="1002" t="s">
        <v>311</v>
      </c>
      <c r="E63" s="432">
        <f>F63+G63+O66+P66</f>
        <v>3597000</v>
      </c>
      <c r="F63" s="772">
        <v>450951</v>
      </c>
      <c r="G63" s="433">
        <f>1230725+544</f>
        <v>1231269</v>
      </c>
      <c r="H63" s="1009"/>
      <c r="I63" s="1027"/>
      <c r="J63" s="1023"/>
      <c r="K63" s="1023">
        <v>1422</v>
      </c>
      <c r="L63" s="1023"/>
      <c r="M63" s="1023">
        <f>294000+1619358</f>
        <v>1913358</v>
      </c>
      <c r="N63" s="1023"/>
      <c r="O63" s="992">
        <f>SUM(I63:N63)</f>
        <v>1914780</v>
      </c>
      <c r="P63" s="773"/>
      <c r="Q63" s="420"/>
      <c r="R63" s="420"/>
      <c r="S63" s="420"/>
      <c r="T63" s="420"/>
      <c r="U63" s="420"/>
      <c r="V63" s="420"/>
      <c r="W63" s="420"/>
      <c r="X63" s="420"/>
      <c r="Y63" s="420"/>
      <c r="Z63" s="420"/>
      <c r="AA63" s="420"/>
      <c r="AB63" s="420"/>
      <c r="AC63" s="420"/>
      <c r="AD63" s="420"/>
      <c r="AE63" s="420"/>
      <c r="AF63" s="420"/>
      <c r="AG63" s="420"/>
      <c r="AH63" s="420"/>
      <c r="AI63" s="420"/>
      <c r="AJ63" s="420"/>
      <c r="AK63" s="420"/>
      <c r="AL63" s="420"/>
      <c r="AM63" s="420"/>
      <c r="AN63" s="420"/>
      <c r="AO63" s="420"/>
      <c r="AP63" s="420"/>
      <c r="AQ63" s="420"/>
      <c r="AR63" s="420"/>
      <c r="AS63" s="420"/>
      <c r="AT63" s="420"/>
      <c r="AU63" s="420"/>
      <c r="AV63" s="420"/>
      <c r="AW63" s="420"/>
      <c r="AX63" s="420"/>
      <c r="AY63" s="420"/>
      <c r="AZ63" s="420"/>
      <c r="BA63" s="420"/>
      <c r="BB63" s="420"/>
      <c r="BC63" s="420"/>
      <c r="BD63" s="420"/>
      <c r="BE63" s="420"/>
      <c r="BF63" s="420"/>
      <c r="BG63" s="420"/>
      <c r="BH63" s="420"/>
      <c r="BI63" s="420"/>
      <c r="BJ63" s="420"/>
      <c r="BK63" s="420"/>
      <c r="BL63" s="420"/>
      <c r="BM63" s="420"/>
      <c r="BN63" s="420"/>
      <c r="BO63" s="420"/>
      <c r="BP63" s="420"/>
      <c r="BQ63" s="420"/>
      <c r="BR63" s="420"/>
      <c r="BS63" s="420"/>
      <c r="BT63" s="420"/>
      <c r="BU63" s="420"/>
      <c r="BV63" s="420"/>
      <c r="BW63" s="420"/>
      <c r="BX63" s="420"/>
      <c r="BY63" s="420"/>
      <c r="BZ63" s="420"/>
      <c r="CA63" s="420"/>
      <c r="CB63" s="420"/>
      <c r="CC63" s="420"/>
      <c r="CD63" s="420"/>
      <c r="CE63" s="420"/>
      <c r="CF63" s="420"/>
      <c r="CG63" s="420"/>
      <c r="CH63" s="420"/>
      <c r="CI63" s="420"/>
      <c r="CJ63" s="420"/>
      <c r="CK63" s="420"/>
      <c r="CL63" s="420"/>
      <c r="CM63" s="420"/>
      <c r="CN63" s="420"/>
      <c r="CO63" s="420"/>
      <c r="CP63" s="420"/>
      <c r="CQ63" s="420"/>
      <c r="CR63" s="420"/>
      <c r="CS63" s="420"/>
      <c r="CT63" s="420"/>
      <c r="CU63" s="420"/>
      <c r="CV63" s="420"/>
      <c r="CW63" s="420"/>
      <c r="CX63" s="420"/>
      <c r="CY63" s="420"/>
      <c r="CZ63" s="420"/>
      <c r="DA63" s="420"/>
      <c r="DB63" s="420"/>
      <c r="DC63" s="420"/>
      <c r="DD63" s="420"/>
      <c r="DE63" s="420"/>
      <c r="DF63" s="420"/>
      <c r="DG63" s="420"/>
      <c r="DH63" s="420"/>
      <c r="DI63" s="420"/>
      <c r="DJ63" s="420"/>
      <c r="DK63" s="420"/>
      <c r="DL63" s="420"/>
      <c r="DM63" s="420"/>
      <c r="DN63" s="420"/>
      <c r="DO63" s="420"/>
      <c r="DP63" s="420"/>
      <c r="DQ63" s="420"/>
      <c r="DR63" s="420"/>
      <c r="DS63" s="420"/>
      <c r="DT63" s="420"/>
      <c r="DU63" s="420"/>
      <c r="DV63" s="420"/>
      <c r="DW63" s="420"/>
      <c r="DX63" s="420"/>
      <c r="DY63" s="420"/>
      <c r="DZ63" s="420"/>
      <c r="EA63" s="420"/>
      <c r="EB63" s="420"/>
      <c r="EC63" s="420"/>
      <c r="ED63" s="420"/>
      <c r="EE63" s="420"/>
      <c r="EF63" s="420"/>
      <c r="EG63" s="420"/>
      <c r="EH63" s="420"/>
      <c r="EI63" s="420"/>
      <c r="EJ63" s="420"/>
      <c r="EK63" s="420"/>
      <c r="EL63" s="420"/>
      <c r="EM63" s="420"/>
      <c r="EN63" s="420"/>
      <c r="EO63" s="420"/>
      <c r="EP63" s="420"/>
      <c r="EQ63" s="420"/>
      <c r="ER63" s="420"/>
      <c r="ES63" s="420"/>
      <c r="ET63" s="420"/>
      <c r="EU63" s="420"/>
      <c r="EV63" s="420"/>
      <c r="EW63" s="420"/>
      <c r="EX63" s="420"/>
      <c r="EY63" s="420"/>
      <c r="EZ63" s="420"/>
      <c r="FA63" s="420"/>
      <c r="FB63" s="420"/>
      <c r="FC63" s="420"/>
      <c r="FD63" s="420"/>
      <c r="FE63" s="420"/>
      <c r="FF63" s="420"/>
      <c r="FG63" s="420"/>
      <c r="FH63" s="420"/>
      <c r="FI63" s="420"/>
      <c r="FJ63" s="420"/>
      <c r="FK63" s="420"/>
      <c r="FL63" s="420"/>
      <c r="FM63" s="420"/>
      <c r="FN63" s="420"/>
      <c r="FO63" s="420"/>
      <c r="FP63" s="420"/>
      <c r="FQ63" s="420"/>
      <c r="FR63" s="420"/>
      <c r="FS63" s="420"/>
      <c r="FT63" s="420"/>
      <c r="FU63" s="420"/>
      <c r="FV63" s="420"/>
      <c r="FW63" s="420"/>
      <c r="FX63" s="420"/>
      <c r="FY63" s="420"/>
      <c r="FZ63" s="420"/>
      <c r="GA63" s="420"/>
      <c r="GB63" s="420"/>
      <c r="GC63" s="420"/>
      <c r="GD63" s="420"/>
      <c r="GE63" s="420"/>
      <c r="GF63" s="420"/>
      <c r="GG63" s="420"/>
      <c r="GH63" s="420"/>
      <c r="GI63" s="420"/>
      <c r="GJ63" s="420"/>
      <c r="GK63" s="420"/>
      <c r="GL63" s="420"/>
      <c r="GM63" s="420"/>
      <c r="GN63" s="420"/>
      <c r="GO63" s="420"/>
      <c r="GP63" s="420"/>
      <c r="GQ63" s="420"/>
      <c r="GR63" s="420"/>
      <c r="GS63" s="420"/>
      <c r="GT63" s="420"/>
      <c r="GU63" s="420"/>
      <c r="GV63" s="420"/>
      <c r="GW63" s="420"/>
      <c r="GX63" s="420"/>
      <c r="GY63" s="420"/>
      <c r="GZ63" s="420"/>
      <c r="HA63" s="420"/>
      <c r="HB63" s="420"/>
      <c r="HC63" s="420"/>
      <c r="HD63" s="420"/>
      <c r="HE63" s="420"/>
      <c r="HF63" s="420"/>
      <c r="HG63" s="420"/>
      <c r="HH63" s="420"/>
      <c r="HI63" s="420"/>
      <c r="HJ63" s="420"/>
      <c r="HK63" s="420"/>
      <c r="HL63" s="420"/>
      <c r="HM63" s="420"/>
      <c r="HN63" s="420"/>
      <c r="HO63" s="420"/>
      <c r="HP63" s="420"/>
      <c r="HQ63" s="420"/>
      <c r="HR63" s="420"/>
      <c r="HS63" s="420"/>
      <c r="HT63" s="420"/>
      <c r="HU63" s="420"/>
      <c r="HV63" s="420"/>
      <c r="HW63" s="420"/>
      <c r="HX63" s="420"/>
      <c r="HY63" s="420"/>
      <c r="HZ63" s="420"/>
      <c r="IA63" s="420"/>
      <c r="IB63" s="420"/>
      <c r="IC63" s="420"/>
      <c r="ID63" s="420"/>
      <c r="IE63" s="420"/>
      <c r="IF63" s="420"/>
      <c r="IG63" s="420"/>
      <c r="IH63" s="420"/>
      <c r="II63" s="420"/>
      <c r="IJ63" s="420"/>
      <c r="IK63" s="420"/>
      <c r="IL63" s="420"/>
      <c r="IM63" s="420"/>
      <c r="IN63" s="420"/>
      <c r="IO63" s="420"/>
      <c r="IP63" s="420"/>
      <c r="IQ63" s="420"/>
      <c r="IR63" s="420"/>
      <c r="IS63" s="420"/>
      <c r="IT63" s="420"/>
      <c r="IU63" s="420"/>
      <c r="IV63" s="420"/>
      <c r="IW63" s="420"/>
      <c r="IX63" s="420"/>
      <c r="IY63" s="420"/>
      <c r="IZ63" s="420"/>
      <c r="JA63" s="420"/>
    </row>
    <row r="64" spans="1:261" s="768" customFormat="1" ht="18" customHeight="1" x14ac:dyDescent="0.35">
      <c r="A64" s="783">
        <v>54</v>
      </c>
      <c r="B64" s="776"/>
      <c r="C64" s="422"/>
      <c r="D64" s="583" t="s">
        <v>1072</v>
      </c>
      <c r="E64" s="432"/>
      <c r="F64" s="772"/>
      <c r="G64" s="433"/>
      <c r="H64" s="1009"/>
      <c r="I64" s="1027"/>
      <c r="J64" s="1023"/>
      <c r="K64" s="769">
        <v>1422</v>
      </c>
      <c r="L64" s="769"/>
      <c r="M64" s="769">
        <v>1913358</v>
      </c>
      <c r="N64" s="1023"/>
      <c r="O64" s="777">
        <f>SUM(I64:N64)</f>
        <v>1914780</v>
      </c>
      <c r="P64" s="773"/>
      <c r="Q64" s="420"/>
      <c r="R64" s="420"/>
      <c r="S64" s="420"/>
      <c r="T64" s="420"/>
      <c r="U64" s="420"/>
      <c r="V64" s="420"/>
      <c r="W64" s="420"/>
      <c r="X64" s="420"/>
      <c r="Y64" s="420"/>
      <c r="Z64" s="420"/>
      <c r="AA64" s="420"/>
      <c r="AB64" s="420"/>
      <c r="AC64" s="420"/>
      <c r="AD64" s="420"/>
      <c r="AE64" s="420"/>
      <c r="AF64" s="420"/>
      <c r="AG64" s="420"/>
      <c r="AH64" s="420"/>
      <c r="AI64" s="420"/>
      <c r="AJ64" s="420"/>
      <c r="AK64" s="420"/>
      <c r="AL64" s="420"/>
      <c r="AM64" s="420"/>
      <c r="AN64" s="420"/>
      <c r="AO64" s="420"/>
      <c r="AP64" s="420"/>
      <c r="AQ64" s="420"/>
      <c r="AR64" s="420"/>
      <c r="AS64" s="420"/>
      <c r="AT64" s="420"/>
      <c r="AU64" s="420"/>
      <c r="AV64" s="420"/>
      <c r="AW64" s="420"/>
      <c r="AX64" s="420"/>
      <c r="AY64" s="420"/>
      <c r="AZ64" s="420"/>
      <c r="BA64" s="420"/>
      <c r="BB64" s="420"/>
      <c r="BC64" s="420"/>
      <c r="BD64" s="420"/>
      <c r="BE64" s="420"/>
      <c r="BF64" s="420"/>
      <c r="BG64" s="420"/>
      <c r="BH64" s="420"/>
      <c r="BI64" s="420"/>
      <c r="BJ64" s="420"/>
      <c r="BK64" s="420"/>
      <c r="BL64" s="420"/>
      <c r="BM64" s="420"/>
      <c r="BN64" s="420"/>
      <c r="BO64" s="420"/>
      <c r="BP64" s="420"/>
      <c r="BQ64" s="420"/>
      <c r="BR64" s="420"/>
      <c r="BS64" s="420"/>
      <c r="BT64" s="420"/>
      <c r="BU64" s="420"/>
      <c r="BV64" s="420"/>
      <c r="BW64" s="420"/>
      <c r="BX64" s="420"/>
      <c r="BY64" s="420"/>
      <c r="BZ64" s="420"/>
      <c r="CA64" s="420"/>
      <c r="CB64" s="420"/>
      <c r="CC64" s="420"/>
      <c r="CD64" s="420"/>
      <c r="CE64" s="420"/>
      <c r="CF64" s="420"/>
      <c r="CG64" s="420"/>
      <c r="CH64" s="420"/>
      <c r="CI64" s="420"/>
      <c r="CJ64" s="420"/>
      <c r="CK64" s="420"/>
      <c r="CL64" s="420"/>
      <c r="CM64" s="420"/>
      <c r="CN64" s="420"/>
      <c r="CO64" s="420"/>
      <c r="CP64" s="420"/>
      <c r="CQ64" s="420"/>
      <c r="CR64" s="420"/>
      <c r="CS64" s="420"/>
      <c r="CT64" s="420"/>
      <c r="CU64" s="420"/>
      <c r="CV64" s="420"/>
      <c r="CW64" s="420"/>
      <c r="CX64" s="420"/>
      <c r="CY64" s="420"/>
      <c r="CZ64" s="420"/>
      <c r="DA64" s="420"/>
      <c r="DB64" s="420"/>
      <c r="DC64" s="420"/>
      <c r="DD64" s="420"/>
      <c r="DE64" s="420"/>
      <c r="DF64" s="420"/>
      <c r="DG64" s="420"/>
      <c r="DH64" s="420"/>
      <c r="DI64" s="420"/>
      <c r="DJ64" s="420"/>
      <c r="DK64" s="420"/>
      <c r="DL64" s="420"/>
      <c r="DM64" s="420"/>
      <c r="DN64" s="420"/>
      <c r="DO64" s="420"/>
      <c r="DP64" s="420"/>
      <c r="DQ64" s="420"/>
      <c r="DR64" s="420"/>
      <c r="DS64" s="420"/>
      <c r="DT64" s="420"/>
      <c r="DU64" s="420"/>
      <c r="DV64" s="420"/>
      <c r="DW64" s="420"/>
      <c r="DX64" s="420"/>
      <c r="DY64" s="420"/>
      <c r="DZ64" s="420"/>
      <c r="EA64" s="420"/>
      <c r="EB64" s="420"/>
      <c r="EC64" s="420"/>
      <c r="ED64" s="420"/>
      <c r="EE64" s="420"/>
      <c r="EF64" s="420"/>
      <c r="EG64" s="420"/>
      <c r="EH64" s="420"/>
      <c r="EI64" s="420"/>
      <c r="EJ64" s="420"/>
      <c r="EK64" s="420"/>
      <c r="EL64" s="420"/>
      <c r="EM64" s="420"/>
      <c r="EN64" s="420"/>
      <c r="EO64" s="420"/>
      <c r="EP64" s="420"/>
      <c r="EQ64" s="420"/>
      <c r="ER64" s="420"/>
      <c r="ES64" s="420"/>
      <c r="ET64" s="420"/>
      <c r="EU64" s="420"/>
      <c r="EV64" s="420"/>
      <c r="EW64" s="420"/>
      <c r="EX64" s="420"/>
      <c r="EY64" s="420"/>
      <c r="EZ64" s="420"/>
      <c r="FA64" s="420"/>
      <c r="FB64" s="420"/>
      <c r="FC64" s="420"/>
      <c r="FD64" s="420"/>
      <c r="FE64" s="420"/>
      <c r="FF64" s="420"/>
      <c r="FG64" s="420"/>
      <c r="FH64" s="420"/>
      <c r="FI64" s="420"/>
      <c r="FJ64" s="420"/>
      <c r="FK64" s="420"/>
      <c r="FL64" s="420"/>
      <c r="FM64" s="420"/>
      <c r="FN64" s="420"/>
      <c r="FO64" s="420"/>
      <c r="FP64" s="420"/>
      <c r="FQ64" s="420"/>
      <c r="FR64" s="420"/>
      <c r="FS64" s="420"/>
      <c r="FT64" s="420"/>
      <c r="FU64" s="420"/>
      <c r="FV64" s="420"/>
      <c r="FW64" s="420"/>
      <c r="FX64" s="420"/>
      <c r="FY64" s="420"/>
      <c r="FZ64" s="420"/>
      <c r="GA64" s="420"/>
      <c r="GB64" s="420"/>
      <c r="GC64" s="420"/>
      <c r="GD64" s="420"/>
      <c r="GE64" s="420"/>
      <c r="GF64" s="420"/>
      <c r="GG64" s="420"/>
      <c r="GH64" s="420"/>
      <c r="GI64" s="420"/>
      <c r="GJ64" s="420"/>
      <c r="GK64" s="420"/>
      <c r="GL64" s="420"/>
      <c r="GM64" s="420"/>
      <c r="GN64" s="420"/>
      <c r="GO64" s="420"/>
      <c r="GP64" s="420"/>
      <c r="GQ64" s="420"/>
      <c r="GR64" s="420"/>
      <c r="GS64" s="420"/>
      <c r="GT64" s="420"/>
      <c r="GU64" s="420"/>
      <c r="GV64" s="420"/>
      <c r="GW64" s="420"/>
      <c r="GX64" s="420"/>
      <c r="GY64" s="420"/>
      <c r="GZ64" s="420"/>
      <c r="HA64" s="420"/>
      <c r="HB64" s="420"/>
      <c r="HC64" s="420"/>
      <c r="HD64" s="420"/>
      <c r="HE64" s="420"/>
      <c r="HF64" s="420"/>
      <c r="HG64" s="420"/>
      <c r="HH64" s="420"/>
      <c r="HI64" s="420"/>
      <c r="HJ64" s="420"/>
      <c r="HK64" s="420"/>
      <c r="HL64" s="420"/>
      <c r="HM64" s="420"/>
      <c r="HN64" s="420"/>
      <c r="HO64" s="420"/>
      <c r="HP64" s="420"/>
      <c r="HQ64" s="420"/>
      <c r="HR64" s="420"/>
      <c r="HS64" s="420"/>
      <c r="HT64" s="420"/>
      <c r="HU64" s="420"/>
      <c r="HV64" s="420"/>
      <c r="HW64" s="420"/>
      <c r="HX64" s="420"/>
      <c r="HY64" s="420"/>
      <c r="HZ64" s="420"/>
      <c r="IA64" s="420"/>
      <c r="IB64" s="420"/>
      <c r="IC64" s="420"/>
      <c r="ID64" s="420"/>
      <c r="IE64" s="420"/>
      <c r="IF64" s="420"/>
      <c r="IG64" s="420"/>
      <c r="IH64" s="420"/>
      <c r="II64" s="420"/>
      <c r="IJ64" s="420"/>
      <c r="IK64" s="420"/>
      <c r="IL64" s="420"/>
      <c r="IM64" s="420"/>
      <c r="IN64" s="420"/>
      <c r="IO64" s="420"/>
      <c r="IP64" s="420"/>
      <c r="IQ64" s="420"/>
      <c r="IR64" s="420"/>
      <c r="IS64" s="420"/>
      <c r="IT64" s="420"/>
      <c r="IU64" s="420"/>
      <c r="IV64" s="420"/>
      <c r="IW64" s="420"/>
      <c r="IX64" s="420"/>
      <c r="IY64" s="420"/>
      <c r="IZ64" s="420"/>
      <c r="JA64" s="420"/>
    </row>
    <row r="65" spans="1:261" s="768" customFormat="1" ht="18" customHeight="1" x14ac:dyDescent="0.35">
      <c r="A65" s="783">
        <v>55</v>
      </c>
      <c r="B65" s="776"/>
      <c r="C65" s="422"/>
      <c r="D65" s="1338" t="s">
        <v>963</v>
      </c>
      <c r="E65" s="432"/>
      <c r="F65" s="772"/>
      <c r="G65" s="433"/>
      <c r="H65" s="1009"/>
      <c r="I65" s="1005"/>
      <c r="J65" s="769"/>
      <c r="K65" s="769"/>
      <c r="L65" s="769"/>
      <c r="M65" s="769"/>
      <c r="N65" s="769"/>
      <c r="O65" s="1623">
        <f>SUM(I65:N65)</f>
        <v>0</v>
      </c>
      <c r="P65" s="773"/>
      <c r="Q65" s="420"/>
      <c r="R65" s="420"/>
      <c r="S65" s="420"/>
      <c r="T65" s="420"/>
      <c r="U65" s="420"/>
      <c r="V65" s="420"/>
      <c r="W65" s="420"/>
      <c r="X65" s="420"/>
      <c r="Y65" s="420"/>
      <c r="Z65" s="420"/>
      <c r="AA65" s="420"/>
      <c r="AB65" s="420"/>
      <c r="AC65" s="420"/>
      <c r="AD65" s="420"/>
      <c r="AE65" s="420"/>
      <c r="AF65" s="420"/>
      <c r="AG65" s="420"/>
      <c r="AH65" s="420"/>
      <c r="AI65" s="420"/>
      <c r="AJ65" s="420"/>
      <c r="AK65" s="420"/>
      <c r="AL65" s="420"/>
      <c r="AM65" s="420"/>
      <c r="AN65" s="420"/>
      <c r="AO65" s="420"/>
      <c r="AP65" s="420"/>
      <c r="AQ65" s="420"/>
      <c r="AR65" s="420"/>
      <c r="AS65" s="420"/>
      <c r="AT65" s="420"/>
      <c r="AU65" s="420"/>
      <c r="AV65" s="420"/>
      <c r="AW65" s="420"/>
      <c r="AX65" s="420"/>
      <c r="AY65" s="420"/>
      <c r="AZ65" s="420"/>
      <c r="BA65" s="420"/>
      <c r="BB65" s="420"/>
      <c r="BC65" s="420"/>
      <c r="BD65" s="420"/>
      <c r="BE65" s="420"/>
      <c r="BF65" s="420"/>
      <c r="BG65" s="420"/>
      <c r="BH65" s="420"/>
      <c r="BI65" s="420"/>
      <c r="BJ65" s="420"/>
      <c r="BK65" s="420"/>
      <c r="BL65" s="420"/>
      <c r="BM65" s="420"/>
      <c r="BN65" s="420"/>
      <c r="BO65" s="420"/>
      <c r="BP65" s="420"/>
      <c r="BQ65" s="420"/>
      <c r="BR65" s="420"/>
      <c r="BS65" s="420"/>
      <c r="BT65" s="420"/>
      <c r="BU65" s="420"/>
      <c r="BV65" s="420"/>
      <c r="BW65" s="420"/>
      <c r="BX65" s="420"/>
      <c r="BY65" s="420"/>
      <c r="BZ65" s="420"/>
      <c r="CA65" s="420"/>
      <c r="CB65" s="420"/>
      <c r="CC65" s="420"/>
      <c r="CD65" s="420"/>
      <c r="CE65" s="420"/>
      <c r="CF65" s="420"/>
      <c r="CG65" s="420"/>
      <c r="CH65" s="420"/>
      <c r="CI65" s="420"/>
      <c r="CJ65" s="420"/>
      <c r="CK65" s="420"/>
      <c r="CL65" s="420"/>
      <c r="CM65" s="420"/>
      <c r="CN65" s="420"/>
      <c r="CO65" s="420"/>
      <c r="CP65" s="420"/>
      <c r="CQ65" s="420"/>
      <c r="CR65" s="420"/>
      <c r="CS65" s="420"/>
      <c r="CT65" s="420"/>
      <c r="CU65" s="420"/>
      <c r="CV65" s="420"/>
      <c r="CW65" s="420"/>
      <c r="CX65" s="420"/>
      <c r="CY65" s="420"/>
      <c r="CZ65" s="420"/>
      <c r="DA65" s="420"/>
      <c r="DB65" s="420"/>
      <c r="DC65" s="420"/>
      <c r="DD65" s="420"/>
      <c r="DE65" s="420"/>
      <c r="DF65" s="420"/>
      <c r="DG65" s="420"/>
      <c r="DH65" s="420"/>
      <c r="DI65" s="420"/>
      <c r="DJ65" s="420"/>
      <c r="DK65" s="420"/>
      <c r="DL65" s="420"/>
      <c r="DM65" s="420"/>
      <c r="DN65" s="420"/>
      <c r="DO65" s="420"/>
      <c r="DP65" s="420"/>
      <c r="DQ65" s="420"/>
      <c r="DR65" s="420"/>
      <c r="DS65" s="420"/>
      <c r="DT65" s="420"/>
      <c r="DU65" s="420"/>
      <c r="DV65" s="420"/>
      <c r="DW65" s="420"/>
      <c r="DX65" s="420"/>
      <c r="DY65" s="420"/>
      <c r="DZ65" s="420"/>
      <c r="EA65" s="420"/>
      <c r="EB65" s="420"/>
      <c r="EC65" s="420"/>
      <c r="ED65" s="420"/>
      <c r="EE65" s="420"/>
      <c r="EF65" s="420"/>
      <c r="EG65" s="420"/>
      <c r="EH65" s="420"/>
      <c r="EI65" s="420"/>
      <c r="EJ65" s="420"/>
      <c r="EK65" s="420"/>
      <c r="EL65" s="420"/>
      <c r="EM65" s="420"/>
      <c r="EN65" s="420"/>
      <c r="EO65" s="420"/>
      <c r="EP65" s="420"/>
      <c r="EQ65" s="420"/>
      <c r="ER65" s="420"/>
      <c r="ES65" s="420"/>
      <c r="ET65" s="420"/>
      <c r="EU65" s="420"/>
      <c r="EV65" s="420"/>
      <c r="EW65" s="420"/>
      <c r="EX65" s="420"/>
      <c r="EY65" s="420"/>
      <c r="EZ65" s="420"/>
      <c r="FA65" s="420"/>
      <c r="FB65" s="420"/>
      <c r="FC65" s="420"/>
      <c r="FD65" s="420"/>
      <c r="FE65" s="420"/>
      <c r="FF65" s="420"/>
      <c r="FG65" s="420"/>
      <c r="FH65" s="420"/>
      <c r="FI65" s="420"/>
      <c r="FJ65" s="420"/>
      <c r="FK65" s="420"/>
      <c r="FL65" s="420"/>
      <c r="FM65" s="420"/>
      <c r="FN65" s="420"/>
      <c r="FO65" s="420"/>
      <c r="FP65" s="420"/>
      <c r="FQ65" s="420"/>
      <c r="FR65" s="420"/>
      <c r="FS65" s="420"/>
      <c r="FT65" s="420"/>
      <c r="FU65" s="420"/>
      <c r="FV65" s="420"/>
      <c r="FW65" s="420"/>
      <c r="FX65" s="420"/>
      <c r="FY65" s="420"/>
      <c r="FZ65" s="420"/>
      <c r="GA65" s="420"/>
      <c r="GB65" s="420"/>
      <c r="GC65" s="420"/>
      <c r="GD65" s="420"/>
      <c r="GE65" s="420"/>
      <c r="GF65" s="420"/>
      <c r="GG65" s="420"/>
      <c r="GH65" s="420"/>
      <c r="GI65" s="420"/>
      <c r="GJ65" s="420"/>
      <c r="GK65" s="420"/>
      <c r="GL65" s="420"/>
      <c r="GM65" s="420"/>
      <c r="GN65" s="420"/>
      <c r="GO65" s="420"/>
      <c r="GP65" s="420"/>
      <c r="GQ65" s="420"/>
      <c r="GR65" s="420"/>
      <c r="GS65" s="420"/>
      <c r="GT65" s="420"/>
      <c r="GU65" s="420"/>
      <c r="GV65" s="420"/>
      <c r="GW65" s="420"/>
      <c r="GX65" s="420"/>
      <c r="GY65" s="420"/>
      <c r="GZ65" s="420"/>
      <c r="HA65" s="420"/>
      <c r="HB65" s="420"/>
      <c r="HC65" s="420"/>
      <c r="HD65" s="420"/>
      <c r="HE65" s="420"/>
      <c r="HF65" s="420"/>
      <c r="HG65" s="420"/>
      <c r="HH65" s="420"/>
      <c r="HI65" s="420"/>
      <c r="HJ65" s="420"/>
      <c r="HK65" s="420"/>
      <c r="HL65" s="420"/>
      <c r="HM65" s="420"/>
      <c r="HN65" s="420"/>
      <c r="HO65" s="420"/>
      <c r="HP65" s="420"/>
      <c r="HQ65" s="420"/>
      <c r="HR65" s="420"/>
      <c r="HS65" s="420"/>
      <c r="HT65" s="420"/>
      <c r="HU65" s="420"/>
      <c r="HV65" s="420"/>
      <c r="HW65" s="420"/>
      <c r="HX65" s="420"/>
      <c r="HY65" s="420"/>
      <c r="HZ65" s="420"/>
      <c r="IA65" s="420"/>
      <c r="IB65" s="420"/>
      <c r="IC65" s="420"/>
      <c r="ID65" s="420"/>
      <c r="IE65" s="420"/>
      <c r="IF65" s="420"/>
      <c r="IG65" s="420"/>
      <c r="IH65" s="420"/>
      <c r="II65" s="420"/>
      <c r="IJ65" s="420"/>
      <c r="IK65" s="420"/>
      <c r="IL65" s="420"/>
      <c r="IM65" s="420"/>
      <c r="IN65" s="420"/>
      <c r="IO65" s="420"/>
      <c r="IP65" s="420"/>
      <c r="IQ65" s="420"/>
      <c r="IR65" s="420"/>
      <c r="IS65" s="420"/>
      <c r="IT65" s="420"/>
      <c r="IU65" s="420"/>
      <c r="IV65" s="420"/>
      <c r="IW65" s="420"/>
      <c r="IX65" s="420"/>
      <c r="IY65" s="420"/>
      <c r="IZ65" s="420"/>
      <c r="JA65" s="420"/>
    </row>
    <row r="66" spans="1:261" s="768" customFormat="1" ht="18" customHeight="1" x14ac:dyDescent="0.35">
      <c r="A66" s="783">
        <v>56</v>
      </c>
      <c r="B66" s="776"/>
      <c r="C66" s="422"/>
      <c r="D66" s="583" t="s">
        <v>1151</v>
      </c>
      <c r="E66" s="432"/>
      <c r="F66" s="772"/>
      <c r="G66" s="433"/>
      <c r="H66" s="1009"/>
      <c r="I66" s="1005"/>
      <c r="J66" s="769"/>
      <c r="K66" s="769">
        <f>SUM(K64:K65)</f>
        <v>1422</v>
      </c>
      <c r="L66" s="769"/>
      <c r="M66" s="769">
        <f t="shared" ref="M66" si="9">SUM(M64:M65)</f>
        <v>1913358</v>
      </c>
      <c r="N66" s="769"/>
      <c r="O66" s="777">
        <f>SUM(I66:N66)</f>
        <v>1914780</v>
      </c>
      <c r="P66" s="773"/>
      <c r="Q66" s="420"/>
      <c r="R66" s="420"/>
      <c r="S66" s="420"/>
      <c r="T66" s="420"/>
      <c r="U66" s="420"/>
      <c r="V66" s="420"/>
      <c r="W66" s="420"/>
      <c r="X66" s="420"/>
      <c r="Y66" s="420"/>
      <c r="Z66" s="420"/>
      <c r="AA66" s="420"/>
      <c r="AB66" s="420"/>
      <c r="AC66" s="420"/>
      <c r="AD66" s="420"/>
      <c r="AE66" s="420"/>
      <c r="AF66" s="420"/>
      <c r="AG66" s="420"/>
      <c r="AH66" s="420"/>
      <c r="AI66" s="420"/>
      <c r="AJ66" s="420"/>
      <c r="AK66" s="420"/>
      <c r="AL66" s="420"/>
      <c r="AM66" s="420"/>
      <c r="AN66" s="420"/>
      <c r="AO66" s="420"/>
      <c r="AP66" s="420"/>
      <c r="AQ66" s="420"/>
      <c r="AR66" s="420"/>
      <c r="AS66" s="420"/>
      <c r="AT66" s="420"/>
      <c r="AU66" s="420"/>
      <c r="AV66" s="420"/>
      <c r="AW66" s="420"/>
      <c r="AX66" s="420"/>
      <c r="AY66" s="420"/>
      <c r="AZ66" s="420"/>
      <c r="BA66" s="420"/>
      <c r="BB66" s="420"/>
      <c r="BC66" s="420"/>
      <c r="BD66" s="420"/>
      <c r="BE66" s="420"/>
      <c r="BF66" s="420"/>
      <c r="BG66" s="420"/>
      <c r="BH66" s="420"/>
      <c r="BI66" s="420"/>
      <c r="BJ66" s="420"/>
      <c r="BK66" s="420"/>
      <c r="BL66" s="420"/>
      <c r="BM66" s="420"/>
      <c r="BN66" s="420"/>
      <c r="BO66" s="420"/>
      <c r="BP66" s="420"/>
      <c r="BQ66" s="420"/>
      <c r="BR66" s="420"/>
      <c r="BS66" s="420"/>
      <c r="BT66" s="420"/>
      <c r="BU66" s="420"/>
      <c r="BV66" s="420"/>
      <c r="BW66" s="420"/>
      <c r="BX66" s="420"/>
      <c r="BY66" s="420"/>
      <c r="BZ66" s="420"/>
      <c r="CA66" s="420"/>
      <c r="CB66" s="420"/>
      <c r="CC66" s="420"/>
      <c r="CD66" s="420"/>
      <c r="CE66" s="420"/>
      <c r="CF66" s="420"/>
      <c r="CG66" s="420"/>
      <c r="CH66" s="420"/>
      <c r="CI66" s="420"/>
      <c r="CJ66" s="420"/>
      <c r="CK66" s="420"/>
      <c r="CL66" s="420"/>
      <c r="CM66" s="420"/>
      <c r="CN66" s="420"/>
      <c r="CO66" s="420"/>
      <c r="CP66" s="420"/>
      <c r="CQ66" s="420"/>
      <c r="CR66" s="420"/>
      <c r="CS66" s="420"/>
      <c r="CT66" s="420"/>
      <c r="CU66" s="420"/>
      <c r="CV66" s="420"/>
      <c r="CW66" s="420"/>
      <c r="CX66" s="420"/>
      <c r="CY66" s="420"/>
      <c r="CZ66" s="420"/>
      <c r="DA66" s="420"/>
      <c r="DB66" s="420"/>
      <c r="DC66" s="420"/>
      <c r="DD66" s="420"/>
      <c r="DE66" s="420"/>
      <c r="DF66" s="420"/>
      <c r="DG66" s="420"/>
      <c r="DH66" s="420"/>
      <c r="DI66" s="420"/>
      <c r="DJ66" s="420"/>
      <c r="DK66" s="420"/>
      <c r="DL66" s="420"/>
      <c r="DM66" s="420"/>
      <c r="DN66" s="420"/>
      <c r="DO66" s="420"/>
      <c r="DP66" s="420"/>
      <c r="DQ66" s="420"/>
      <c r="DR66" s="420"/>
      <c r="DS66" s="420"/>
      <c r="DT66" s="420"/>
      <c r="DU66" s="420"/>
      <c r="DV66" s="420"/>
      <c r="DW66" s="420"/>
      <c r="DX66" s="420"/>
      <c r="DY66" s="420"/>
      <c r="DZ66" s="420"/>
      <c r="EA66" s="420"/>
      <c r="EB66" s="420"/>
      <c r="EC66" s="420"/>
      <c r="ED66" s="420"/>
      <c r="EE66" s="420"/>
      <c r="EF66" s="420"/>
      <c r="EG66" s="420"/>
      <c r="EH66" s="420"/>
      <c r="EI66" s="420"/>
      <c r="EJ66" s="420"/>
      <c r="EK66" s="420"/>
      <c r="EL66" s="420"/>
      <c r="EM66" s="420"/>
      <c r="EN66" s="420"/>
      <c r="EO66" s="420"/>
      <c r="EP66" s="420"/>
      <c r="EQ66" s="420"/>
      <c r="ER66" s="420"/>
      <c r="ES66" s="420"/>
      <c r="ET66" s="420"/>
      <c r="EU66" s="420"/>
      <c r="EV66" s="420"/>
      <c r="EW66" s="420"/>
      <c r="EX66" s="420"/>
      <c r="EY66" s="420"/>
      <c r="EZ66" s="420"/>
      <c r="FA66" s="420"/>
      <c r="FB66" s="420"/>
      <c r="FC66" s="420"/>
      <c r="FD66" s="420"/>
      <c r="FE66" s="420"/>
      <c r="FF66" s="420"/>
      <c r="FG66" s="420"/>
      <c r="FH66" s="420"/>
      <c r="FI66" s="420"/>
      <c r="FJ66" s="420"/>
      <c r="FK66" s="420"/>
      <c r="FL66" s="420"/>
      <c r="FM66" s="420"/>
      <c r="FN66" s="420"/>
      <c r="FO66" s="420"/>
      <c r="FP66" s="420"/>
      <c r="FQ66" s="420"/>
      <c r="FR66" s="420"/>
      <c r="FS66" s="420"/>
      <c r="FT66" s="420"/>
      <c r="FU66" s="420"/>
      <c r="FV66" s="420"/>
      <c r="FW66" s="420"/>
      <c r="FX66" s="420"/>
      <c r="FY66" s="420"/>
      <c r="FZ66" s="420"/>
      <c r="GA66" s="420"/>
      <c r="GB66" s="420"/>
      <c r="GC66" s="420"/>
      <c r="GD66" s="420"/>
      <c r="GE66" s="420"/>
      <c r="GF66" s="420"/>
      <c r="GG66" s="420"/>
      <c r="GH66" s="420"/>
      <c r="GI66" s="420"/>
      <c r="GJ66" s="420"/>
      <c r="GK66" s="420"/>
      <c r="GL66" s="420"/>
      <c r="GM66" s="420"/>
      <c r="GN66" s="420"/>
      <c r="GO66" s="420"/>
      <c r="GP66" s="420"/>
      <c r="GQ66" s="420"/>
      <c r="GR66" s="420"/>
      <c r="GS66" s="420"/>
      <c r="GT66" s="420"/>
      <c r="GU66" s="420"/>
      <c r="GV66" s="420"/>
      <c r="GW66" s="420"/>
      <c r="GX66" s="420"/>
      <c r="GY66" s="420"/>
      <c r="GZ66" s="420"/>
      <c r="HA66" s="420"/>
      <c r="HB66" s="420"/>
      <c r="HC66" s="420"/>
      <c r="HD66" s="420"/>
      <c r="HE66" s="420"/>
      <c r="HF66" s="420"/>
      <c r="HG66" s="420"/>
      <c r="HH66" s="420"/>
      <c r="HI66" s="420"/>
      <c r="HJ66" s="420"/>
      <c r="HK66" s="420"/>
      <c r="HL66" s="420"/>
      <c r="HM66" s="420"/>
      <c r="HN66" s="420"/>
      <c r="HO66" s="420"/>
      <c r="HP66" s="420"/>
      <c r="HQ66" s="420"/>
      <c r="HR66" s="420"/>
      <c r="HS66" s="420"/>
      <c r="HT66" s="420"/>
      <c r="HU66" s="420"/>
      <c r="HV66" s="420"/>
      <c r="HW66" s="420"/>
      <c r="HX66" s="420"/>
      <c r="HY66" s="420"/>
      <c r="HZ66" s="420"/>
      <c r="IA66" s="420"/>
      <c r="IB66" s="420"/>
      <c r="IC66" s="420"/>
      <c r="ID66" s="420"/>
      <c r="IE66" s="420"/>
      <c r="IF66" s="420"/>
      <c r="IG66" s="420"/>
      <c r="IH66" s="420"/>
      <c r="II66" s="420"/>
      <c r="IJ66" s="420"/>
      <c r="IK66" s="420"/>
      <c r="IL66" s="420"/>
      <c r="IM66" s="420"/>
      <c r="IN66" s="420"/>
      <c r="IO66" s="420"/>
      <c r="IP66" s="420"/>
      <c r="IQ66" s="420"/>
      <c r="IR66" s="420"/>
      <c r="IS66" s="420"/>
      <c r="IT66" s="420"/>
      <c r="IU66" s="420"/>
      <c r="IV66" s="420"/>
      <c r="IW66" s="420"/>
      <c r="IX66" s="420"/>
      <c r="IY66" s="420"/>
      <c r="IZ66" s="420"/>
      <c r="JA66" s="420"/>
    </row>
    <row r="67" spans="1:261" ht="33" x14ac:dyDescent="0.35">
      <c r="A67" s="783">
        <v>57</v>
      </c>
      <c r="B67" s="625"/>
      <c r="C67" s="422">
        <v>12</v>
      </c>
      <c r="D67" s="1152" t="s">
        <v>1040</v>
      </c>
      <c r="E67" s="432"/>
      <c r="F67" s="772"/>
      <c r="G67" s="433"/>
      <c r="H67" s="1009" t="s">
        <v>24</v>
      </c>
      <c r="I67" s="1027"/>
      <c r="J67" s="1023"/>
      <c r="K67" s="1023"/>
      <c r="L67" s="1023"/>
      <c r="M67" s="1023"/>
      <c r="N67" s="1023"/>
      <c r="O67" s="992"/>
      <c r="P67" s="773"/>
    </row>
    <row r="68" spans="1:261" s="768" customFormat="1" ht="18" customHeight="1" x14ac:dyDescent="0.35">
      <c r="A68" s="783">
        <v>58</v>
      </c>
      <c r="B68" s="776"/>
      <c r="C68" s="466"/>
      <c r="D68" s="1002" t="s">
        <v>311</v>
      </c>
      <c r="E68" s="432">
        <f>F68+G68+O71+P71+6000</f>
        <v>240000</v>
      </c>
      <c r="F68" s="772">
        <v>9749</v>
      </c>
      <c r="G68" s="433">
        <f>2883+952</f>
        <v>3835</v>
      </c>
      <c r="H68" s="1009"/>
      <c r="I68" s="1027"/>
      <c r="J68" s="1023"/>
      <c r="K68" s="1023">
        <v>3015</v>
      </c>
      <c r="L68" s="1023"/>
      <c r="M68" s="1023">
        <f>12000+205401</f>
        <v>217401</v>
      </c>
      <c r="N68" s="1023"/>
      <c r="O68" s="992">
        <f>SUM(I68:N68)</f>
        <v>220416</v>
      </c>
      <c r="P68" s="773"/>
      <c r="Q68" s="420"/>
      <c r="R68" s="420"/>
      <c r="S68" s="420"/>
      <c r="T68" s="420"/>
      <c r="U68" s="420"/>
      <c r="V68" s="420"/>
      <c r="W68" s="420"/>
      <c r="X68" s="420"/>
      <c r="Y68" s="420"/>
      <c r="Z68" s="420"/>
      <c r="AA68" s="420"/>
      <c r="AB68" s="420"/>
      <c r="AC68" s="420"/>
      <c r="AD68" s="420"/>
      <c r="AE68" s="420"/>
      <c r="AF68" s="420"/>
      <c r="AG68" s="420"/>
      <c r="AH68" s="420"/>
      <c r="AI68" s="420"/>
      <c r="AJ68" s="420"/>
      <c r="AK68" s="420"/>
      <c r="AL68" s="420"/>
      <c r="AM68" s="420"/>
      <c r="AN68" s="420"/>
      <c r="AO68" s="420"/>
      <c r="AP68" s="420"/>
      <c r="AQ68" s="420"/>
      <c r="AR68" s="420"/>
      <c r="AS68" s="420"/>
      <c r="AT68" s="420"/>
      <c r="AU68" s="420"/>
      <c r="AV68" s="420"/>
      <c r="AW68" s="420"/>
      <c r="AX68" s="420"/>
      <c r="AY68" s="420"/>
      <c r="AZ68" s="420"/>
      <c r="BA68" s="420"/>
      <c r="BB68" s="420"/>
      <c r="BC68" s="420"/>
      <c r="BD68" s="420"/>
      <c r="BE68" s="420"/>
      <c r="BF68" s="420"/>
      <c r="BG68" s="420"/>
      <c r="BH68" s="420"/>
      <c r="BI68" s="420"/>
      <c r="BJ68" s="420"/>
      <c r="BK68" s="420"/>
      <c r="BL68" s="420"/>
      <c r="BM68" s="420"/>
      <c r="BN68" s="420"/>
      <c r="BO68" s="420"/>
      <c r="BP68" s="420"/>
      <c r="BQ68" s="420"/>
      <c r="BR68" s="420"/>
      <c r="BS68" s="420"/>
      <c r="BT68" s="420"/>
      <c r="BU68" s="420"/>
      <c r="BV68" s="420"/>
      <c r="BW68" s="420"/>
      <c r="BX68" s="420"/>
      <c r="BY68" s="420"/>
      <c r="BZ68" s="420"/>
      <c r="CA68" s="420"/>
      <c r="CB68" s="420"/>
      <c r="CC68" s="420"/>
      <c r="CD68" s="420"/>
      <c r="CE68" s="420"/>
      <c r="CF68" s="420"/>
      <c r="CG68" s="420"/>
      <c r="CH68" s="420"/>
      <c r="CI68" s="420"/>
      <c r="CJ68" s="420"/>
      <c r="CK68" s="420"/>
      <c r="CL68" s="420"/>
      <c r="CM68" s="420"/>
      <c r="CN68" s="420"/>
      <c r="CO68" s="420"/>
      <c r="CP68" s="420"/>
      <c r="CQ68" s="420"/>
      <c r="CR68" s="420"/>
      <c r="CS68" s="420"/>
      <c r="CT68" s="420"/>
      <c r="CU68" s="420"/>
      <c r="CV68" s="420"/>
      <c r="CW68" s="420"/>
      <c r="CX68" s="420"/>
      <c r="CY68" s="420"/>
      <c r="CZ68" s="420"/>
      <c r="DA68" s="420"/>
      <c r="DB68" s="420"/>
      <c r="DC68" s="420"/>
      <c r="DD68" s="420"/>
      <c r="DE68" s="420"/>
      <c r="DF68" s="420"/>
      <c r="DG68" s="420"/>
      <c r="DH68" s="420"/>
      <c r="DI68" s="420"/>
      <c r="DJ68" s="420"/>
      <c r="DK68" s="420"/>
      <c r="DL68" s="420"/>
      <c r="DM68" s="420"/>
      <c r="DN68" s="420"/>
      <c r="DO68" s="420"/>
      <c r="DP68" s="420"/>
      <c r="DQ68" s="420"/>
      <c r="DR68" s="420"/>
      <c r="DS68" s="420"/>
      <c r="DT68" s="420"/>
      <c r="DU68" s="420"/>
      <c r="DV68" s="420"/>
      <c r="DW68" s="420"/>
      <c r="DX68" s="420"/>
      <c r="DY68" s="420"/>
      <c r="DZ68" s="420"/>
      <c r="EA68" s="420"/>
      <c r="EB68" s="420"/>
      <c r="EC68" s="420"/>
      <c r="ED68" s="420"/>
      <c r="EE68" s="420"/>
      <c r="EF68" s="420"/>
      <c r="EG68" s="420"/>
      <c r="EH68" s="420"/>
      <c r="EI68" s="420"/>
      <c r="EJ68" s="420"/>
      <c r="EK68" s="420"/>
      <c r="EL68" s="420"/>
      <c r="EM68" s="420"/>
      <c r="EN68" s="420"/>
      <c r="EO68" s="420"/>
      <c r="EP68" s="420"/>
      <c r="EQ68" s="420"/>
      <c r="ER68" s="420"/>
      <c r="ES68" s="420"/>
      <c r="ET68" s="420"/>
      <c r="EU68" s="420"/>
      <c r="EV68" s="420"/>
      <c r="EW68" s="420"/>
      <c r="EX68" s="420"/>
      <c r="EY68" s="420"/>
      <c r="EZ68" s="420"/>
      <c r="FA68" s="420"/>
      <c r="FB68" s="420"/>
      <c r="FC68" s="420"/>
      <c r="FD68" s="420"/>
      <c r="FE68" s="420"/>
      <c r="FF68" s="420"/>
      <c r="FG68" s="420"/>
      <c r="FH68" s="420"/>
      <c r="FI68" s="420"/>
      <c r="FJ68" s="420"/>
      <c r="FK68" s="420"/>
      <c r="FL68" s="420"/>
      <c r="FM68" s="420"/>
      <c r="FN68" s="420"/>
      <c r="FO68" s="420"/>
      <c r="FP68" s="420"/>
      <c r="FQ68" s="420"/>
      <c r="FR68" s="420"/>
      <c r="FS68" s="420"/>
      <c r="FT68" s="420"/>
      <c r="FU68" s="420"/>
      <c r="FV68" s="420"/>
      <c r="FW68" s="420"/>
      <c r="FX68" s="420"/>
      <c r="FY68" s="420"/>
      <c r="FZ68" s="420"/>
      <c r="GA68" s="420"/>
      <c r="GB68" s="420"/>
      <c r="GC68" s="420"/>
      <c r="GD68" s="420"/>
      <c r="GE68" s="420"/>
      <c r="GF68" s="420"/>
      <c r="GG68" s="420"/>
      <c r="GH68" s="420"/>
      <c r="GI68" s="420"/>
      <c r="GJ68" s="420"/>
      <c r="GK68" s="420"/>
      <c r="GL68" s="420"/>
      <c r="GM68" s="420"/>
      <c r="GN68" s="420"/>
      <c r="GO68" s="420"/>
      <c r="GP68" s="420"/>
      <c r="GQ68" s="420"/>
      <c r="GR68" s="420"/>
      <c r="GS68" s="420"/>
      <c r="GT68" s="420"/>
      <c r="GU68" s="420"/>
      <c r="GV68" s="420"/>
      <c r="GW68" s="420"/>
      <c r="GX68" s="420"/>
      <c r="GY68" s="420"/>
      <c r="GZ68" s="420"/>
      <c r="HA68" s="420"/>
      <c r="HB68" s="420"/>
      <c r="HC68" s="420"/>
      <c r="HD68" s="420"/>
      <c r="HE68" s="420"/>
      <c r="HF68" s="420"/>
      <c r="HG68" s="420"/>
      <c r="HH68" s="420"/>
      <c r="HI68" s="420"/>
      <c r="HJ68" s="420"/>
      <c r="HK68" s="420"/>
      <c r="HL68" s="420"/>
      <c r="HM68" s="420"/>
      <c r="HN68" s="420"/>
      <c r="HO68" s="420"/>
      <c r="HP68" s="420"/>
      <c r="HQ68" s="420"/>
      <c r="HR68" s="420"/>
      <c r="HS68" s="420"/>
      <c r="HT68" s="420"/>
      <c r="HU68" s="420"/>
      <c r="HV68" s="420"/>
      <c r="HW68" s="420"/>
      <c r="HX68" s="420"/>
      <c r="HY68" s="420"/>
      <c r="HZ68" s="420"/>
      <c r="IA68" s="420"/>
      <c r="IB68" s="420"/>
      <c r="IC68" s="420"/>
      <c r="ID68" s="420"/>
      <c r="IE68" s="420"/>
      <c r="IF68" s="420"/>
      <c r="IG68" s="420"/>
      <c r="IH68" s="420"/>
      <c r="II68" s="420"/>
      <c r="IJ68" s="420"/>
      <c r="IK68" s="420"/>
      <c r="IL68" s="420"/>
      <c r="IM68" s="420"/>
      <c r="IN68" s="420"/>
      <c r="IO68" s="420"/>
      <c r="IP68" s="420"/>
      <c r="IQ68" s="420"/>
      <c r="IR68" s="420"/>
      <c r="IS68" s="420"/>
      <c r="IT68" s="420"/>
      <c r="IU68" s="420"/>
      <c r="IV68" s="420"/>
      <c r="IW68" s="420"/>
      <c r="IX68" s="420"/>
      <c r="IY68" s="420"/>
      <c r="IZ68" s="420"/>
      <c r="JA68" s="420"/>
    </row>
    <row r="69" spans="1:261" s="768" customFormat="1" ht="18" customHeight="1" x14ac:dyDescent="0.35">
      <c r="A69" s="783">
        <v>59</v>
      </c>
      <c r="B69" s="776"/>
      <c r="C69" s="466"/>
      <c r="D69" s="583" t="s">
        <v>1072</v>
      </c>
      <c r="E69" s="432"/>
      <c r="F69" s="772"/>
      <c r="G69" s="433"/>
      <c r="H69" s="1009"/>
      <c r="I69" s="1027"/>
      <c r="J69" s="1023"/>
      <c r="K69" s="769">
        <v>3015</v>
      </c>
      <c r="L69" s="769"/>
      <c r="M69" s="769">
        <v>217401</v>
      </c>
      <c r="N69" s="1023"/>
      <c r="O69" s="777">
        <f>SUM(I69:N69)</f>
        <v>220416</v>
      </c>
      <c r="P69" s="773"/>
      <c r="Q69" s="420"/>
      <c r="R69" s="420"/>
      <c r="S69" s="420"/>
      <c r="T69" s="420"/>
      <c r="U69" s="420"/>
      <c r="V69" s="420"/>
      <c r="W69" s="420"/>
      <c r="X69" s="420"/>
      <c r="Y69" s="420"/>
      <c r="Z69" s="420"/>
      <c r="AA69" s="420"/>
      <c r="AB69" s="420"/>
      <c r="AC69" s="420"/>
      <c r="AD69" s="420"/>
      <c r="AE69" s="420"/>
      <c r="AF69" s="420"/>
      <c r="AG69" s="420"/>
      <c r="AH69" s="420"/>
      <c r="AI69" s="420"/>
      <c r="AJ69" s="420"/>
      <c r="AK69" s="420"/>
      <c r="AL69" s="420"/>
      <c r="AM69" s="420"/>
      <c r="AN69" s="420"/>
      <c r="AO69" s="420"/>
      <c r="AP69" s="420"/>
      <c r="AQ69" s="420"/>
      <c r="AR69" s="420"/>
      <c r="AS69" s="420"/>
      <c r="AT69" s="420"/>
      <c r="AU69" s="420"/>
      <c r="AV69" s="420"/>
      <c r="AW69" s="420"/>
      <c r="AX69" s="420"/>
      <c r="AY69" s="420"/>
      <c r="AZ69" s="420"/>
      <c r="BA69" s="420"/>
      <c r="BB69" s="420"/>
      <c r="BC69" s="420"/>
      <c r="BD69" s="420"/>
      <c r="BE69" s="420"/>
      <c r="BF69" s="420"/>
      <c r="BG69" s="420"/>
      <c r="BH69" s="420"/>
      <c r="BI69" s="420"/>
      <c r="BJ69" s="420"/>
      <c r="BK69" s="420"/>
      <c r="BL69" s="420"/>
      <c r="BM69" s="420"/>
      <c r="BN69" s="420"/>
      <c r="BO69" s="420"/>
      <c r="BP69" s="420"/>
      <c r="BQ69" s="420"/>
      <c r="BR69" s="420"/>
      <c r="BS69" s="420"/>
      <c r="BT69" s="420"/>
      <c r="BU69" s="420"/>
      <c r="BV69" s="420"/>
      <c r="BW69" s="420"/>
      <c r="BX69" s="420"/>
      <c r="BY69" s="420"/>
      <c r="BZ69" s="420"/>
      <c r="CA69" s="420"/>
      <c r="CB69" s="420"/>
      <c r="CC69" s="420"/>
      <c r="CD69" s="420"/>
      <c r="CE69" s="420"/>
      <c r="CF69" s="420"/>
      <c r="CG69" s="420"/>
      <c r="CH69" s="420"/>
      <c r="CI69" s="420"/>
      <c r="CJ69" s="420"/>
      <c r="CK69" s="420"/>
      <c r="CL69" s="420"/>
      <c r="CM69" s="420"/>
      <c r="CN69" s="420"/>
      <c r="CO69" s="420"/>
      <c r="CP69" s="420"/>
      <c r="CQ69" s="420"/>
      <c r="CR69" s="420"/>
      <c r="CS69" s="420"/>
      <c r="CT69" s="420"/>
      <c r="CU69" s="420"/>
      <c r="CV69" s="420"/>
      <c r="CW69" s="420"/>
      <c r="CX69" s="420"/>
      <c r="CY69" s="420"/>
      <c r="CZ69" s="420"/>
      <c r="DA69" s="420"/>
      <c r="DB69" s="420"/>
      <c r="DC69" s="420"/>
      <c r="DD69" s="420"/>
      <c r="DE69" s="420"/>
      <c r="DF69" s="420"/>
      <c r="DG69" s="420"/>
      <c r="DH69" s="420"/>
      <c r="DI69" s="420"/>
      <c r="DJ69" s="420"/>
      <c r="DK69" s="420"/>
      <c r="DL69" s="420"/>
      <c r="DM69" s="420"/>
      <c r="DN69" s="420"/>
      <c r="DO69" s="420"/>
      <c r="DP69" s="420"/>
      <c r="DQ69" s="420"/>
      <c r="DR69" s="420"/>
      <c r="DS69" s="420"/>
      <c r="DT69" s="420"/>
      <c r="DU69" s="420"/>
      <c r="DV69" s="420"/>
      <c r="DW69" s="420"/>
      <c r="DX69" s="420"/>
      <c r="DY69" s="420"/>
      <c r="DZ69" s="420"/>
      <c r="EA69" s="420"/>
      <c r="EB69" s="420"/>
      <c r="EC69" s="420"/>
      <c r="ED69" s="420"/>
      <c r="EE69" s="420"/>
      <c r="EF69" s="420"/>
      <c r="EG69" s="420"/>
      <c r="EH69" s="420"/>
      <c r="EI69" s="420"/>
      <c r="EJ69" s="420"/>
      <c r="EK69" s="420"/>
      <c r="EL69" s="420"/>
      <c r="EM69" s="420"/>
      <c r="EN69" s="420"/>
      <c r="EO69" s="420"/>
      <c r="EP69" s="420"/>
      <c r="EQ69" s="420"/>
      <c r="ER69" s="420"/>
      <c r="ES69" s="420"/>
      <c r="ET69" s="420"/>
      <c r="EU69" s="420"/>
      <c r="EV69" s="420"/>
      <c r="EW69" s="420"/>
      <c r="EX69" s="420"/>
      <c r="EY69" s="420"/>
      <c r="EZ69" s="420"/>
      <c r="FA69" s="420"/>
      <c r="FB69" s="420"/>
      <c r="FC69" s="420"/>
      <c r="FD69" s="420"/>
      <c r="FE69" s="420"/>
      <c r="FF69" s="420"/>
      <c r="FG69" s="420"/>
      <c r="FH69" s="420"/>
      <c r="FI69" s="420"/>
      <c r="FJ69" s="420"/>
      <c r="FK69" s="420"/>
      <c r="FL69" s="420"/>
      <c r="FM69" s="420"/>
      <c r="FN69" s="420"/>
      <c r="FO69" s="420"/>
      <c r="FP69" s="420"/>
      <c r="FQ69" s="420"/>
      <c r="FR69" s="420"/>
      <c r="FS69" s="420"/>
      <c r="FT69" s="420"/>
      <c r="FU69" s="420"/>
      <c r="FV69" s="420"/>
      <c r="FW69" s="420"/>
      <c r="FX69" s="420"/>
      <c r="FY69" s="420"/>
      <c r="FZ69" s="420"/>
      <c r="GA69" s="420"/>
      <c r="GB69" s="420"/>
      <c r="GC69" s="420"/>
      <c r="GD69" s="420"/>
      <c r="GE69" s="420"/>
      <c r="GF69" s="420"/>
      <c r="GG69" s="420"/>
      <c r="GH69" s="420"/>
      <c r="GI69" s="420"/>
      <c r="GJ69" s="420"/>
      <c r="GK69" s="420"/>
      <c r="GL69" s="420"/>
      <c r="GM69" s="420"/>
      <c r="GN69" s="420"/>
      <c r="GO69" s="420"/>
      <c r="GP69" s="420"/>
      <c r="GQ69" s="420"/>
      <c r="GR69" s="420"/>
      <c r="GS69" s="420"/>
      <c r="GT69" s="420"/>
      <c r="GU69" s="420"/>
      <c r="GV69" s="420"/>
      <c r="GW69" s="420"/>
      <c r="GX69" s="420"/>
      <c r="GY69" s="420"/>
      <c r="GZ69" s="420"/>
      <c r="HA69" s="420"/>
      <c r="HB69" s="420"/>
      <c r="HC69" s="420"/>
      <c r="HD69" s="420"/>
      <c r="HE69" s="420"/>
      <c r="HF69" s="420"/>
      <c r="HG69" s="420"/>
      <c r="HH69" s="420"/>
      <c r="HI69" s="420"/>
      <c r="HJ69" s="420"/>
      <c r="HK69" s="420"/>
      <c r="HL69" s="420"/>
      <c r="HM69" s="420"/>
      <c r="HN69" s="420"/>
      <c r="HO69" s="420"/>
      <c r="HP69" s="420"/>
      <c r="HQ69" s="420"/>
      <c r="HR69" s="420"/>
      <c r="HS69" s="420"/>
      <c r="HT69" s="420"/>
      <c r="HU69" s="420"/>
      <c r="HV69" s="420"/>
      <c r="HW69" s="420"/>
      <c r="HX69" s="420"/>
      <c r="HY69" s="420"/>
      <c r="HZ69" s="420"/>
      <c r="IA69" s="420"/>
      <c r="IB69" s="420"/>
      <c r="IC69" s="420"/>
      <c r="ID69" s="420"/>
      <c r="IE69" s="420"/>
      <c r="IF69" s="420"/>
      <c r="IG69" s="420"/>
      <c r="IH69" s="420"/>
      <c r="II69" s="420"/>
      <c r="IJ69" s="420"/>
      <c r="IK69" s="420"/>
      <c r="IL69" s="420"/>
      <c r="IM69" s="420"/>
      <c r="IN69" s="420"/>
      <c r="IO69" s="420"/>
      <c r="IP69" s="420"/>
      <c r="IQ69" s="420"/>
      <c r="IR69" s="420"/>
      <c r="IS69" s="420"/>
      <c r="IT69" s="420"/>
      <c r="IU69" s="420"/>
      <c r="IV69" s="420"/>
      <c r="IW69" s="420"/>
      <c r="IX69" s="420"/>
      <c r="IY69" s="420"/>
      <c r="IZ69" s="420"/>
      <c r="JA69" s="420"/>
    </row>
    <row r="70" spans="1:261" s="768" customFormat="1" ht="18" customHeight="1" x14ac:dyDescent="0.35">
      <c r="A70" s="783">
        <v>60</v>
      </c>
      <c r="B70" s="776"/>
      <c r="C70" s="466"/>
      <c r="D70" s="1338" t="s">
        <v>963</v>
      </c>
      <c r="E70" s="432"/>
      <c r="F70" s="772"/>
      <c r="G70" s="433"/>
      <c r="H70" s="1009"/>
      <c r="I70" s="1005"/>
      <c r="J70" s="769"/>
      <c r="K70" s="769"/>
      <c r="L70" s="769"/>
      <c r="M70" s="769"/>
      <c r="N70" s="769"/>
      <c r="O70" s="1623">
        <f>SUM(I70:N70)</f>
        <v>0</v>
      </c>
      <c r="P70" s="773"/>
      <c r="Q70" s="420"/>
      <c r="R70" s="420"/>
      <c r="S70" s="420"/>
      <c r="T70" s="420"/>
      <c r="U70" s="420"/>
      <c r="V70" s="420"/>
      <c r="W70" s="420"/>
      <c r="X70" s="420"/>
      <c r="Y70" s="420"/>
      <c r="Z70" s="420"/>
      <c r="AA70" s="420"/>
      <c r="AB70" s="420"/>
      <c r="AC70" s="420"/>
      <c r="AD70" s="420"/>
      <c r="AE70" s="420"/>
      <c r="AF70" s="420"/>
      <c r="AG70" s="420"/>
      <c r="AH70" s="420"/>
      <c r="AI70" s="420"/>
      <c r="AJ70" s="420"/>
      <c r="AK70" s="420"/>
      <c r="AL70" s="420"/>
      <c r="AM70" s="420"/>
      <c r="AN70" s="420"/>
      <c r="AO70" s="420"/>
      <c r="AP70" s="420"/>
      <c r="AQ70" s="420"/>
      <c r="AR70" s="420"/>
      <c r="AS70" s="420"/>
      <c r="AT70" s="420"/>
      <c r="AU70" s="420"/>
      <c r="AV70" s="420"/>
      <c r="AW70" s="420"/>
      <c r="AX70" s="420"/>
      <c r="AY70" s="420"/>
      <c r="AZ70" s="420"/>
      <c r="BA70" s="420"/>
      <c r="BB70" s="420"/>
      <c r="BC70" s="420"/>
      <c r="BD70" s="420"/>
      <c r="BE70" s="420"/>
      <c r="BF70" s="420"/>
      <c r="BG70" s="420"/>
      <c r="BH70" s="420"/>
      <c r="BI70" s="420"/>
      <c r="BJ70" s="420"/>
      <c r="BK70" s="420"/>
      <c r="BL70" s="420"/>
      <c r="BM70" s="420"/>
      <c r="BN70" s="420"/>
      <c r="BO70" s="420"/>
      <c r="BP70" s="420"/>
      <c r="BQ70" s="420"/>
      <c r="BR70" s="420"/>
      <c r="BS70" s="420"/>
      <c r="BT70" s="420"/>
      <c r="BU70" s="420"/>
      <c r="BV70" s="420"/>
      <c r="BW70" s="420"/>
      <c r="BX70" s="420"/>
      <c r="BY70" s="420"/>
      <c r="BZ70" s="420"/>
      <c r="CA70" s="420"/>
      <c r="CB70" s="420"/>
      <c r="CC70" s="420"/>
      <c r="CD70" s="420"/>
      <c r="CE70" s="420"/>
      <c r="CF70" s="420"/>
      <c r="CG70" s="420"/>
      <c r="CH70" s="420"/>
      <c r="CI70" s="420"/>
      <c r="CJ70" s="420"/>
      <c r="CK70" s="420"/>
      <c r="CL70" s="420"/>
      <c r="CM70" s="420"/>
      <c r="CN70" s="420"/>
      <c r="CO70" s="420"/>
      <c r="CP70" s="420"/>
      <c r="CQ70" s="420"/>
      <c r="CR70" s="420"/>
      <c r="CS70" s="420"/>
      <c r="CT70" s="420"/>
      <c r="CU70" s="420"/>
      <c r="CV70" s="420"/>
      <c r="CW70" s="420"/>
      <c r="CX70" s="420"/>
      <c r="CY70" s="420"/>
      <c r="CZ70" s="420"/>
      <c r="DA70" s="420"/>
      <c r="DB70" s="420"/>
      <c r="DC70" s="420"/>
      <c r="DD70" s="420"/>
      <c r="DE70" s="420"/>
      <c r="DF70" s="420"/>
      <c r="DG70" s="420"/>
      <c r="DH70" s="420"/>
      <c r="DI70" s="420"/>
      <c r="DJ70" s="420"/>
      <c r="DK70" s="420"/>
      <c r="DL70" s="420"/>
      <c r="DM70" s="420"/>
      <c r="DN70" s="420"/>
      <c r="DO70" s="420"/>
      <c r="DP70" s="420"/>
      <c r="DQ70" s="420"/>
      <c r="DR70" s="420"/>
      <c r="DS70" s="420"/>
      <c r="DT70" s="420"/>
      <c r="DU70" s="420"/>
      <c r="DV70" s="420"/>
      <c r="DW70" s="420"/>
      <c r="DX70" s="420"/>
      <c r="DY70" s="420"/>
      <c r="DZ70" s="420"/>
      <c r="EA70" s="420"/>
      <c r="EB70" s="420"/>
      <c r="EC70" s="420"/>
      <c r="ED70" s="420"/>
      <c r="EE70" s="420"/>
      <c r="EF70" s="420"/>
      <c r="EG70" s="420"/>
      <c r="EH70" s="420"/>
      <c r="EI70" s="420"/>
      <c r="EJ70" s="420"/>
      <c r="EK70" s="420"/>
      <c r="EL70" s="420"/>
      <c r="EM70" s="420"/>
      <c r="EN70" s="420"/>
      <c r="EO70" s="420"/>
      <c r="EP70" s="420"/>
      <c r="EQ70" s="420"/>
      <c r="ER70" s="420"/>
      <c r="ES70" s="420"/>
      <c r="ET70" s="420"/>
      <c r="EU70" s="420"/>
      <c r="EV70" s="420"/>
      <c r="EW70" s="420"/>
      <c r="EX70" s="420"/>
      <c r="EY70" s="420"/>
      <c r="EZ70" s="420"/>
      <c r="FA70" s="420"/>
      <c r="FB70" s="420"/>
      <c r="FC70" s="420"/>
      <c r="FD70" s="420"/>
      <c r="FE70" s="420"/>
      <c r="FF70" s="420"/>
      <c r="FG70" s="420"/>
      <c r="FH70" s="420"/>
      <c r="FI70" s="420"/>
      <c r="FJ70" s="420"/>
      <c r="FK70" s="420"/>
      <c r="FL70" s="420"/>
      <c r="FM70" s="420"/>
      <c r="FN70" s="420"/>
      <c r="FO70" s="420"/>
      <c r="FP70" s="420"/>
      <c r="FQ70" s="420"/>
      <c r="FR70" s="420"/>
      <c r="FS70" s="420"/>
      <c r="FT70" s="420"/>
      <c r="FU70" s="420"/>
      <c r="FV70" s="420"/>
      <c r="FW70" s="420"/>
      <c r="FX70" s="420"/>
      <c r="FY70" s="420"/>
      <c r="FZ70" s="420"/>
      <c r="GA70" s="420"/>
      <c r="GB70" s="420"/>
      <c r="GC70" s="420"/>
      <c r="GD70" s="420"/>
      <c r="GE70" s="420"/>
      <c r="GF70" s="420"/>
      <c r="GG70" s="420"/>
      <c r="GH70" s="420"/>
      <c r="GI70" s="420"/>
      <c r="GJ70" s="420"/>
      <c r="GK70" s="420"/>
      <c r="GL70" s="420"/>
      <c r="GM70" s="420"/>
      <c r="GN70" s="420"/>
      <c r="GO70" s="420"/>
      <c r="GP70" s="420"/>
      <c r="GQ70" s="420"/>
      <c r="GR70" s="420"/>
      <c r="GS70" s="420"/>
      <c r="GT70" s="420"/>
      <c r="GU70" s="420"/>
      <c r="GV70" s="420"/>
      <c r="GW70" s="420"/>
      <c r="GX70" s="420"/>
      <c r="GY70" s="420"/>
      <c r="GZ70" s="420"/>
      <c r="HA70" s="420"/>
      <c r="HB70" s="420"/>
      <c r="HC70" s="420"/>
      <c r="HD70" s="420"/>
      <c r="HE70" s="420"/>
      <c r="HF70" s="420"/>
      <c r="HG70" s="420"/>
      <c r="HH70" s="420"/>
      <c r="HI70" s="420"/>
      <c r="HJ70" s="420"/>
      <c r="HK70" s="420"/>
      <c r="HL70" s="420"/>
      <c r="HM70" s="420"/>
      <c r="HN70" s="420"/>
      <c r="HO70" s="420"/>
      <c r="HP70" s="420"/>
      <c r="HQ70" s="420"/>
      <c r="HR70" s="420"/>
      <c r="HS70" s="420"/>
      <c r="HT70" s="420"/>
      <c r="HU70" s="420"/>
      <c r="HV70" s="420"/>
      <c r="HW70" s="420"/>
      <c r="HX70" s="420"/>
      <c r="HY70" s="420"/>
      <c r="HZ70" s="420"/>
      <c r="IA70" s="420"/>
      <c r="IB70" s="420"/>
      <c r="IC70" s="420"/>
      <c r="ID70" s="420"/>
      <c r="IE70" s="420"/>
      <c r="IF70" s="420"/>
      <c r="IG70" s="420"/>
      <c r="IH70" s="420"/>
      <c r="II70" s="420"/>
      <c r="IJ70" s="420"/>
      <c r="IK70" s="420"/>
      <c r="IL70" s="420"/>
      <c r="IM70" s="420"/>
      <c r="IN70" s="420"/>
      <c r="IO70" s="420"/>
      <c r="IP70" s="420"/>
      <c r="IQ70" s="420"/>
      <c r="IR70" s="420"/>
      <c r="IS70" s="420"/>
      <c r="IT70" s="420"/>
      <c r="IU70" s="420"/>
      <c r="IV70" s="420"/>
      <c r="IW70" s="420"/>
      <c r="IX70" s="420"/>
      <c r="IY70" s="420"/>
      <c r="IZ70" s="420"/>
      <c r="JA70" s="420"/>
    </row>
    <row r="71" spans="1:261" s="768" customFormat="1" ht="18" customHeight="1" x14ac:dyDescent="0.35">
      <c r="A71" s="783">
        <v>61</v>
      </c>
      <c r="B71" s="776"/>
      <c r="C71" s="466"/>
      <c r="D71" s="583" t="s">
        <v>1151</v>
      </c>
      <c r="E71" s="432"/>
      <c r="F71" s="772"/>
      <c r="G71" s="433"/>
      <c r="H71" s="1009"/>
      <c r="I71" s="1005"/>
      <c r="J71" s="769"/>
      <c r="K71" s="769">
        <f>SUM(K69:K70)</f>
        <v>3015</v>
      </c>
      <c r="L71" s="769"/>
      <c r="M71" s="769">
        <f t="shared" ref="M71" si="10">SUM(M69:M70)</f>
        <v>217401</v>
      </c>
      <c r="N71" s="769"/>
      <c r="O71" s="777">
        <f>SUM(I71:N71)</f>
        <v>220416</v>
      </c>
      <c r="P71" s="773"/>
      <c r="Q71" s="420"/>
      <c r="R71" s="420"/>
      <c r="S71" s="420"/>
      <c r="T71" s="420"/>
      <c r="U71" s="420"/>
      <c r="V71" s="420"/>
      <c r="W71" s="420"/>
      <c r="X71" s="420"/>
      <c r="Y71" s="420"/>
      <c r="Z71" s="420"/>
      <c r="AA71" s="420"/>
      <c r="AB71" s="420"/>
      <c r="AC71" s="420"/>
      <c r="AD71" s="420"/>
      <c r="AE71" s="420"/>
      <c r="AF71" s="420"/>
      <c r="AG71" s="420"/>
      <c r="AH71" s="420"/>
      <c r="AI71" s="420"/>
      <c r="AJ71" s="420"/>
      <c r="AK71" s="420"/>
      <c r="AL71" s="420"/>
      <c r="AM71" s="420"/>
      <c r="AN71" s="420"/>
      <c r="AO71" s="420"/>
      <c r="AP71" s="420"/>
      <c r="AQ71" s="420"/>
      <c r="AR71" s="420"/>
      <c r="AS71" s="420"/>
      <c r="AT71" s="420"/>
      <c r="AU71" s="420"/>
      <c r="AV71" s="420"/>
      <c r="AW71" s="420"/>
      <c r="AX71" s="420"/>
      <c r="AY71" s="420"/>
      <c r="AZ71" s="420"/>
      <c r="BA71" s="420"/>
      <c r="BB71" s="420"/>
      <c r="BC71" s="420"/>
      <c r="BD71" s="420"/>
      <c r="BE71" s="420"/>
      <c r="BF71" s="420"/>
      <c r="BG71" s="420"/>
      <c r="BH71" s="420"/>
      <c r="BI71" s="420"/>
      <c r="BJ71" s="420"/>
      <c r="BK71" s="420"/>
      <c r="BL71" s="420"/>
      <c r="BM71" s="420"/>
      <c r="BN71" s="420"/>
      <c r="BO71" s="420"/>
      <c r="BP71" s="420"/>
      <c r="BQ71" s="420"/>
      <c r="BR71" s="420"/>
      <c r="BS71" s="420"/>
      <c r="BT71" s="420"/>
      <c r="BU71" s="420"/>
      <c r="BV71" s="420"/>
      <c r="BW71" s="420"/>
      <c r="BX71" s="420"/>
      <c r="BY71" s="420"/>
      <c r="BZ71" s="420"/>
      <c r="CA71" s="420"/>
      <c r="CB71" s="420"/>
      <c r="CC71" s="420"/>
      <c r="CD71" s="420"/>
      <c r="CE71" s="420"/>
      <c r="CF71" s="420"/>
      <c r="CG71" s="420"/>
      <c r="CH71" s="420"/>
      <c r="CI71" s="420"/>
      <c r="CJ71" s="420"/>
      <c r="CK71" s="420"/>
      <c r="CL71" s="420"/>
      <c r="CM71" s="420"/>
      <c r="CN71" s="420"/>
      <c r="CO71" s="420"/>
      <c r="CP71" s="420"/>
      <c r="CQ71" s="420"/>
      <c r="CR71" s="420"/>
      <c r="CS71" s="420"/>
      <c r="CT71" s="420"/>
      <c r="CU71" s="420"/>
      <c r="CV71" s="420"/>
      <c r="CW71" s="420"/>
      <c r="CX71" s="420"/>
      <c r="CY71" s="420"/>
      <c r="CZ71" s="420"/>
      <c r="DA71" s="420"/>
      <c r="DB71" s="420"/>
      <c r="DC71" s="420"/>
      <c r="DD71" s="420"/>
      <c r="DE71" s="420"/>
      <c r="DF71" s="420"/>
      <c r="DG71" s="420"/>
      <c r="DH71" s="420"/>
      <c r="DI71" s="420"/>
      <c r="DJ71" s="420"/>
      <c r="DK71" s="420"/>
      <c r="DL71" s="420"/>
      <c r="DM71" s="420"/>
      <c r="DN71" s="420"/>
      <c r="DO71" s="420"/>
      <c r="DP71" s="420"/>
      <c r="DQ71" s="420"/>
      <c r="DR71" s="420"/>
      <c r="DS71" s="420"/>
      <c r="DT71" s="420"/>
      <c r="DU71" s="420"/>
      <c r="DV71" s="420"/>
      <c r="DW71" s="420"/>
      <c r="DX71" s="420"/>
      <c r="DY71" s="420"/>
      <c r="DZ71" s="420"/>
      <c r="EA71" s="420"/>
      <c r="EB71" s="420"/>
      <c r="EC71" s="420"/>
      <c r="ED71" s="420"/>
      <c r="EE71" s="420"/>
      <c r="EF71" s="420"/>
      <c r="EG71" s="420"/>
      <c r="EH71" s="420"/>
      <c r="EI71" s="420"/>
      <c r="EJ71" s="420"/>
      <c r="EK71" s="420"/>
      <c r="EL71" s="420"/>
      <c r="EM71" s="420"/>
      <c r="EN71" s="420"/>
      <c r="EO71" s="420"/>
      <c r="EP71" s="420"/>
      <c r="EQ71" s="420"/>
      <c r="ER71" s="420"/>
      <c r="ES71" s="420"/>
      <c r="ET71" s="420"/>
      <c r="EU71" s="420"/>
      <c r="EV71" s="420"/>
      <c r="EW71" s="420"/>
      <c r="EX71" s="420"/>
      <c r="EY71" s="420"/>
      <c r="EZ71" s="420"/>
      <c r="FA71" s="420"/>
      <c r="FB71" s="420"/>
      <c r="FC71" s="420"/>
      <c r="FD71" s="420"/>
      <c r="FE71" s="420"/>
      <c r="FF71" s="420"/>
      <c r="FG71" s="420"/>
      <c r="FH71" s="420"/>
      <c r="FI71" s="420"/>
      <c r="FJ71" s="420"/>
      <c r="FK71" s="420"/>
      <c r="FL71" s="420"/>
      <c r="FM71" s="420"/>
      <c r="FN71" s="420"/>
      <c r="FO71" s="420"/>
      <c r="FP71" s="420"/>
      <c r="FQ71" s="420"/>
      <c r="FR71" s="420"/>
      <c r="FS71" s="420"/>
      <c r="FT71" s="420"/>
      <c r="FU71" s="420"/>
      <c r="FV71" s="420"/>
      <c r="FW71" s="420"/>
      <c r="FX71" s="420"/>
      <c r="FY71" s="420"/>
      <c r="FZ71" s="420"/>
      <c r="GA71" s="420"/>
      <c r="GB71" s="420"/>
      <c r="GC71" s="420"/>
      <c r="GD71" s="420"/>
      <c r="GE71" s="420"/>
      <c r="GF71" s="420"/>
      <c r="GG71" s="420"/>
      <c r="GH71" s="420"/>
      <c r="GI71" s="420"/>
      <c r="GJ71" s="420"/>
      <c r="GK71" s="420"/>
      <c r="GL71" s="420"/>
      <c r="GM71" s="420"/>
      <c r="GN71" s="420"/>
      <c r="GO71" s="420"/>
      <c r="GP71" s="420"/>
      <c r="GQ71" s="420"/>
      <c r="GR71" s="420"/>
      <c r="GS71" s="420"/>
      <c r="GT71" s="420"/>
      <c r="GU71" s="420"/>
      <c r="GV71" s="420"/>
      <c r="GW71" s="420"/>
      <c r="GX71" s="420"/>
      <c r="GY71" s="420"/>
      <c r="GZ71" s="420"/>
      <c r="HA71" s="420"/>
      <c r="HB71" s="420"/>
      <c r="HC71" s="420"/>
      <c r="HD71" s="420"/>
      <c r="HE71" s="420"/>
      <c r="HF71" s="420"/>
      <c r="HG71" s="420"/>
      <c r="HH71" s="420"/>
      <c r="HI71" s="420"/>
      <c r="HJ71" s="420"/>
      <c r="HK71" s="420"/>
      <c r="HL71" s="420"/>
      <c r="HM71" s="420"/>
      <c r="HN71" s="420"/>
      <c r="HO71" s="420"/>
      <c r="HP71" s="420"/>
      <c r="HQ71" s="420"/>
      <c r="HR71" s="420"/>
      <c r="HS71" s="420"/>
      <c r="HT71" s="420"/>
      <c r="HU71" s="420"/>
      <c r="HV71" s="420"/>
      <c r="HW71" s="420"/>
      <c r="HX71" s="420"/>
      <c r="HY71" s="420"/>
      <c r="HZ71" s="420"/>
      <c r="IA71" s="420"/>
      <c r="IB71" s="420"/>
      <c r="IC71" s="420"/>
      <c r="ID71" s="420"/>
      <c r="IE71" s="420"/>
      <c r="IF71" s="420"/>
      <c r="IG71" s="420"/>
      <c r="IH71" s="420"/>
      <c r="II71" s="420"/>
      <c r="IJ71" s="420"/>
      <c r="IK71" s="420"/>
      <c r="IL71" s="420"/>
      <c r="IM71" s="420"/>
      <c r="IN71" s="420"/>
      <c r="IO71" s="420"/>
      <c r="IP71" s="420"/>
      <c r="IQ71" s="420"/>
      <c r="IR71" s="420"/>
      <c r="IS71" s="420"/>
      <c r="IT71" s="420"/>
      <c r="IU71" s="420"/>
      <c r="IV71" s="420"/>
      <c r="IW71" s="420"/>
      <c r="IX71" s="420"/>
      <c r="IY71" s="420"/>
      <c r="IZ71" s="420"/>
      <c r="JA71" s="420"/>
    </row>
    <row r="72" spans="1:261" ht="33" x14ac:dyDescent="0.35">
      <c r="A72" s="783">
        <v>62</v>
      </c>
      <c r="B72" s="625"/>
      <c r="C72" s="422">
        <v>13</v>
      </c>
      <c r="D72" s="424" t="s">
        <v>684</v>
      </c>
      <c r="E72" s="432"/>
      <c r="F72" s="772"/>
      <c r="G72" s="433"/>
      <c r="H72" s="1009" t="s">
        <v>24</v>
      </c>
      <c r="I72" s="1027"/>
      <c r="J72" s="1023"/>
      <c r="K72" s="1023"/>
      <c r="L72" s="1023"/>
      <c r="M72" s="1023"/>
      <c r="N72" s="1023"/>
      <c r="O72" s="992"/>
      <c r="P72" s="773"/>
    </row>
    <row r="73" spans="1:261" s="768" customFormat="1" ht="18" customHeight="1" x14ac:dyDescent="0.35">
      <c r="A73" s="783">
        <v>63</v>
      </c>
      <c r="B73" s="776"/>
      <c r="C73" s="422"/>
      <c r="D73" s="1002" t="s">
        <v>311</v>
      </c>
      <c r="E73" s="432">
        <f>F73+G73+O76+P76+12000</f>
        <v>501600</v>
      </c>
      <c r="F73" s="772">
        <v>326</v>
      </c>
      <c r="G73" s="433">
        <f>16713+414</f>
        <v>17127</v>
      </c>
      <c r="H73" s="1009"/>
      <c r="I73" s="1027"/>
      <c r="J73" s="1023"/>
      <c r="K73" s="1023">
        <v>9860</v>
      </c>
      <c r="L73" s="1023"/>
      <c r="M73" s="1023">
        <v>462287</v>
      </c>
      <c r="N73" s="1023"/>
      <c r="O73" s="992">
        <f>SUM(I73:N73)</f>
        <v>472147</v>
      </c>
      <c r="P73" s="773"/>
      <c r="Q73" s="420"/>
      <c r="R73" s="420"/>
      <c r="S73" s="420"/>
      <c r="T73" s="420"/>
      <c r="U73" s="420"/>
      <c r="V73" s="420"/>
      <c r="W73" s="420"/>
      <c r="X73" s="420"/>
      <c r="Y73" s="420"/>
      <c r="Z73" s="420"/>
      <c r="AA73" s="420"/>
      <c r="AB73" s="420"/>
      <c r="AC73" s="420"/>
      <c r="AD73" s="420"/>
      <c r="AE73" s="420"/>
      <c r="AF73" s="420"/>
      <c r="AG73" s="420"/>
      <c r="AH73" s="420"/>
      <c r="AI73" s="420"/>
      <c r="AJ73" s="420"/>
      <c r="AK73" s="420"/>
      <c r="AL73" s="420"/>
      <c r="AM73" s="420"/>
      <c r="AN73" s="420"/>
      <c r="AO73" s="420"/>
      <c r="AP73" s="420"/>
      <c r="AQ73" s="420"/>
      <c r="AR73" s="420"/>
      <c r="AS73" s="420"/>
      <c r="AT73" s="420"/>
      <c r="AU73" s="420"/>
      <c r="AV73" s="420"/>
      <c r="AW73" s="420"/>
      <c r="AX73" s="420"/>
      <c r="AY73" s="420"/>
      <c r="AZ73" s="420"/>
      <c r="BA73" s="420"/>
      <c r="BB73" s="420"/>
      <c r="BC73" s="420"/>
      <c r="BD73" s="420"/>
      <c r="BE73" s="420"/>
      <c r="BF73" s="420"/>
      <c r="BG73" s="420"/>
      <c r="BH73" s="420"/>
      <c r="BI73" s="420"/>
      <c r="BJ73" s="420"/>
      <c r="BK73" s="420"/>
      <c r="BL73" s="420"/>
      <c r="BM73" s="420"/>
      <c r="BN73" s="420"/>
      <c r="BO73" s="420"/>
      <c r="BP73" s="420"/>
      <c r="BQ73" s="420"/>
      <c r="BR73" s="420"/>
      <c r="BS73" s="420"/>
      <c r="BT73" s="420"/>
      <c r="BU73" s="420"/>
      <c r="BV73" s="420"/>
      <c r="BW73" s="420"/>
      <c r="BX73" s="420"/>
      <c r="BY73" s="420"/>
      <c r="BZ73" s="420"/>
      <c r="CA73" s="420"/>
      <c r="CB73" s="420"/>
      <c r="CC73" s="420"/>
      <c r="CD73" s="420"/>
      <c r="CE73" s="420"/>
      <c r="CF73" s="420"/>
      <c r="CG73" s="420"/>
      <c r="CH73" s="420"/>
      <c r="CI73" s="420"/>
      <c r="CJ73" s="420"/>
      <c r="CK73" s="420"/>
      <c r="CL73" s="420"/>
      <c r="CM73" s="420"/>
      <c r="CN73" s="420"/>
      <c r="CO73" s="420"/>
      <c r="CP73" s="420"/>
      <c r="CQ73" s="420"/>
      <c r="CR73" s="420"/>
      <c r="CS73" s="420"/>
      <c r="CT73" s="420"/>
      <c r="CU73" s="420"/>
      <c r="CV73" s="420"/>
      <c r="CW73" s="420"/>
      <c r="CX73" s="420"/>
      <c r="CY73" s="420"/>
      <c r="CZ73" s="420"/>
      <c r="DA73" s="420"/>
      <c r="DB73" s="420"/>
      <c r="DC73" s="420"/>
      <c r="DD73" s="420"/>
      <c r="DE73" s="420"/>
      <c r="DF73" s="420"/>
      <c r="DG73" s="420"/>
      <c r="DH73" s="420"/>
      <c r="DI73" s="420"/>
      <c r="DJ73" s="420"/>
      <c r="DK73" s="420"/>
      <c r="DL73" s="420"/>
      <c r="DM73" s="420"/>
      <c r="DN73" s="420"/>
      <c r="DO73" s="420"/>
      <c r="DP73" s="420"/>
      <c r="DQ73" s="420"/>
      <c r="DR73" s="420"/>
      <c r="DS73" s="420"/>
      <c r="DT73" s="420"/>
      <c r="DU73" s="420"/>
      <c r="DV73" s="420"/>
      <c r="DW73" s="420"/>
      <c r="DX73" s="420"/>
      <c r="DY73" s="420"/>
      <c r="DZ73" s="420"/>
      <c r="EA73" s="420"/>
      <c r="EB73" s="420"/>
      <c r="EC73" s="420"/>
      <c r="ED73" s="420"/>
      <c r="EE73" s="420"/>
      <c r="EF73" s="420"/>
      <c r="EG73" s="420"/>
      <c r="EH73" s="420"/>
      <c r="EI73" s="420"/>
      <c r="EJ73" s="420"/>
      <c r="EK73" s="420"/>
      <c r="EL73" s="420"/>
      <c r="EM73" s="420"/>
      <c r="EN73" s="420"/>
      <c r="EO73" s="420"/>
      <c r="EP73" s="420"/>
      <c r="EQ73" s="420"/>
      <c r="ER73" s="420"/>
      <c r="ES73" s="420"/>
      <c r="ET73" s="420"/>
      <c r="EU73" s="420"/>
      <c r="EV73" s="420"/>
      <c r="EW73" s="420"/>
      <c r="EX73" s="420"/>
      <c r="EY73" s="420"/>
      <c r="EZ73" s="420"/>
      <c r="FA73" s="420"/>
      <c r="FB73" s="420"/>
      <c r="FC73" s="420"/>
      <c r="FD73" s="420"/>
      <c r="FE73" s="420"/>
      <c r="FF73" s="420"/>
      <c r="FG73" s="420"/>
      <c r="FH73" s="420"/>
      <c r="FI73" s="420"/>
      <c r="FJ73" s="420"/>
      <c r="FK73" s="420"/>
      <c r="FL73" s="420"/>
      <c r="FM73" s="420"/>
      <c r="FN73" s="420"/>
      <c r="FO73" s="420"/>
      <c r="FP73" s="420"/>
      <c r="FQ73" s="420"/>
      <c r="FR73" s="420"/>
      <c r="FS73" s="420"/>
      <c r="FT73" s="420"/>
      <c r="FU73" s="420"/>
      <c r="FV73" s="420"/>
      <c r="FW73" s="420"/>
      <c r="FX73" s="420"/>
      <c r="FY73" s="420"/>
      <c r="FZ73" s="420"/>
      <c r="GA73" s="420"/>
      <c r="GB73" s="420"/>
      <c r="GC73" s="420"/>
      <c r="GD73" s="420"/>
      <c r="GE73" s="420"/>
      <c r="GF73" s="420"/>
      <c r="GG73" s="420"/>
      <c r="GH73" s="420"/>
      <c r="GI73" s="420"/>
      <c r="GJ73" s="420"/>
      <c r="GK73" s="420"/>
      <c r="GL73" s="420"/>
      <c r="GM73" s="420"/>
      <c r="GN73" s="420"/>
      <c r="GO73" s="420"/>
      <c r="GP73" s="420"/>
      <c r="GQ73" s="420"/>
      <c r="GR73" s="420"/>
      <c r="GS73" s="420"/>
      <c r="GT73" s="420"/>
      <c r="GU73" s="420"/>
      <c r="GV73" s="420"/>
      <c r="GW73" s="420"/>
      <c r="GX73" s="420"/>
      <c r="GY73" s="420"/>
      <c r="GZ73" s="420"/>
      <c r="HA73" s="420"/>
      <c r="HB73" s="420"/>
      <c r="HC73" s="420"/>
      <c r="HD73" s="420"/>
      <c r="HE73" s="420"/>
      <c r="HF73" s="420"/>
      <c r="HG73" s="420"/>
      <c r="HH73" s="420"/>
      <c r="HI73" s="420"/>
      <c r="HJ73" s="420"/>
      <c r="HK73" s="420"/>
      <c r="HL73" s="420"/>
      <c r="HM73" s="420"/>
      <c r="HN73" s="420"/>
      <c r="HO73" s="420"/>
      <c r="HP73" s="420"/>
      <c r="HQ73" s="420"/>
      <c r="HR73" s="420"/>
      <c r="HS73" s="420"/>
      <c r="HT73" s="420"/>
      <c r="HU73" s="420"/>
      <c r="HV73" s="420"/>
      <c r="HW73" s="420"/>
      <c r="HX73" s="420"/>
      <c r="HY73" s="420"/>
      <c r="HZ73" s="420"/>
      <c r="IA73" s="420"/>
      <c r="IB73" s="420"/>
      <c r="IC73" s="420"/>
      <c r="ID73" s="420"/>
      <c r="IE73" s="420"/>
      <c r="IF73" s="420"/>
      <c r="IG73" s="420"/>
      <c r="IH73" s="420"/>
      <c r="II73" s="420"/>
      <c r="IJ73" s="420"/>
      <c r="IK73" s="420"/>
      <c r="IL73" s="420"/>
      <c r="IM73" s="420"/>
      <c r="IN73" s="420"/>
      <c r="IO73" s="420"/>
      <c r="IP73" s="420"/>
      <c r="IQ73" s="420"/>
      <c r="IR73" s="420"/>
      <c r="IS73" s="420"/>
      <c r="IT73" s="420"/>
      <c r="IU73" s="420"/>
      <c r="IV73" s="420"/>
      <c r="IW73" s="420"/>
      <c r="IX73" s="420"/>
      <c r="IY73" s="420"/>
      <c r="IZ73" s="420"/>
      <c r="JA73" s="420"/>
    </row>
    <row r="74" spans="1:261" s="768" customFormat="1" ht="18" customHeight="1" x14ac:dyDescent="0.35">
      <c r="A74" s="783">
        <v>64</v>
      </c>
      <c r="B74" s="776"/>
      <c r="C74" s="422"/>
      <c r="D74" s="583" t="s">
        <v>1072</v>
      </c>
      <c r="E74" s="432"/>
      <c r="F74" s="772"/>
      <c r="G74" s="433"/>
      <c r="H74" s="1009"/>
      <c r="I74" s="1027"/>
      <c r="J74" s="1023"/>
      <c r="K74" s="769">
        <v>9860</v>
      </c>
      <c r="L74" s="769"/>
      <c r="M74" s="769">
        <v>462287</v>
      </c>
      <c r="N74" s="1023"/>
      <c r="O74" s="777">
        <f>SUM(I74:N74)</f>
        <v>472147</v>
      </c>
      <c r="P74" s="773"/>
      <c r="Q74" s="420"/>
      <c r="R74" s="420"/>
      <c r="S74" s="420"/>
      <c r="T74" s="420"/>
      <c r="U74" s="420"/>
      <c r="V74" s="420"/>
      <c r="W74" s="420"/>
      <c r="X74" s="420"/>
      <c r="Y74" s="420"/>
      <c r="Z74" s="420"/>
      <c r="AA74" s="420"/>
      <c r="AB74" s="420"/>
      <c r="AC74" s="420"/>
      <c r="AD74" s="420"/>
      <c r="AE74" s="420"/>
      <c r="AF74" s="420"/>
      <c r="AG74" s="420"/>
      <c r="AH74" s="420"/>
      <c r="AI74" s="420"/>
      <c r="AJ74" s="420"/>
      <c r="AK74" s="420"/>
      <c r="AL74" s="420"/>
      <c r="AM74" s="420"/>
      <c r="AN74" s="420"/>
      <c r="AO74" s="420"/>
      <c r="AP74" s="420"/>
      <c r="AQ74" s="420"/>
      <c r="AR74" s="420"/>
      <c r="AS74" s="420"/>
      <c r="AT74" s="420"/>
      <c r="AU74" s="420"/>
      <c r="AV74" s="420"/>
      <c r="AW74" s="420"/>
      <c r="AX74" s="420"/>
      <c r="AY74" s="420"/>
      <c r="AZ74" s="420"/>
      <c r="BA74" s="420"/>
      <c r="BB74" s="420"/>
      <c r="BC74" s="420"/>
      <c r="BD74" s="420"/>
      <c r="BE74" s="420"/>
      <c r="BF74" s="420"/>
      <c r="BG74" s="420"/>
      <c r="BH74" s="420"/>
      <c r="BI74" s="420"/>
      <c r="BJ74" s="420"/>
      <c r="BK74" s="420"/>
      <c r="BL74" s="420"/>
      <c r="BM74" s="420"/>
      <c r="BN74" s="420"/>
      <c r="BO74" s="420"/>
      <c r="BP74" s="420"/>
      <c r="BQ74" s="420"/>
      <c r="BR74" s="420"/>
      <c r="BS74" s="420"/>
      <c r="BT74" s="420"/>
      <c r="BU74" s="420"/>
      <c r="BV74" s="420"/>
      <c r="BW74" s="420"/>
      <c r="BX74" s="420"/>
      <c r="BY74" s="420"/>
      <c r="BZ74" s="420"/>
      <c r="CA74" s="420"/>
      <c r="CB74" s="420"/>
      <c r="CC74" s="420"/>
      <c r="CD74" s="420"/>
      <c r="CE74" s="420"/>
      <c r="CF74" s="420"/>
      <c r="CG74" s="420"/>
      <c r="CH74" s="420"/>
      <c r="CI74" s="420"/>
      <c r="CJ74" s="420"/>
      <c r="CK74" s="420"/>
      <c r="CL74" s="420"/>
      <c r="CM74" s="420"/>
      <c r="CN74" s="420"/>
      <c r="CO74" s="420"/>
      <c r="CP74" s="420"/>
      <c r="CQ74" s="420"/>
      <c r="CR74" s="420"/>
      <c r="CS74" s="420"/>
      <c r="CT74" s="420"/>
      <c r="CU74" s="420"/>
      <c r="CV74" s="420"/>
      <c r="CW74" s="420"/>
      <c r="CX74" s="420"/>
      <c r="CY74" s="420"/>
      <c r="CZ74" s="420"/>
      <c r="DA74" s="420"/>
      <c r="DB74" s="420"/>
      <c r="DC74" s="420"/>
      <c r="DD74" s="420"/>
      <c r="DE74" s="420"/>
      <c r="DF74" s="420"/>
      <c r="DG74" s="420"/>
      <c r="DH74" s="420"/>
      <c r="DI74" s="420"/>
      <c r="DJ74" s="420"/>
      <c r="DK74" s="420"/>
      <c r="DL74" s="420"/>
      <c r="DM74" s="420"/>
      <c r="DN74" s="420"/>
      <c r="DO74" s="420"/>
      <c r="DP74" s="420"/>
      <c r="DQ74" s="420"/>
      <c r="DR74" s="420"/>
      <c r="DS74" s="420"/>
      <c r="DT74" s="420"/>
      <c r="DU74" s="420"/>
      <c r="DV74" s="420"/>
      <c r="DW74" s="420"/>
      <c r="DX74" s="420"/>
      <c r="DY74" s="420"/>
      <c r="DZ74" s="420"/>
      <c r="EA74" s="420"/>
      <c r="EB74" s="420"/>
      <c r="EC74" s="420"/>
      <c r="ED74" s="420"/>
      <c r="EE74" s="420"/>
      <c r="EF74" s="420"/>
      <c r="EG74" s="420"/>
      <c r="EH74" s="420"/>
      <c r="EI74" s="420"/>
      <c r="EJ74" s="420"/>
      <c r="EK74" s="420"/>
      <c r="EL74" s="420"/>
      <c r="EM74" s="420"/>
      <c r="EN74" s="420"/>
      <c r="EO74" s="420"/>
      <c r="EP74" s="420"/>
      <c r="EQ74" s="420"/>
      <c r="ER74" s="420"/>
      <c r="ES74" s="420"/>
      <c r="ET74" s="420"/>
      <c r="EU74" s="420"/>
      <c r="EV74" s="420"/>
      <c r="EW74" s="420"/>
      <c r="EX74" s="420"/>
      <c r="EY74" s="420"/>
      <c r="EZ74" s="420"/>
      <c r="FA74" s="420"/>
      <c r="FB74" s="420"/>
      <c r="FC74" s="420"/>
      <c r="FD74" s="420"/>
      <c r="FE74" s="420"/>
      <c r="FF74" s="420"/>
      <c r="FG74" s="420"/>
      <c r="FH74" s="420"/>
      <c r="FI74" s="420"/>
      <c r="FJ74" s="420"/>
      <c r="FK74" s="420"/>
      <c r="FL74" s="420"/>
      <c r="FM74" s="420"/>
      <c r="FN74" s="420"/>
      <c r="FO74" s="420"/>
      <c r="FP74" s="420"/>
      <c r="FQ74" s="420"/>
      <c r="FR74" s="420"/>
      <c r="FS74" s="420"/>
      <c r="FT74" s="420"/>
      <c r="FU74" s="420"/>
      <c r="FV74" s="420"/>
      <c r="FW74" s="420"/>
      <c r="FX74" s="420"/>
      <c r="FY74" s="420"/>
      <c r="FZ74" s="420"/>
      <c r="GA74" s="420"/>
      <c r="GB74" s="420"/>
      <c r="GC74" s="420"/>
      <c r="GD74" s="420"/>
      <c r="GE74" s="420"/>
      <c r="GF74" s="420"/>
      <c r="GG74" s="420"/>
      <c r="GH74" s="420"/>
      <c r="GI74" s="420"/>
      <c r="GJ74" s="420"/>
      <c r="GK74" s="420"/>
      <c r="GL74" s="420"/>
      <c r="GM74" s="420"/>
      <c r="GN74" s="420"/>
      <c r="GO74" s="420"/>
      <c r="GP74" s="420"/>
      <c r="GQ74" s="420"/>
      <c r="GR74" s="420"/>
      <c r="GS74" s="420"/>
      <c r="GT74" s="420"/>
      <c r="GU74" s="420"/>
      <c r="GV74" s="420"/>
      <c r="GW74" s="420"/>
      <c r="GX74" s="420"/>
      <c r="GY74" s="420"/>
      <c r="GZ74" s="420"/>
      <c r="HA74" s="420"/>
      <c r="HB74" s="420"/>
      <c r="HC74" s="420"/>
      <c r="HD74" s="420"/>
      <c r="HE74" s="420"/>
      <c r="HF74" s="420"/>
      <c r="HG74" s="420"/>
      <c r="HH74" s="420"/>
      <c r="HI74" s="420"/>
      <c r="HJ74" s="420"/>
      <c r="HK74" s="420"/>
      <c r="HL74" s="420"/>
      <c r="HM74" s="420"/>
      <c r="HN74" s="420"/>
      <c r="HO74" s="420"/>
      <c r="HP74" s="420"/>
      <c r="HQ74" s="420"/>
      <c r="HR74" s="420"/>
      <c r="HS74" s="420"/>
      <c r="HT74" s="420"/>
      <c r="HU74" s="420"/>
      <c r="HV74" s="420"/>
      <c r="HW74" s="420"/>
      <c r="HX74" s="420"/>
      <c r="HY74" s="420"/>
      <c r="HZ74" s="420"/>
      <c r="IA74" s="420"/>
      <c r="IB74" s="420"/>
      <c r="IC74" s="420"/>
      <c r="ID74" s="420"/>
      <c r="IE74" s="420"/>
      <c r="IF74" s="420"/>
      <c r="IG74" s="420"/>
      <c r="IH74" s="420"/>
      <c r="II74" s="420"/>
      <c r="IJ74" s="420"/>
      <c r="IK74" s="420"/>
      <c r="IL74" s="420"/>
      <c r="IM74" s="420"/>
      <c r="IN74" s="420"/>
      <c r="IO74" s="420"/>
      <c r="IP74" s="420"/>
      <c r="IQ74" s="420"/>
      <c r="IR74" s="420"/>
      <c r="IS74" s="420"/>
      <c r="IT74" s="420"/>
      <c r="IU74" s="420"/>
      <c r="IV74" s="420"/>
      <c r="IW74" s="420"/>
      <c r="IX74" s="420"/>
      <c r="IY74" s="420"/>
      <c r="IZ74" s="420"/>
      <c r="JA74" s="420"/>
    </row>
    <row r="75" spans="1:261" s="768" customFormat="1" ht="18" customHeight="1" x14ac:dyDescent="0.35">
      <c r="A75" s="783">
        <v>65</v>
      </c>
      <c r="B75" s="776"/>
      <c r="C75" s="422"/>
      <c r="D75" s="1338" t="s">
        <v>963</v>
      </c>
      <c r="E75" s="432"/>
      <c r="F75" s="772"/>
      <c r="G75" s="433"/>
      <c r="H75" s="1009"/>
      <c r="I75" s="1005"/>
      <c r="J75" s="769"/>
      <c r="K75" s="769"/>
      <c r="L75" s="769"/>
      <c r="M75" s="769"/>
      <c r="N75" s="769"/>
      <c r="O75" s="1623">
        <f>SUM(I75:N75)</f>
        <v>0</v>
      </c>
      <c r="P75" s="773"/>
      <c r="Q75" s="420"/>
      <c r="R75" s="420"/>
      <c r="S75" s="420"/>
      <c r="T75" s="420"/>
      <c r="U75" s="420"/>
      <c r="V75" s="420"/>
      <c r="W75" s="420"/>
      <c r="X75" s="420"/>
      <c r="Y75" s="420"/>
      <c r="Z75" s="420"/>
      <c r="AA75" s="420"/>
      <c r="AB75" s="420"/>
      <c r="AC75" s="420"/>
      <c r="AD75" s="420"/>
      <c r="AE75" s="420"/>
      <c r="AF75" s="420"/>
      <c r="AG75" s="420"/>
      <c r="AH75" s="420"/>
      <c r="AI75" s="420"/>
      <c r="AJ75" s="420"/>
      <c r="AK75" s="420"/>
      <c r="AL75" s="420"/>
      <c r="AM75" s="420"/>
      <c r="AN75" s="420"/>
      <c r="AO75" s="420"/>
      <c r="AP75" s="420"/>
      <c r="AQ75" s="420"/>
      <c r="AR75" s="420"/>
      <c r="AS75" s="420"/>
      <c r="AT75" s="420"/>
      <c r="AU75" s="420"/>
      <c r="AV75" s="420"/>
      <c r="AW75" s="420"/>
      <c r="AX75" s="420"/>
      <c r="AY75" s="420"/>
      <c r="AZ75" s="420"/>
      <c r="BA75" s="420"/>
      <c r="BB75" s="420"/>
      <c r="BC75" s="420"/>
      <c r="BD75" s="420"/>
      <c r="BE75" s="420"/>
      <c r="BF75" s="420"/>
      <c r="BG75" s="420"/>
      <c r="BH75" s="420"/>
      <c r="BI75" s="420"/>
      <c r="BJ75" s="420"/>
      <c r="BK75" s="420"/>
      <c r="BL75" s="420"/>
      <c r="BM75" s="420"/>
      <c r="BN75" s="420"/>
      <c r="BO75" s="420"/>
      <c r="BP75" s="420"/>
      <c r="BQ75" s="420"/>
      <c r="BR75" s="420"/>
      <c r="BS75" s="420"/>
      <c r="BT75" s="420"/>
      <c r="BU75" s="420"/>
      <c r="BV75" s="420"/>
      <c r="BW75" s="420"/>
      <c r="BX75" s="420"/>
      <c r="BY75" s="420"/>
      <c r="BZ75" s="420"/>
      <c r="CA75" s="420"/>
      <c r="CB75" s="420"/>
      <c r="CC75" s="420"/>
      <c r="CD75" s="420"/>
      <c r="CE75" s="420"/>
      <c r="CF75" s="420"/>
      <c r="CG75" s="420"/>
      <c r="CH75" s="420"/>
      <c r="CI75" s="420"/>
      <c r="CJ75" s="420"/>
      <c r="CK75" s="420"/>
      <c r="CL75" s="420"/>
      <c r="CM75" s="420"/>
      <c r="CN75" s="420"/>
      <c r="CO75" s="420"/>
      <c r="CP75" s="420"/>
      <c r="CQ75" s="420"/>
      <c r="CR75" s="420"/>
      <c r="CS75" s="420"/>
      <c r="CT75" s="420"/>
      <c r="CU75" s="420"/>
      <c r="CV75" s="420"/>
      <c r="CW75" s="420"/>
      <c r="CX75" s="420"/>
      <c r="CY75" s="420"/>
      <c r="CZ75" s="420"/>
      <c r="DA75" s="420"/>
      <c r="DB75" s="420"/>
      <c r="DC75" s="420"/>
      <c r="DD75" s="420"/>
      <c r="DE75" s="420"/>
      <c r="DF75" s="420"/>
      <c r="DG75" s="420"/>
      <c r="DH75" s="420"/>
      <c r="DI75" s="420"/>
      <c r="DJ75" s="420"/>
      <c r="DK75" s="420"/>
      <c r="DL75" s="420"/>
      <c r="DM75" s="420"/>
      <c r="DN75" s="420"/>
      <c r="DO75" s="420"/>
      <c r="DP75" s="420"/>
      <c r="DQ75" s="420"/>
      <c r="DR75" s="420"/>
      <c r="DS75" s="420"/>
      <c r="DT75" s="420"/>
      <c r="DU75" s="420"/>
      <c r="DV75" s="420"/>
      <c r="DW75" s="420"/>
      <c r="DX75" s="420"/>
      <c r="DY75" s="420"/>
      <c r="DZ75" s="420"/>
      <c r="EA75" s="420"/>
      <c r="EB75" s="420"/>
      <c r="EC75" s="420"/>
      <c r="ED75" s="420"/>
      <c r="EE75" s="420"/>
      <c r="EF75" s="420"/>
      <c r="EG75" s="420"/>
      <c r="EH75" s="420"/>
      <c r="EI75" s="420"/>
      <c r="EJ75" s="420"/>
      <c r="EK75" s="420"/>
      <c r="EL75" s="420"/>
      <c r="EM75" s="420"/>
      <c r="EN75" s="420"/>
      <c r="EO75" s="420"/>
      <c r="EP75" s="420"/>
      <c r="EQ75" s="420"/>
      <c r="ER75" s="420"/>
      <c r="ES75" s="420"/>
      <c r="ET75" s="420"/>
      <c r="EU75" s="420"/>
      <c r="EV75" s="420"/>
      <c r="EW75" s="420"/>
      <c r="EX75" s="420"/>
      <c r="EY75" s="420"/>
      <c r="EZ75" s="420"/>
      <c r="FA75" s="420"/>
      <c r="FB75" s="420"/>
      <c r="FC75" s="420"/>
      <c r="FD75" s="420"/>
      <c r="FE75" s="420"/>
      <c r="FF75" s="420"/>
      <c r="FG75" s="420"/>
      <c r="FH75" s="420"/>
      <c r="FI75" s="420"/>
      <c r="FJ75" s="420"/>
      <c r="FK75" s="420"/>
      <c r="FL75" s="420"/>
      <c r="FM75" s="420"/>
      <c r="FN75" s="420"/>
      <c r="FO75" s="420"/>
      <c r="FP75" s="420"/>
      <c r="FQ75" s="420"/>
      <c r="FR75" s="420"/>
      <c r="FS75" s="420"/>
      <c r="FT75" s="420"/>
      <c r="FU75" s="420"/>
      <c r="FV75" s="420"/>
      <c r="FW75" s="420"/>
      <c r="FX75" s="420"/>
      <c r="FY75" s="420"/>
      <c r="FZ75" s="420"/>
      <c r="GA75" s="420"/>
      <c r="GB75" s="420"/>
      <c r="GC75" s="420"/>
      <c r="GD75" s="420"/>
      <c r="GE75" s="420"/>
      <c r="GF75" s="420"/>
      <c r="GG75" s="420"/>
      <c r="GH75" s="420"/>
      <c r="GI75" s="420"/>
      <c r="GJ75" s="420"/>
      <c r="GK75" s="420"/>
      <c r="GL75" s="420"/>
      <c r="GM75" s="420"/>
      <c r="GN75" s="420"/>
      <c r="GO75" s="420"/>
      <c r="GP75" s="420"/>
      <c r="GQ75" s="420"/>
      <c r="GR75" s="420"/>
      <c r="GS75" s="420"/>
      <c r="GT75" s="420"/>
      <c r="GU75" s="420"/>
      <c r="GV75" s="420"/>
      <c r="GW75" s="420"/>
      <c r="GX75" s="420"/>
      <c r="GY75" s="420"/>
      <c r="GZ75" s="420"/>
      <c r="HA75" s="420"/>
      <c r="HB75" s="420"/>
      <c r="HC75" s="420"/>
      <c r="HD75" s="420"/>
      <c r="HE75" s="420"/>
      <c r="HF75" s="420"/>
      <c r="HG75" s="420"/>
      <c r="HH75" s="420"/>
      <c r="HI75" s="420"/>
      <c r="HJ75" s="420"/>
      <c r="HK75" s="420"/>
      <c r="HL75" s="420"/>
      <c r="HM75" s="420"/>
      <c r="HN75" s="420"/>
      <c r="HO75" s="420"/>
      <c r="HP75" s="420"/>
      <c r="HQ75" s="420"/>
      <c r="HR75" s="420"/>
      <c r="HS75" s="420"/>
      <c r="HT75" s="420"/>
      <c r="HU75" s="420"/>
      <c r="HV75" s="420"/>
      <c r="HW75" s="420"/>
      <c r="HX75" s="420"/>
      <c r="HY75" s="420"/>
      <c r="HZ75" s="420"/>
      <c r="IA75" s="420"/>
      <c r="IB75" s="420"/>
      <c r="IC75" s="420"/>
      <c r="ID75" s="420"/>
      <c r="IE75" s="420"/>
      <c r="IF75" s="420"/>
      <c r="IG75" s="420"/>
      <c r="IH75" s="420"/>
      <c r="II75" s="420"/>
      <c r="IJ75" s="420"/>
      <c r="IK75" s="420"/>
      <c r="IL75" s="420"/>
      <c r="IM75" s="420"/>
      <c r="IN75" s="420"/>
      <c r="IO75" s="420"/>
      <c r="IP75" s="420"/>
      <c r="IQ75" s="420"/>
      <c r="IR75" s="420"/>
      <c r="IS75" s="420"/>
      <c r="IT75" s="420"/>
      <c r="IU75" s="420"/>
      <c r="IV75" s="420"/>
      <c r="IW75" s="420"/>
      <c r="IX75" s="420"/>
      <c r="IY75" s="420"/>
      <c r="IZ75" s="420"/>
      <c r="JA75" s="420"/>
    </row>
    <row r="76" spans="1:261" s="768" customFormat="1" ht="18" customHeight="1" x14ac:dyDescent="0.35">
      <c r="A76" s="783">
        <v>66</v>
      </c>
      <c r="B76" s="776"/>
      <c r="C76" s="422"/>
      <c r="D76" s="583" t="s">
        <v>1151</v>
      </c>
      <c r="E76" s="432"/>
      <c r="F76" s="772"/>
      <c r="G76" s="433"/>
      <c r="H76" s="1009"/>
      <c r="I76" s="1005"/>
      <c r="J76" s="769"/>
      <c r="K76" s="769">
        <f>SUM(K74:K75)</f>
        <v>9860</v>
      </c>
      <c r="L76" s="769"/>
      <c r="M76" s="769">
        <f t="shared" ref="M76" si="11">SUM(M74:M75)</f>
        <v>462287</v>
      </c>
      <c r="N76" s="769"/>
      <c r="O76" s="777">
        <f>SUM(I76:N76)</f>
        <v>472147</v>
      </c>
      <c r="P76" s="773"/>
      <c r="Q76" s="420"/>
      <c r="R76" s="420"/>
      <c r="S76" s="420"/>
      <c r="T76" s="420"/>
      <c r="U76" s="420"/>
      <c r="V76" s="420"/>
      <c r="W76" s="420"/>
      <c r="X76" s="420"/>
      <c r="Y76" s="420"/>
      <c r="Z76" s="420"/>
      <c r="AA76" s="420"/>
      <c r="AB76" s="420"/>
      <c r="AC76" s="420"/>
      <c r="AD76" s="420"/>
      <c r="AE76" s="420"/>
      <c r="AF76" s="420"/>
      <c r="AG76" s="420"/>
      <c r="AH76" s="420"/>
      <c r="AI76" s="420"/>
      <c r="AJ76" s="420"/>
      <c r="AK76" s="420"/>
      <c r="AL76" s="420"/>
      <c r="AM76" s="420"/>
      <c r="AN76" s="420"/>
      <c r="AO76" s="420"/>
      <c r="AP76" s="420"/>
      <c r="AQ76" s="420"/>
      <c r="AR76" s="420"/>
      <c r="AS76" s="420"/>
      <c r="AT76" s="420"/>
      <c r="AU76" s="420"/>
      <c r="AV76" s="420"/>
      <c r="AW76" s="420"/>
      <c r="AX76" s="420"/>
      <c r="AY76" s="420"/>
      <c r="AZ76" s="420"/>
      <c r="BA76" s="420"/>
      <c r="BB76" s="420"/>
      <c r="BC76" s="420"/>
      <c r="BD76" s="420"/>
      <c r="BE76" s="420"/>
      <c r="BF76" s="420"/>
      <c r="BG76" s="420"/>
      <c r="BH76" s="420"/>
      <c r="BI76" s="420"/>
      <c r="BJ76" s="420"/>
      <c r="BK76" s="420"/>
      <c r="BL76" s="420"/>
      <c r="BM76" s="420"/>
      <c r="BN76" s="420"/>
      <c r="BO76" s="420"/>
      <c r="BP76" s="420"/>
      <c r="BQ76" s="420"/>
      <c r="BR76" s="420"/>
      <c r="BS76" s="420"/>
      <c r="BT76" s="420"/>
      <c r="BU76" s="420"/>
      <c r="BV76" s="420"/>
      <c r="BW76" s="420"/>
      <c r="BX76" s="420"/>
      <c r="BY76" s="420"/>
      <c r="BZ76" s="420"/>
      <c r="CA76" s="420"/>
      <c r="CB76" s="420"/>
      <c r="CC76" s="420"/>
      <c r="CD76" s="420"/>
      <c r="CE76" s="420"/>
      <c r="CF76" s="420"/>
      <c r="CG76" s="420"/>
      <c r="CH76" s="420"/>
      <c r="CI76" s="420"/>
      <c r="CJ76" s="420"/>
      <c r="CK76" s="420"/>
      <c r="CL76" s="420"/>
      <c r="CM76" s="420"/>
      <c r="CN76" s="420"/>
      <c r="CO76" s="420"/>
      <c r="CP76" s="420"/>
      <c r="CQ76" s="420"/>
      <c r="CR76" s="420"/>
      <c r="CS76" s="420"/>
      <c r="CT76" s="420"/>
      <c r="CU76" s="420"/>
      <c r="CV76" s="420"/>
      <c r="CW76" s="420"/>
      <c r="CX76" s="420"/>
      <c r="CY76" s="420"/>
      <c r="CZ76" s="420"/>
      <c r="DA76" s="420"/>
      <c r="DB76" s="420"/>
      <c r="DC76" s="420"/>
      <c r="DD76" s="420"/>
      <c r="DE76" s="420"/>
      <c r="DF76" s="420"/>
      <c r="DG76" s="420"/>
      <c r="DH76" s="420"/>
      <c r="DI76" s="420"/>
      <c r="DJ76" s="420"/>
      <c r="DK76" s="420"/>
      <c r="DL76" s="420"/>
      <c r="DM76" s="420"/>
      <c r="DN76" s="420"/>
      <c r="DO76" s="420"/>
      <c r="DP76" s="420"/>
      <c r="DQ76" s="420"/>
      <c r="DR76" s="420"/>
      <c r="DS76" s="420"/>
      <c r="DT76" s="420"/>
      <c r="DU76" s="420"/>
      <c r="DV76" s="420"/>
      <c r="DW76" s="420"/>
      <c r="DX76" s="420"/>
      <c r="DY76" s="420"/>
      <c r="DZ76" s="420"/>
      <c r="EA76" s="420"/>
      <c r="EB76" s="420"/>
      <c r="EC76" s="420"/>
      <c r="ED76" s="420"/>
      <c r="EE76" s="420"/>
      <c r="EF76" s="420"/>
      <c r="EG76" s="420"/>
      <c r="EH76" s="420"/>
      <c r="EI76" s="420"/>
      <c r="EJ76" s="420"/>
      <c r="EK76" s="420"/>
      <c r="EL76" s="420"/>
      <c r="EM76" s="420"/>
      <c r="EN76" s="420"/>
      <c r="EO76" s="420"/>
      <c r="EP76" s="420"/>
      <c r="EQ76" s="420"/>
      <c r="ER76" s="420"/>
      <c r="ES76" s="420"/>
      <c r="ET76" s="420"/>
      <c r="EU76" s="420"/>
      <c r="EV76" s="420"/>
      <c r="EW76" s="420"/>
      <c r="EX76" s="420"/>
      <c r="EY76" s="420"/>
      <c r="EZ76" s="420"/>
      <c r="FA76" s="420"/>
      <c r="FB76" s="420"/>
      <c r="FC76" s="420"/>
      <c r="FD76" s="420"/>
      <c r="FE76" s="420"/>
      <c r="FF76" s="420"/>
      <c r="FG76" s="420"/>
      <c r="FH76" s="420"/>
      <c r="FI76" s="420"/>
      <c r="FJ76" s="420"/>
      <c r="FK76" s="420"/>
      <c r="FL76" s="420"/>
      <c r="FM76" s="420"/>
      <c r="FN76" s="420"/>
      <c r="FO76" s="420"/>
      <c r="FP76" s="420"/>
      <c r="FQ76" s="420"/>
      <c r="FR76" s="420"/>
      <c r="FS76" s="420"/>
      <c r="FT76" s="420"/>
      <c r="FU76" s="420"/>
      <c r="FV76" s="420"/>
      <c r="FW76" s="420"/>
      <c r="FX76" s="420"/>
      <c r="FY76" s="420"/>
      <c r="FZ76" s="420"/>
      <c r="GA76" s="420"/>
      <c r="GB76" s="420"/>
      <c r="GC76" s="420"/>
      <c r="GD76" s="420"/>
      <c r="GE76" s="420"/>
      <c r="GF76" s="420"/>
      <c r="GG76" s="420"/>
      <c r="GH76" s="420"/>
      <c r="GI76" s="420"/>
      <c r="GJ76" s="420"/>
      <c r="GK76" s="420"/>
      <c r="GL76" s="420"/>
      <c r="GM76" s="420"/>
      <c r="GN76" s="420"/>
      <c r="GO76" s="420"/>
      <c r="GP76" s="420"/>
      <c r="GQ76" s="420"/>
      <c r="GR76" s="420"/>
      <c r="GS76" s="420"/>
      <c r="GT76" s="420"/>
      <c r="GU76" s="420"/>
      <c r="GV76" s="420"/>
      <c r="GW76" s="420"/>
      <c r="GX76" s="420"/>
      <c r="GY76" s="420"/>
      <c r="GZ76" s="420"/>
      <c r="HA76" s="420"/>
      <c r="HB76" s="420"/>
      <c r="HC76" s="420"/>
      <c r="HD76" s="420"/>
      <c r="HE76" s="420"/>
      <c r="HF76" s="420"/>
      <c r="HG76" s="420"/>
      <c r="HH76" s="420"/>
      <c r="HI76" s="420"/>
      <c r="HJ76" s="420"/>
      <c r="HK76" s="420"/>
      <c r="HL76" s="420"/>
      <c r="HM76" s="420"/>
      <c r="HN76" s="420"/>
      <c r="HO76" s="420"/>
      <c r="HP76" s="420"/>
      <c r="HQ76" s="420"/>
      <c r="HR76" s="420"/>
      <c r="HS76" s="420"/>
      <c r="HT76" s="420"/>
      <c r="HU76" s="420"/>
      <c r="HV76" s="420"/>
      <c r="HW76" s="420"/>
      <c r="HX76" s="420"/>
      <c r="HY76" s="420"/>
      <c r="HZ76" s="420"/>
      <c r="IA76" s="420"/>
      <c r="IB76" s="420"/>
      <c r="IC76" s="420"/>
      <c r="ID76" s="420"/>
      <c r="IE76" s="420"/>
      <c r="IF76" s="420"/>
      <c r="IG76" s="420"/>
      <c r="IH76" s="420"/>
      <c r="II76" s="420"/>
      <c r="IJ76" s="420"/>
      <c r="IK76" s="420"/>
      <c r="IL76" s="420"/>
      <c r="IM76" s="420"/>
      <c r="IN76" s="420"/>
      <c r="IO76" s="420"/>
      <c r="IP76" s="420"/>
      <c r="IQ76" s="420"/>
      <c r="IR76" s="420"/>
      <c r="IS76" s="420"/>
      <c r="IT76" s="420"/>
      <c r="IU76" s="420"/>
      <c r="IV76" s="420"/>
      <c r="IW76" s="420"/>
      <c r="IX76" s="420"/>
      <c r="IY76" s="420"/>
      <c r="IZ76" s="420"/>
      <c r="JA76" s="420"/>
    </row>
    <row r="77" spans="1:261" s="768" customFormat="1" ht="49.5" x14ac:dyDescent="0.35">
      <c r="A77" s="783">
        <v>67</v>
      </c>
      <c r="B77" s="776"/>
      <c r="C77" s="422">
        <v>14</v>
      </c>
      <c r="D77" s="424" t="s">
        <v>460</v>
      </c>
      <c r="E77" s="432"/>
      <c r="F77" s="772"/>
      <c r="G77" s="433"/>
      <c r="H77" s="1035" t="s">
        <v>24</v>
      </c>
      <c r="I77" s="1027"/>
      <c r="J77" s="1023"/>
      <c r="K77" s="1023"/>
      <c r="L77" s="1023"/>
      <c r="M77" s="1023"/>
      <c r="N77" s="1023"/>
      <c r="O77" s="992"/>
      <c r="P77" s="773"/>
      <c r="Q77" s="420"/>
      <c r="R77" s="420"/>
      <c r="S77" s="420"/>
      <c r="T77" s="420"/>
      <c r="U77" s="420"/>
      <c r="V77" s="420"/>
      <c r="W77" s="420"/>
      <c r="X77" s="420"/>
      <c r="Y77" s="420"/>
      <c r="Z77" s="420"/>
      <c r="AA77" s="420"/>
      <c r="AB77" s="420"/>
      <c r="AC77" s="420"/>
      <c r="AD77" s="420"/>
      <c r="AE77" s="420"/>
      <c r="AF77" s="420"/>
      <c r="AG77" s="420"/>
      <c r="AH77" s="420"/>
      <c r="AI77" s="420"/>
      <c r="AJ77" s="420"/>
      <c r="AK77" s="420"/>
      <c r="AL77" s="420"/>
      <c r="AM77" s="420"/>
      <c r="AN77" s="420"/>
      <c r="AO77" s="420"/>
      <c r="AP77" s="420"/>
      <c r="AQ77" s="420"/>
      <c r="AR77" s="420"/>
      <c r="AS77" s="420"/>
      <c r="AT77" s="420"/>
      <c r="AU77" s="420"/>
      <c r="AV77" s="420"/>
      <c r="AW77" s="420"/>
      <c r="AX77" s="420"/>
      <c r="AY77" s="420"/>
      <c r="AZ77" s="420"/>
      <c r="BA77" s="420"/>
      <c r="BB77" s="420"/>
      <c r="BC77" s="420"/>
      <c r="BD77" s="420"/>
      <c r="BE77" s="420"/>
      <c r="BF77" s="420"/>
      <c r="BG77" s="420"/>
      <c r="BH77" s="420"/>
      <c r="BI77" s="420"/>
      <c r="BJ77" s="420"/>
      <c r="BK77" s="420"/>
      <c r="BL77" s="420"/>
      <c r="BM77" s="420"/>
      <c r="BN77" s="420"/>
      <c r="BO77" s="420"/>
      <c r="BP77" s="420"/>
      <c r="BQ77" s="420"/>
      <c r="BR77" s="420"/>
      <c r="BS77" s="420"/>
      <c r="BT77" s="420"/>
      <c r="BU77" s="420"/>
      <c r="BV77" s="420"/>
      <c r="BW77" s="420"/>
      <c r="BX77" s="420"/>
      <c r="BY77" s="420"/>
      <c r="BZ77" s="420"/>
      <c r="CA77" s="420"/>
      <c r="CB77" s="420"/>
      <c r="CC77" s="420"/>
      <c r="CD77" s="420"/>
      <c r="CE77" s="420"/>
      <c r="CF77" s="420"/>
      <c r="CG77" s="420"/>
      <c r="CH77" s="420"/>
      <c r="CI77" s="420"/>
      <c r="CJ77" s="420"/>
      <c r="CK77" s="420"/>
      <c r="CL77" s="420"/>
      <c r="CM77" s="420"/>
      <c r="CN77" s="420"/>
      <c r="CO77" s="420"/>
      <c r="CP77" s="420"/>
      <c r="CQ77" s="420"/>
      <c r="CR77" s="420"/>
      <c r="CS77" s="420"/>
      <c r="CT77" s="420"/>
      <c r="CU77" s="420"/>
      <c r="CV77" s="420"/>
      <c r="CW77" s="420"/>
      <c r="CX77" s="420"/>
      <c r="CY77" s="420"/>
      <c r="CZ77" s="420"/>
      <c r="DA77" s="420"/>
      <c r="DB77" s="420"/>
      <c r="DC77" s="420"/>
      <c r="DD77" s="420"/>
      <c r="DE77" s="420"/>
      <c r="DF77" s="420"/>
      <c r="DG77" s="420"/>
      <c r="DH77" s="420"/>
      <c r="DI77" s="420"/>
      <c r="DJ77" s="420"/>
      <c r="DK77" s="420"/>
      <c r="DL77" s="420"/>
      <c r="DM77" s="420"/>
      <c r="DN77" s="420"/>
      <c r="DO77" s="420"/>
      <c r="DP77" s="420"/>
      <c r="DQ77" s="420"/>
      <c r="DR77" s="420"/>
      <c r="DS77" s="420"/>
      <c r="DT77" s="420"/>
      <c r="DU77" s="420"/>
      <c r="DV77" s="420"/>
      <c r="DW77" s="420"/>
      <c r="DX77" s="420"/>
      <c r="DY77" s="420"/>
      <c r="DZ77" s="420"/>
      <c r="EA77" s="420"/>
      <c r="EB77" s="420"/>
      <c r="EC77" s="420"/>
      <c r="ED77" s="420"/>
      <c r="EE77" s="420"/>
      <c r="EF77" s="420"/>
      <c r="EG77" s="420"/>
      <c r="EH77" s="420"/>
      <c r="EI77" s="420"/>
      <c r="EJ77" s="420"/>
      <c r="EK77" s="420"/>
      <c r="EL77" s="420"/>
      <c r="EM77" s="420"/>
      <c r="EN77" s="420"/>
      <c r="EO77" s="420"/>
      <c r="EP77" s="420"/>
      <c r="EQ77" s="420"/>
      <c r="ER77" s="420"/>
      <c r="ES77" s="420"/>
      <c r="ET77" s="420"/>
      <c r="EU77" s="420"/>
      <c r="EV77" s="420"/>
      <c r="EW77" s="420"/>
      <c r="EX77" s="420"/>
      <c r="EY77" s="420"/>
      <c r="EZ77" s="420"/>
      <c r="FA77" s="420"/>
      <c r="FB77" s="420"/>
      <c r="FC77" s="420"/>
      <c r="FD77" s="420"/>
      <c r="FE77" s="420"/>
      <c r="FF77" s="420"/>
      <c r="FG77" s="420"/>
      <c r="FH77" s="420"/>
      <c r="FI77" s="420"/>
      <c r="FJ77" s="420"/>
      <c r="FK77" s="420"/>
      <c r="FL77" s="420"/>
      <c r="FM77" s="420"/>
      <c r="FN77" s="420"/>
      <c r="FO77" s="420"/>
      <c r="FP77" s="420"/>
      <c r="FQ77" s="420"/>
      <c r="FR77" s="420"/>
      <c r="FS77" s="420"/>
      <c r="FT77" s="420"/>
      <c r="FU77" s="420"/>
      <c r="FV77" s="420"/>
      <c r="FW77" s="420"/>
      <c r="FX77" s="420"/>
      <c r="FY77" s="420"/>
      <c r="FZ77" s="420"/>
      <c r="GA77" s="420"/>
      <c r="GB77" s="420"/>
      <c r="GC77" s="420"/>
      <c r="GD77" s="420"/>
      <c r="GE77" s="420"/>
      <c r="GF77" s="420"/>
      <c r="GG77" s="420"/>
      <c r="GH77" s="420"/>
      <c r="GI77" s="420"/>
      <c r="GJ77" s="420"/>
      <c r="GK77" s="420"/>
      <c r="GL77" s="420"/>
      <c r="GM77" s="420"/>
      <c r="GN77" s="420"/>
      <c r="GO77" s="420"/>
      <c r="GP77" s="420"/>
      <c r="GQ77" s="420"/>
      <c r="GR77" s="420"/>
      <c r="GS77" s="420"/>
      <c r="GT77" s="420"/>
      <c r="GU77" s="420"/>
      <c r="GV77" s="420"/>
      <c r="GW77" s="420"/>
      <c r="GX77" s="420"/>
      <c r="GY77" s="420"/>
      <c r="GZ77" s="420"/>
      <c r="HA77" s="420"/>
      <c r="HB77" s="420"/>
      <c r="HC77" s="420"/>
      <c r="HD77" s="420"/>
      <c r="HE77" s="420"/>
      <c r="HF77" s="420"/>
      <c r="HG77" s="420"/>
      <c r="HH77" s="420"/>
      <c r="HI77" s="420"/>
      <c r="HJ77" s="420"/>
      <c r="HK77" s="420"/>
      <c r="HL77" s="420"/>
      <c r="HM77" s="420"/>
      <c r="HN77" s="420"/>
      <c r="HO77" s="420"/>
      <c r="HP77" s="420"/>
      <c r="HQ77" s="420"/>
      <c r="HR77" s="420"/>
      <c r="HS77" s="420"/>
      <c r="HT77" s="420"/>
      <c r="HU77" s="420"/>
      <c r="HV77" s="420"/>
      <c r="HW77" s="420"/>
      <c r="HX77" s="420"/>
      <c r="HY77" s="420"/>
      <c r="HZ77" s="420"/>
      <c r="IA77" s="420"/>
      <c r="IB77" s="420"/>
      <c r="IC77" s="420"/>
      <c r="ID77" s="420"/>
      <c r="IE77" s="420"/>
      <c r="IF77" s="420"/>
      <c r="IG77" s="420"/>
      <c r="IH77" s="420"/>
      <c r="II77" s="420"/>
      <c r="IJ77" s="420"/>
      <c r="IK77" s="420"/>
      <c r="IL77" s="420"/>
      <c r="IM77" s="420"/>
      <c r="IN77" s="420"/>
      <c r="IO77" s="420"/>
      <c r="IP77" s="420"/>
      <c r="IQ77" s="420"/>
      <c r="IR77" s="420"/>
      <c r="IS77" s="420"/>
      <c r="IT77" s="420"/>
      <c r="IU77" s="420"/>
      <c r="IV77" s="420"/>
      <c r="IW77" s="420"/>
      <c r="IX77" s="420"/>
      <c r="IY77" s="420"/>
      <c r="IZ77" s="420"/>
      <c r="JA77" s="420"/>
    </row>
    <row r="78" spans="1:261" s="768" customFormat="1" ht="18" customHeight="1" x14ac:dyDescent="0.35">
      <c r="A78" s="783">
        <v>68</v>
      </c>
      <c r="B78" s="776"/>
      <c r="C78" s="422"/>
      <c r="D78" s="1002" t="s">
        <v>311</v>
      </c>
      <c r="E78" s="432">
        <f>F78+G78+O81+P81</f>
        <v>1147594</v>
      </c>
      <c r="F78" s="772">
        <f>25062+32060+393153</f>
        <v>450275</v>
      </c>
      <c r="G78" s="433">
        <f>682686+5740+11</f>
        <v>688437</v>
      </c>
      <c r="H78" s="1009"/>
      <c r="I78" s="1027"/>
      <c r="J78" s="1023"/>
      <c r="K78" s="1023">
        <v>8968</v>
      </c>
      <c r="L78" s="1023"/>
      <c r="M78" s="1023"/>
      <c r="N78" s="1023"/>
      <c r="O78" s="992">
        <f>SUM(I78:N78)</f>
        <v>8968</v>
      </c>
      <c r="P78" s="773"/>
      <c r="Q78" s="420"/>
      <c r="R78" s="420"/>
      <c r="S78" s="420"/>
      <c r="T78" s="420"/>
      <c r="U78" s="420"/>
      <c r="V78" s="420"/>
      <c r="W78" s="420"/>
      <c r="X78" s="420"/>
      <c r="Y78" s="420"/>
      <c r="Z78" s="420"/>
      <c r="AA78" s="420"/>
      <c r="AB78" s="420"/>
      <c r="AC78" s="420"/>
      <c r="AD78" s="420"/>
      <c r="AE78" s="420"/>
      <c r="AF78" s="420"/>
      <c r="AG78" s="420"/>
      <c r="AH78" s="420"/>
      <c r="AI78" s="420"/>
      <c r="AJ78" s="420"/>
      <c r="AK78" s="420"/>
      <c r="AL78" s="420"/>
      <c r="AM78" s="420"/>
      <c r="AN78" s="420"/>
      <c r="AO78" s="420"/>
      <c r="AP78" s="420"/>
      <c r="AQ78" s="420"/>
      <c r="AR78" s="420"/>
      <c r="AS78" s="420"/>
      <c r="AT78" s="420"/>
      <c r="AU78" s="420"/>
      <c r="AV78" s="420"/>
      <c r="AW78" s="420"/>
      <c r="AX78" s="420"/>
      <c r="AY78" s="420"/>
      <c r="AZ78" s="420"/>
      <c r="BA78" s="420"/>
      <c r="BB78" s="420"/>
      <c r="BC78" s="420"/>
      <c r="BD78" s="420"/>
      <c r="BE78" s="420"/>
      <c r="BF78" s="420"/>
      <c r="BG78" s="420"/>
      <c r="BH78" s="420"/>
      <c r="BI78" s="420"/>
      <c r="BJ78" s="420"/>
      <c r="BK78" s="420"/>
      <c r="BL78" s="420"/>
      <c r="BM78" s="420"/>
      <c r="BN78" s="420"/>
      <c r="BO78" s="420"/>
      <c r="BP78" s="420"/>
      <c r="BQ78" s="420"/>
      <c r="BR78" s="420"/>
      <c r="BS78" s="420"/>
      <c r="BT78" s="420"/>
      <c r="BU78" s="420"/>
      <c r="BV78" s="420"/>
      <c r="BW78" s="420"/>
      <c r="BX78" s="420"/>
      <c r="BY78" s="420"/>
      <c r="BZ78" s="420"/>
      <c r="CA78" s="420"/>
      <c r="CB78" s="420"/>
      <c r="CC78" s="420"/>
      <c r="CD78" s="420"/>
      <c r="CE78" s="420"/>
      <c r="CF78" s="420"/>
      <c r="CG78" s="420"/>
      <c r="CH78" s="420"/>
      <c r="CI78" s="420"/>
      <c r="CJ78" s="420"/>
      <c r="CK78" s="420"/>
      <c r="CL78" s="420"/>
      <c r="CM78" s="420"/>
      <c r="CN78" s="420"/>
      <c r="CO78" s="420"/>
      <c r="CP78" s="420"/>
      <c r="CQ78" s="420"/>
      <c r="CR78" s="420"/>
      <c r="CS78" s="420"/>
      <c r="CT78" s="420"/>
      <c r="CU78" s="420"/>
      <c r="CV78" s="420"/>
      <c r="CW78" s="420"/>
      <c r="CX78" s="420"/>
      <c r="CY78" s="420"/>
      <c r="CZ78" s="420"/>
      <c r="DA78" s="420"/>
      <c r="DB78" s="420"/>
      <c r="DC78" s="420"/>
      <c r="DD78" s="420"/>
      <c r="DE78" s="420"/>
      <c r="DF78" s="420"/>
      <c r="DG78" s="420"/>
      <c r="DH78" s="420"/>
      <c r="DI78" s="420"/>
      <c r="DJ78" s="420"/>
      <c r="DK78" s="420"/>
      <c r="DL78" s="420"/>
      <c r="DM78" s="420"/>
      <c r="DN78" s="420"/>
      <c r="DO78" s="420"/>
      <c r="DP78" s="420"/>
      <c r="DQ78" s="420"/>
      <c r="DR78" s="420"/>
      <c r="DS78" s="420"/>
      <c r="DT78" s="420"/>
      <c r="DU78" s="420"/>
      <c r="DV78" s="420"/>
      <c r="DW78" s="420"/>
      <c r="DX78" s="420"/>
      <c r="DY78" s="420"/>
      <c r="DZ78" s="420"/>
      <c r="EA78" s="420"/>
      <c r="EB78" s="420"/>
      <c r="EC78" s="420"/>
      <c r="ED78" s="420"/>
      <c r="EE78" s="420"/>
      <c r="EF78" s="420"/>
      <c r="EG78" s="420"/>
      <c r="EH78" s="420"/>
      <c r="EI78" s="420"/>
      <c r="EJ78" s="420"/>
      <c r="EK78" s="420"/>
      <c r="EL78" s="420"/>
      <c r="EM78" s="420"/>
      <c r="EN78" s="420"/>
      <c r="EO78" s="420"/>
      <c r="EP78" s="420"/>
      <c r="EQ78" s="420"/>
      <c r="ER78" s="420"/>
      <c r="ES78" s="420"/>
      <c r="ET78" s="420"/>
      <c r="EU78" s="420"/>
      <c r="EV78" s="420"/>
      <c r="EW78" s="420"/>
      <c r="EX78" s="420"/>
      <c r="EY78" s="420"/>
      <c r="EZ78" s="420"/>
      <c r="FA78" s="420"/>
      <c r="FB78" s="420"/>
      <c r="FC78" s="420"/>
      <c r="FD78" s="420"/>
      <c r="FE78" s="420"/>
      <c r="FF78" s="420"/>
      <c r="FG78" s="420"/>
      <c r="FH78" s="420"/>
      <c r="FI78" s="420"/>
      <c r="FJ78" s="420"/>
      <c r="FK78" s="420"/>
      <c r="FL78" s="420"/>
      <c r="FM78" s="420"/>
      <c r="FN78" s="420"/>
      <c r="FO78" s="420"/>
      <c r="FP78" s="420"/>
      <c r="FQ78" s="420"/>
      <c r="FR78" s="420"/>
      <c r="FS78" s="420"/>
      <c r="FT78" s="420"/>
      <c r="FU78" s="420"/>
      <c r="FV78" s="420"/>
      <c r="FW78" s="420"/>
      <c r="FX78" s="420"/>
      <c r="FY78" s="420"/>
      <c r="FZ78" s="420"/>
      <c r="GA78" s="420"/>
      <c r="GB78" s="420"/>
      <c r="GC78" s="420"/>
      <c r="GD78" s="420"/>
      <c r="GE78" s="420"/>
      <c r="GF78" s="420"/>
      <c r="GG78" s="420"/>
      <c r="GH78" s="420"/>
      <c r="GI78" s="420"/>
      <c r="GJ78" s="420"/>
      <c r="GK78" s="420"/>
      <c r="GL78" s="420"/>
      <c r="GM78" s="420"/>
      <c r="GN78" s="420"/>
      <c r="GO78" s="420"/>
      <c r="GP78" s="420"/>
      <c r="GQ78" s="420"/>
      <c r="GR78" s="420"/>
      <c r="GS78" s="420"/>
      <c r="GT78" s="420"/>
      <c r="GU78" s="420"/>
      <c r="GV78" s="420"/>
      <c r="GW78" s="420"/>
      <c r="GX78" s="420"/>
      <c r="GY78" s="420"/>
      <c r="GZ78" s="420"/>
      <c r="HA78" s="420"/>
      <c r="HB78" s="420"/>
      <c r="HC78" s="420"/>
      <c r="HD78" s="420"/>
      <c r="HE78" s="420"/>
      <c r="HF78" s="420"/>
      <c r="HG78" s="420"/>
      <c r="HH78" s="420"/>
      <c r="HI78" s="420"/>
      <c r="HJ78" s="420"/>
      <c r="HK78" s="420"/>
      <c r="HL78" s="420"/>
      <c r="HM78" s="420"/>
      <c r="HN78" s="420"/>
      <c r="HO78" s="420"/>
      <c r="HP78" s="420"/>
      <c r="HQ78" s="420"/>
      <c r="HR78" s="420"/>
      <c r="HS78" s="420"/>
      <c r="HT78" s="420"/>
      <c r="HU78" s="420"/>
      <c r="HV78" s="420"/>
      <c r="HW78" s="420"/>
      <c r="HX78" s="420"/>
      <c r="HY78" s="420"/>
      <c r="HZ78" s="420"/>
      <c r="IA78" s="420"/>
      <c r="IB78" s="420"/>
      <c r="IC78" s="420"/>
      <c r="ID78" s="420"/>
      <c r="IE78" s="420"/>
      <c r="IF78" s="420"/>
      <c r="IG78" s="420"/>
      <c r="IH78" s="420"/>
      <c r="II78" s="420"/>
      <c r="IJ78" s="420"/>
      <c r="IK78" s="420"/>
      <c r="IL78" s="420"/>
      <c r="IM78" s="420"/>
      <c r="IN78" s="420"/>
      <c r="IO78" s="420"/>
      <c r="IP78" s="420"/>
      <c r="IQ78" s="420"/>
      <c r="IR78" s="420"/>
      <c r="IS78" s="420"/>
      <c r="IT78" s="420"/>
      <c r="IU78" s="420"/>
      <c r="IV78" s="420"/>
      <c r="IW78" s="420"/>
      <c r="IX78" s="420"/>
      <c r="IY78" s="420"/>
      <c r="IZ78" s="420"/>
      <c r="JA78" s="420"/>
    </row>
    <row r="79" spans="1:261" s="768" customFormat="1" ht="18" customHeight="1" x14ac:dyDescent="0.35">
      <c r="A79" s="783">
        <v>69</v>
      </c>
      <c r="B79" s="776"/>
      <c r="C79" s="422"/>
      <c r="D79" s="583" t="s">
        <v>1072</v>
      </c>
      <c r="E79" s="432"/>
      <c r="F79" s="772"/>
      <c r="G79" s="433"/>
      <c r="H79" s="1009"/>
      <c r="I79" s="1027"/>
      <c r="J79" s="1023"/>
      <c r="K79" s="769">
        <v>8882</v>
      </c>
      <c r="L79" s="1023"/>
      <c r="M79" s="1023"/>
      <c r="N79" s="1023"/>
      <c r="O79" s="777">
        <f>SUM(I79:N79)</f>
        <v>8882</v>
      </c>
      <c r="P79" s="773"/>
      <c r="Q79" s="420"/>
      <c r="R79" s="420"/>
      <c r="S79" s="420"/>
      <c r="T79" s="420"/>
      <c r="U79" s="420"/>
      <c r="V79" s="420"/>
      <c r="W79" s="420"/>
      <c r="X79" s="420"/>
      <c r="Y79" s="420"/>
      <c r="Z79" s="420"/>
      <c r="AA79" s="420"/>
      <c r="AB79" s="420"/>
      <c r="AC79" s="420"/>
      <c r="AD79" s="420"/>
      <c r="AE79" s="420"/>
      <c r="AF79" s="420"/>
      <c r="AG79" s="420"/>
      <c r="AH79" s="420"/>
      <c r="AI79" s="420"/>
      <c r="AJ79" s="420"/>
      <c r="AK79" s="420"/>
      <c r="AL79" s="420"/>
      <c r="AM79" s="420"/>
      <c r="AN79" s="420"/>
      <c r="AO79" s="420"/>
      <c r="AP79" s="420"/>
      <c r="AQ79" s="420"/>
      <c r="AR79" s="420"/>
      <c r="AS79" s="420"/>
      <c r="AT79" s="420"/>
      <c r="AU79" s="420"/>
      <c r="AV79" s="420"/>
      <c r="AW79" s="420"/>
      <c r="AX79" s="420"/>
      <c r="AY79" s="420"/>
      <c r="AZ79" s="420"/>
      <c r="BA79" s="420"/>
      <c r="BB79" s="420"/>
      <c r="BC79" s="420"/>
      <c r="BD79" s="420"/>
      <c r="BE79" s="420"/>
      <c r="BF79" s="420"/>
      <c r="BG79" s="420"/>
      <c r="BH79" s="420"/>
      <c r="BI79" s="420"/>
      <c r="BJ79" s="420"/>
      <c r="BK79" s="420"/>
      <c r="BL79" s="420"/>
      <c r="BM79" s="420"/>
      <c r="BN79" s="420"/>
      <c r="BO79" s="420"/>
      <c r="BP79" s="420"/>
      <c r="BQ79" s="420"/>
      <c r="BR79" s="420"/>
      <c r="BS79" s="420"/>
      <c r="BT79" s="420"/>
      <c r="BU79" s="420"/>
      <c r="BV79" s="420"/>
      <c r="BW79" s="420"/>
      <c r="BX79" s="420"/>
      <c r="BY79" s="420"/>
      <c r="BZ79" s="420"/>
      <c r="CA79" s="420"/>
      <c r="CB79" s="420"/>
      <c r="CC79" s="420"/>
      <c r="CD79" s="420"/>
      <c r="CE79" s="420"/>
      <c r="CF79" s="420"/>
      <c r="CG79" s="420"/>
      <c r="CH79" s="420"/>
      <c r="CI79" s="420"/>
      <c r="CJ79" s="420"/>
      <c r="CK79" s="420"/>
      <c r="CL79" s="420"/>
      <c r="CM79" s="420"/>
      <c r="CN79" s="420"/>
      <c r="CO79" s="420"/>
      <c r="CP79" s="420"/>
      <c r="CQ79" s="420"/>
      <c r="CR79" s="420"/>
      <c r="CS79" s="420"/>
      <c r="CT79" s="420"/>
      <c r="CU79" s="420"/>
      <c r="CV79" s="420"/>
      <c r="CW79" s="420"/>
      <c r="CX79" s="420"/>
      <c r="CY79" s="420"/>
      <c r="CZ79" s="420"/>
      <c r="DA79" s="420"/>
      <c r="DB79" s="420"/>
      <c r="DC79" s="420"/>
      <c r="DD79" s="420"/>
      <c r="DE79" s="420"/>
      <c r="DF79" s="420"/>
      <c r="DG79" s="420"/>
      <c r="DH79" s="420"/>
      <c r="DI79" s="420"/>
      <c r="DJ79" s="420"/>
      <c r="DK79" s="420"/>
      <c r="DL79" s="420"/>
      <c r="DM79" s="420"/>
      <c r="DN79" s="420"/>
      <c r="DO79" s="420"/>
      <c r="DP79" s="420"/>
      <c r="DQ79" s="420"/>
      <c r="DR79" s="420"/>
      <c r="DS79" s="420"/>
      <c r="DT79" s="420"/>
      <c r="DU79" s="420"/>
      <c r="DV79" s="420"/>
      <c r="DW79" s="420"/>
      <c r="DX79" s="420"/>
      <c r="DY79" s="420"/>
      <c r="DZ79" s="420"/>
      <c r="EA79" s="420"/>
      <c r="EB79" s="420"/>
      <c r="EC79" s="420"/>
      <c r="ED79" s="420"/>
      <c r="EE79" s="420"/>
      <c r="EF79" s="420"/>
      <c r="EG79" s="420"/>
      <c r="EH79" s="420"/>
      <c r="EI79" s="420"/>
      <c r="EJ79" s="420"/>
      <c r="EK79" s="420"/>
      <c r="EL79" s="420"/>
      <c r="EM79" s="420"/>
      <c r="EN79" s="420"/>
      <c r="EO79" s="420"/>
      <c r="EP79" s="420"/>
      <c r="EQ79" s="420"/>
      <c r="ER79" s="420"/>
      <c r="ES79" s="420"/>
      <c r="ET79" s="420"/>
      <c r="EU79" s="420"/>
      <c r="EV79" s="420"/>
      <c r="EW79" s="420"/>
      <c r="EX79" s="420"/>
      <c r="EY79" s="420"/>
      <c r="EZ79" s="420"/>
      <c r="FA79" s="420"/>
      <c r="FB79" s="420"/>
      <c r="FC79" s="420"/>
      <c r="FD79" s="420"/>
      <c r="FE79" s="420"/>
      <c r="FF79" s="420"/>
      <c r="FG79" s="420"/>
      <c r="FH79" s="420"/>
      <c r="FI79" s="420"/>
      <c r="FJ79" s="420"/>
      <c r="FK79" s="420"/>
      <c r="FL79" s="420"/>
      <c r="FM79" s="420"/>
      <c r="FN79" s="420"/>
      <c r="FO79" s="420"/>
      <c r="FP79" s="420"/>
      <c r="FQ79" s="420"/>
      <c r="FR79" s="420"/>
      <c r="FS79" s="420"/>
      <c r="FT79" s="420"/>
      <c r="FU79" s="420"/>
      <c r="FV79" s="420"/>
      <c r="FW79" s="420"/>
      <c r="FX79" s="420"/>
      <c r="FY79" s="420"/>
      <c r="FZ79" s="420"/>
      <c r="GA79" s="420"/>
      <c r="GB79" s="420"/>
      <c r="GC79" s="420"/>
      <c r="GD79" s="420"/>
      <c r="GE79" s="420"/>
      <c r="GF79" s="420"/>
      <c r="GG79" s="420"/>
      <c r="GH79" s="420"/>
      <c r="GI79" s="420"/>
      <c r="GJ79" s="420"/>
      <c r="GK79" s="420"/>
      <c r="GL79" s="420"/>
      <c r="GM79" s="420"/>
      <c r="GN79" s="420"/>
      <c r="GO79" s="420"/>
      <c r="GP79" s="420"/>
      <c r="GQ79" s="420"/>
      <c r="GR79" s="420"/>
      <c r="GS79" s="420"/>
      <c r="GT79" s="420"/>
      <c r="GU79" s="420"/>
      <c r="GV79" s="420"/>
      <c r="GW79" s="420"/>
      <c r="GX79" s="420"/>
      <c r="GY79" s="420"/>
      <c r="GZ79" s="420"/>
      <c r="HA79" s="420"/>
      <c r="HB79" s="420"/>
      <c r="HC79" s="420"/>
      <c r="HD79" s="420"/>
      <c r="HE79" s="420"/>
      <c r="HF79" s="420"/>
      <c r="HG79" s="420"/>
      <c r="HH79" s="420"/>
      <c r="HI79" s="420"/>
      <c r="HJ79" s="420"/>
      <c r="HK79" s="420"/>
      <c r="HL79" s="420"/>
      <c r="HM79" s="420"/>
      <c r="HN79" s="420"/>
      <c r="HO79" s="420"/>
      <c r="HP79" s="420"/>
      <c r="HQ79" s="420"/>
      <c r="HR79" s="420"/>
      <c r="HS79" s="420"/>
      <c r="HT79" s="420"/>
      <c r="HU79" s="420"/>
      <c r="HV79" s="420"/>
      <c r="HW79" s="420"/>
      <c r="HX79" s="420"/>
      <c r="HY79" s="420"/>
      <c r="HZ79" s="420"/>
      <c r="IA79" s="420"/>
      <c r="IB79" s="420"/>
      <c r="IC79" s="420"/>
      <c r="ID79" s="420"/>
      <c r="IE79" s="420"/>
      <c r="IF79" s="420"/>
      <c r="IG79" s="420"/>
      <c r="IH79" s="420"/>
      <c r="II79" s="420"/>
      <c r="IJ79" s="420"/>
      <c r="IK79" s="420"/>
      <c r="IL79" s="420"/>
      <c r="IM79" s="420"/>
      <c r="IN79" s="420"/>
      <c r="IO79" s="420"/>
      <c r="IP79" s="420"/>
      <c r="IQ79" s="420"/>
      <c r="IR79" s="420"/>
      <c r="IS79" s="420"/>
      <c r="IT79" s="420"/>
      <c r="IU79" s="420"/>
      <c r="IV79" s="420"/>
      <c r="IW79" s="420"/>
      <c r="IX79" s="420"/>
      <c r="IY79" s="420"/>
      <c r="IZ79" s="420"/>
      <c r="JA79" s="420"/>
    </row>
    <row r="80" spans="1:261" s="768" customFormat="1" ht="18" customHeight="1" x14ac:dyDescent="0.35">
      <c r="A80" s="783">
        <v>70</v>
      </c>
      <c r="B80" s="776"/>
      <c r="C80" s="422"/>
      <c r="D80" s="1338" t="s">
        <v>987</v>
      </c>
      <c r="E80" s="432"/>
      <c r="F80" s="772"/>
      <c r="G80" s="433"/>
      <c r="H80" s="1009"/>
      <c r="I80" s="1005"/>
      <c r="J80" s="769"/>
      <c r="K80" s="1810"/>
      <c r="L80" s="769"/>
      <c r="M80" s="769"/>
      <c r="N80" s="769"/>
      <c r="O80" s="1623">
        <f>SUM(I80:N80)</f>
        <v>0</v>
      </c>
      <c r="P80" s="773"/>
      <c r="Q80" s="420"/>
      <c r="R80" s="420"/>
      <c r="S80" s="420"/>
      <c r="T80" s="420"/>
      <c r="U80" s="420"/>
      <c r="V80" s="420"/>
      <c r="W80" s="420"/>
      <c r="X80" s="420"/>
      <c r="Y80" s="420"/>
      <c r="Z80" s="420"/>
      <c r="AA80" s="420"/>
      <c r="AB80" s="420"/>
      <c r="AC80" s="420"/>
      <c r="AD80" s="420"/>
      <c r="AE80" s="420"/>
      <c r="AF80" s="420"/>
      <c r="AG80" s="420"/>
      <c r="AH80" s="420"/>
      <c r="AI80" s="420"/>
      <c r="AJ80" s="420"/>
      <c r="AK80" s="420"/>
      <c r="AL80" s="420"/>
      <c r="AM80" s="420"/>
      <c r="AN80" s="420"/>
      <c r="AO80" s="420"/>
      <c r="AP80" s="420"/>
      <c r="AQ80" s="420"/>
      <c r="AR80" s="420"/>
      <c r="AS80" s="420"/>
      <c r="AT80" s="420"/>
      <c r="AU80" s="420"/>
      <c r="AV80" s="420"/>
      <c r="AW80" s="420"/>
      <c r="AX80" s="420"/>
      <c r="AY80" s="420"/>
      <c r="AZ80" s="420"/>
      <c r="BA80" s="420"/>
      <c r="BB80" s="420"/>
      <c r="BC80" s="420"/>
      <c r="BD80" s="420"/>
      <c r="BE80" s="420"/>
      <c r="BF80" s="420"/>
      <c r="BG80" s="420"/>
      <c r="BH80" s="420"/>
      <c r="BI80" s="420"/>
      <c r="BJ80" s="420"/>
      <c r="BK80" s="420"/>
      <c r="BL80" s="420"/>
      <c r="BM80" s="420"/>
      <c r="BN80" s="420"/>
      <c r="BO80" s="420"/>
      <c r="BP80" s="420"/>
      <c r="BQ80" s="420"/>
      <c r="BR80" s="420"/>
      <c r="BS80" s="420"/>
      <c r="BT80" s="420"/>
      <c r="BU80" s="420"/>
      <c r="BV80" s="420"/>
      <c r="BW80" s="420"/>
      <c r="BX80" s="420"/>
      <c r="BY80" s="420"/>
      <c r="BZ80" s="420"/>
      <c r="CA80" s="420"/>
      <c r="CB80" s="420"/>
      <c r="CC80" s="420"/>
      <c r="CD80" s="420"/>
      <c r="CE80" s="420"/>
      <c r="CF80" s="420"/>
      <c r="CG80" s="420"/>
      <c r="CH80" s="420"/>
      <c r="CI80" s="420"/>
      <c r="CJ80" s="420"/>
      <c r="CK80" s="420"/>
      <c r="CL80" s="420"/>
      <c r="CM80" s="420"/>
      <c r="CN80" s="420"/>
      <c r="CO80" s="420"/>
      <c r="CP80" s="420"/>
      <c r="CQ80" s="420"/>
      <c r="CR80" s="420"/>
      <c r="CS80" s="420"/>
      <c r="CT80" s="420"/>
      <c r="CU80" s="420"/>
      <c r="CV80" s="420"/>
      <c r="CW80" s="420"/>
      <c r="CX80" s="420"/>
      <c r="CY80" s="420"/>
      <c r="CZ80" s="420"/>
      <c r="DA80" s="420"/>
      <c r="DB80" s="420"/>
      <c r="DC80" s="420"/>
      <c r="DD80" s="420"/>
      <c r="DE80" s="420"/>
      <c r="DF80" s="420"/>
      <c r="DG80" s="420"/>
      <c r="DH80" s="420"/>
      <c r="DI80" s="420"/>
      <c r="DJ80" s="420"/>
      <c r="DK80" s="420"/>
      <c r="DL80" s="420"/>
      <c r="DM80" s="420"/>
      <c r="DN80" s="420"/>
      <c r="DO80" s="420"/>
      <c r="DP80" s="420"/>
      <c r="DQ80" s="420"/>
      <c r="DR80" s="420"/>
      <c r="DS80" s="420"/>
      <c r="DT80" s="420"/>
      <c r="DU80" s="420"/>
      <c r="DV80" s="420"/>
      <c r="DW80" s="420"/>
      <c r="DX80" s="420"/>
      <c r="DY80" s="420"/>
      <c r="DZ80" s="420"/>
      <c r="EA80" s="420"/>
      <c r="EB80" s="420"/>
      <c r="EC80" s="420"/>
      <c r="ED80" s="420"/>
      <c r="EE80" s="420"/>
      <c r="EF80" s="420"/>
      <c r="EG80" s="420"/>
      <c r="EH80" s="420"/>
      <c r="EI80" s="420"/>
      <c r="EJ80" s="420"/>
      <c r="EK80" s="420"/>
      <c r="EL80" s="420"/>
      <c r="EM80" s="420"/>
      <c r="EN80" s="420"/>
      <c r="EO80" s="420"/>
      <c r="EP80" s="420"/>
      <c r="EQ80" s="420"/>
      <c r="ER80" s="420"/>
      <c r="ES80" s="420"/>
      <c r="ET80" s="420"/>
      <c r="EU80" s="420"/>
      <c r="EV80" s="420"/>
      <c r="EW80" s="420"/>
      <c r="EX80" s="420"/>
      <c r="EY80" s="420"/>
      <c r="EZ80" s="420"/>
      <c r="FA80" s="420"/>
      <c r="FB80" s="420"/>
      <c r="FC80" s="420"/>
      <c r="FD80" s="420"/>
      <c r="FE80" s="420"/>
      <c r="FF80" s="420"/>
      <c r="FG80" s="420"/>
      <c r="FH80" s="420"/>
      <c r="FI80" s="420"/>
      <c r="FJ80" s="420"/>
      <c r="FK80" s="420"/>
      <c r="FL80" s="420"/>
      <c r="FM80" s="420"/>
      <c r="FN80" s="420"/>
      <c r="FO80" s="420"/>
      <c r="FP80" s="420"/>
      <c r="FQ80" s="420"/>
      <c r="FR80" s="420"/>
      <c r="FS80" s="420"/>
      <c r="FT80" s="420"/>
      <c r="FU80" s="420"/>
      <c r="FV80" s="420"/>
      <c r="FW80" s="420"/>
      <c r="FX80" s="420"/>
      <c r="FY80" s="420"/>
      <c r="FZ80" s="420"/>
      <c r="GA80" s="420"/>
      <c r="GB80" s="420"/>
      <c r="GC80" s="420"/>
      <c r="GD80" s="420"/>
      <c r="GE80" s="420"/>
      <c r="GF80" s="420"/>
      <c r="GG80" s="420"/>
      <c r="GH80" s="420"/>
      <c r="GI80" s="420"/>
      <c r="GJ80" s="420"/>
      <c r="GK80" s="420"/>
      <c r="GL80" s="420"/>
      <c r="GM80" s="420"/>
      <c r="GN80" s="420"/>
      <c r="GO80" s="420"/>
      <c r="GP80" s="420"/>
      <c r="GQ80" s="420"/>
      <c r="GR80" s="420"/>
      <c r="GS80" s="420"/>
      <c r="GT80" s="420"/>
      <c r="GU80" s="420"/>
      <c r="GV80" s="420"/>
      <c r="GW80" s="420"/>
      <c r="GX80" s="420"/>
      <c r="GY80" s="420"/>
      <c r="GZ80" s="420"/>
      <c r="HA80" s="420"/>
      <c r="HB80" s="420"/>
      <c r="HC80" s="420"/>
      <c r="HD80" s="420"/>
      <c r="HE80" s="420"/>
      <c r="HF80" s="420"/>
      <c r="HG80" s="420"/>
      <c r="HH80" s="420"/>
      <c r="HI80" s="420"/>
      <c r="HJ80" s="420"/>
      <c r="HK80" s="420"/>
      <c r="HL80" s="420"/>
      <c r="HM80" s="420"/>
      <c r="HN80" s="420"/>
      <c r="HO80" s="420"/>
      <c r="HP80" s="420"/>
      <c r="HQ80" s="420"/>
      <c r="HR80" s="420"/>
      <c r="HS80" s="420"/>
      <c r="HT80" s="420"/>
      <c r="HU80" s="420"/>
      <c r="HV80" s="420"/>
      <c r="HW80" s="420"/>
      <c r="HX80" s="420"/>
      <c r="HY80" s="420"/>
      <c r="HZ80" s="420"/>
      <c r="IA80" s="420"/>
      <c r="IB80" s="420"/>
      <c r="IC80" s="420"/>
      <c r="ID80" s="420"/>
      <c r="IE80" s="420"/>
      <c r="IF80" s="420"/>
      <c r="IG80" s="420"/>
      <c r="IH80" s="420"/>
      <c r="II80" s="420"/>
      <c r="IJ80" s="420"/>
      <c r="IK80" s="420"/>
      <c r="IL80" s="420"/>
      <c r="IM80" s="420"/>
      <c r="IN80" s="420"/>
      <c r="IO80" s="420"/>
      <c r="IP80" s="420"/>
      <c r="IQ80" s="420"/>
      <c r="IR80" s="420"/>
      <c r="IS80" s="420"/>
      <c r="IT80" s="420"/>
      <c r="IU80" s="420"/>
      <c r="IV80" s="420"/>
      <c r="IW80" s="420"/>
      <c r="IX80" s="420"/>
      <c r="IY80" s="420"/>
      <c r="IZ80" s="420"/>
      <c r="JA80" s="420"/>
    </row>
    <row r="81" spans="1:261" s="768" customFormat="1" ht="18" customHeight="1" x14ac:dyDescent="0.35">
      <c r="A81" s="783">
        <v>71</v>
      </c>
      <c r="B81" s="776"/>
      <c r="C81" s="422"/>
      <c r="D81" s="583" t="s">
        <v>1151</v>
      </c>
      <c r="E81" s="432"/>
      <c r="F81" s="772"/>
      <c r="G81" s="433"/>
      <c r="H81" s="1009"/>
      <c r="I81" s="1005"/>
      <c r="J81" s="769"/>
      <c r="K81" s="769">
        <f>SUM(K79:K80)</f>
        <v>8882</v>
      </c>
      <c r="L81" s="769"/>
      <c r="M81" s="769"/>
      <c r="N81" s="769"/>
      <c r="O81" s="777">
        <f>SUM(I81:N81)</f>
        <v>8882</v>
      </c>
      <c r="P81" s="773"/>
      <c r="Q81" s="420"/>
      <c r="R81" s="420"/>
      <c r="S81" s="420"/>
      <c r="T81" s="420"/>
      <c r="U81" s="420"/>
      <c r="V81" s="420"/>
      <c r="W81" s="420"/>
      <c r="X81" s="420"/>
      <c r="Y81" s="420"/>
      <c r="Z81" s="420"/>
      <c r="AA81" s="420"/>
      <c r="AB81" s="420"/>
      <c r="AC81" s="420"/>
      <c r="AD81" s="420"/>
      <c r="AE81" s="420"/>
      <c r="AF81" s="420"/>
      <c r="AG81" s="420"/>
      <c r="AH81" s="420"/>
      <c r="AI81" s="420"/>
      <c r="AJ81" s="420"/>
      <c r="AK81" s="420"/>
      <c r="AL81" s="420"/>
      <c r="AM81" s="420"/>
      <c r="AN81" s="420"/>
      <c r="AO81" s="420"/>
      <c r="AP81" s="420"/>
      <c r="AQ81" s="420"/>
      <c r="AR81" s="420"/>
      <c r="AS81" s="420"/>
      <c r="AT81" s="420"/>
      <c r="AU81" s="420"/>
      <c r="AV81" s="420"/>
      <c r="AW81" s="420"/>
      <c r="AX81" s="420"/>
      <c r="AY81" s="420"/>
      <c r="AZ81" s="420"/>
      <c r="BA81" s="420"/>
      <c r="BB81" s="420"/>
      <c r="BC81" s="420"/>
      <c r="BD81" s="420"/>
      <c r="BE81" s="420"/>
      <c r="BF81" s="420"/>
      <c r="BG81" s="420"/>
      <c r="BH81" s="420"/>
      <c r="BI81" s="420"/>
      <c r="BJ81" s="420"/>
      <c r="BK81" s="420"/>
      <c r="BL81" s="420"/>
      <c r="BM81" s="420"/>
      <c r="BN81" s="420"/>
      <c r="BO81" s="420"/>
      <c r="BP81" s="420"/>
      <c r="BQ81" s="420"/>
      <c r="BR81" s="420"/>
      <c r="BS81" s="420"/>
      <c r="BT81" s="420"/>
      <c r="BU81" s="420"/>
      <c r="BV81" s="420"/>
      <c r="BW81" s="420"/>
      <c r="BX81" s="420"/>
      <c r="BY81" s="420"/>
      <c r="BZ81" s="420"/>
      <c r="CA81" s="420"/>
      <c r="CB81" s="420"/>
      <c r="CC81" s="420"/>
      <c r="CD81" s="420"/>
      <c r="CE81" s="420"/>
      <c r="CF81" s="420"/>
      <c r="CG81" s="420"/>
      <c r="CH81" s="420"/>
      <c r="CI81" s="420"/>
      <c r="CJ81" s="420"/>
      <c r="CK81" s="420"/>
      <c r="CL81" s="420"/>
      <c r="CM81" s="420"/>
      <c r="CN81" s="420"/>
      <c r="CO81" s="420"/>
      <c r="CP81" s="420"/>
      <c r="CQ81" s="420"/>
      <c r="CR81" s="420"/>
      <c r="CS81" s="420"/>
      <c r="CT81" s="420"/>
      <c r="CU81" s="420"/>
      <c r="CV81" s="420"/>
      <c r="CW81" s="420"/>
      <c r="CX81" s="420"/>
      <c r="CY81" s="420"/>
      <c r="CZ81" s="420"/>
      <c r="DA81" s="420"/>
      <c r="DB81" s="420"/>
      <c r="DC81" s="420"/>
      <c r="DD81" s="420"/>
      <c r="DE81" s="420"/>
      <c r="DF81" s="420"/>
      <c r="DG81" s="420"/>
      <c r="DH81" s="420"/>
      <c r="DI81" s="420"/>
      <c r="DJ81" s="420"/>
      <c r="DK81" s="420"/>
      <c r="DL81" s="420"/>
      <c r="DM81" s="420"/>
      <c r="DN81" s="420"/>
      <c r="DO81" s="420"/>
      <c r="DP81" s="420"/>
      <c r="DQ81" s="420"/>
      <c r="DR81" s="420"/>
      <c r="DS81" s="420"/>
      <c r="DT81" s="420"/>
      <c r="DU81" s="420"/>
      <c r="DV81" s="420"/>
      <c r="DW81" s="420"/>
      <c r="DX81" s="420"/>
      <c r="DY81" s="420"/>
      <c r="DZ81" s="420"/>
      <c r="EA81" s="420"/>
      <c r="EB81" s="420"/>
      <c r="EC81" s="420"/>
      <c r="ED81" s="420"/>
      <c r="EE81" s="420"/>
      <c r="EF81" s="420"/>
      <c r="EG81" s="420"/>
      <c r="EH81" s="420"/>
      <c r="EI81" s="420"/>
      <c r="EJ81" s="420"/>
      <c r="EK81" s="420"/>
      <c r="EL81" s="420"/>
      <c r="EM81" s="420"/>
      <c r="EN81" s="420"/>
      <c r="EO81" s="420"/>
      <c r="EP81" s="420"/>
      <c r="EQ81" s="420"/>
      <c r="ER81" s="420"/>
      <c r="ES81" s="420"/>
      <c r="ET81" s="420"/>
      <c r="EU81" s="420"/>
      <c r="EV81" s="420"/>
      <c r="EW81" s="420"/>
      <c r="EX81" s="420"/>
      <c r="EY81" s="420"/>
      <c r="EZ81" s="420"/>
      <c r="FA81" s="420"/>
      <c r="FB81" s="420"/>
      <c r="FC81" s="420"/>
      <c r="FD81" s="420"/>
      <c r="FE81" s="420"/>
      <c r="FF81" s="420"/>
      <c r="FG81" s="420"/>
      <c r="FH81" s="420"/>
      <c r="FI81" s="420"/>
      <c r="FJ81" s="420"/>
      <c r="FK81" s="420"/>
      <c r="FL81" s="420"/>
      <c r="FM81" s="420"/>
      <c r="FN81" s="420"/>
      <c r="FO81" s="420"/>
      <c r="FP81" s="420"/>
      <c r="FQ81" s="420"/>
      <c r="FR81" s="420"/>
      <c r="FS81" s="420"/>
      <c r="FT81" s="420"/>
      <c r="FU81" s="420"/>
      <c r="FV81" s="420"/>
      <c r="FW81" s="420"/>
      <c r="FX81" s="420"/>
      <c r="FY81" s="420"/>
      <c r="FZ81" s="420"/>
      <c r="GA81" s="420"/>
      <c r="GB81" s="420"/>
      <c r="GC81" s="420"/>
      <c r="GD81" s="420"/>
      <c r="GE81" s="420"/>
      <c r="GF81" s="420"/>
      <c r="GG81" s="420"/>
      <c r="GH81" s="420"/>
      <c r="GI81" s="420"/>
      <c r="GJ81" s="420"/>
      <c r="GK81" s="420"/>
      <c r="GL81" s="420"/>
      <c r="GM81" s="420"/>
      <c r="GN81" s="420"/>
      <c r="GO81" s="420"/>
      <c r="GP81" s="420"/>
      <c r="GQ81" s="420"/>
      <c r="GR81" s="420"/>
      <c r="GS81" s="420"/>
      <c r="GT81" s="420"/>
      <c r="GU81" s="420"/>
      <c r="GV81" s="420"/>
      <c r="GW81" s="420"/>
      <c r="GX81" s="420"/>
      <c r="GY81" s="420"/>
      <c r="GZ81" s="420"/>
      <c r="HA81" s="420"/>
      <c r="HB81" s="420"/>
      <c r="HC81" s="420"/>
      <c r="HD81" s="420"/>
      <c r="HE81" s="420"/>
      <c r="HF81" s="420"/>
      <c r="HG81" s="420"/>
      <c r="HH81" s="420"/>
      <c r="HI81" s="420"/>
      <c r="HJ81" s="420"/>
      <c r="HK81" s="420"/>
      <c r="HL81" s="420"/>
      <c r="HM81" s="420"/>
      <c r="HN81" s="420"/>
      <c r="HO81" s="420"/>
      <c r="HP81" s="420"/>
      <c r="HQ81" s="420"/>
      <c r="HR81" s="420"/>
      <c r="HS81" s="420"/>
      <c r="HT81" s="420"/>
      <c r="HU81" s="420"/>
      <c r="HV81" s="420"/>
      <c r="HW81" s="420"/>
      <c r="HX81" s="420"/>
      <c r="HY81" s="420"/>
      <c r="HZ81" s="420"/>
      <c r="IA81" s="420"/>
      <c r="IB81" s="420"/>
      <c r="IC81" s="420"/>
      <c r="ID81" s="420"/>
      <c r="IE81" s="420"/>
      <c r="IF81" s="420"/>
      <c r="IG81" s="420"/>
      <c r="IH81" s="420"/>
      <c r="II81" s="420"/>
      <c r="IJ81" s="420"/>
      <c r="IK81" s="420"/>
      <c r="IL81" s="420"/>
      <c r="IM81" s="420"/>
      <c r="IN81" s="420"/>
      <c r="IO81" s="420"/>
      <c r="IP81" s="420"/>
      <c r="IQ81" s="420"/>
      <c r="IR81" s="420"/>
      <c r="IS81" s="420"/>
      <c r="IT81" s="420"/>
      <c r="IU81" s="420"/>
      <c r="IV81" s="420"/>
      <c r="IW81" s="420"/>
      <c r="IX81" s="420"/>
      <c r="IY81" s="420"/>
      <c r="IZ81" s="420"/>
      <c r="JA81" s="420"/>
    </row>
    <row r="82" spans="1:261" ht="33.75" x14ac:dyDescent="0.35">
      <c r="A82" s="783">
        <v>72</v>
      </c>
      <c r="B82" s="625"/>
      <c r="C82" s="422">
        <v>15</v>
      </c>
      <c r="D82" s="423" t="s">
        <v>685</v>
      </c>
      <c r="E82" s="432"/>
      <c r="F82" s="772"/>
      <c r="G82" s="433"/>
      <c r="H82" s="1009" t="s">
        <v>24</v>
      </c>
      <c r="I82" s="1027"/>
      <c r="J82" s="1023"/>
      <c r="K82" s="1023"/>
      <c r="L82" s="1023"/>
      <c r="M82" s="1023"/>
      <c r="N82" s="1023"/>
      <c r="O82" s="992"/>
      <c r="P82" s="773"/>
    </row>
    <row r="83" spans="1:261" s="768" customFormat="1" ht="18" customHeight="1" x14ac:dyDescent="0.35">
      <c r="A83" s="783">
        <v>73</v>
      </c>
      <c r="B83" s="776"/>
      <c r="C83" s="422"/>
      <c r="D83" s="1002" t="s">
        <v>311</v>
      </c>
      <c r="E83" s="432">
        <f>F83+G83+O86+P86</f>
        <v>906000</v>
      </c>
      <c r="F83" s="772"/>
      <c r="G83" s="433"/>
      <c r="H83" s="1009"/>
      <c r="I83" s="1027"/>
      <c r="J83" s="1023"/>
      <c r="K83" s="1023"/>
      <c r="L83" s="1023"/>
      <c r="M83" s="1023">
        <v>906000</v>
      </c>
      <c r="N83" s="1023"/>
      <c r="O83" s="992">
        <f>SUM(I83:N83)</f>
        <v>906000</v>
      </c>
      <c r="P83" s="773"/>
      <c r="Q83" s="420"/>
      <c r="R83" s="420"/>
      <c r="S83" s="420"/>
      <c r="T83" s="420"/>
      <c r="U83" s="420"/>
      <c r="V83" s="420"/>
      <c r="W83" s="420"/>
      <c r="X83" s="420"/>
      <c r="Y83" s="420"/>
      <c r="Z83" s="420"/>
      <c r="AA83" s="420"/>
      <c r="AB83" s="420"/>
      <c r="AC83" s="420"/>
      <c r="AD83" s="420"/>
      <c r="AE83" s="420"/>
      <c r="AF83" s="420"/>
      <c r="AG83" s="420"/>
      <c r="AH83" s="420"/>
      <c r="AI83" s="420"/>
      <c r="AJ83" s="420"/>
      <c r="AK83" s="420"/>
      <c r="AL83" s="420"/>
      <c r="AM83" s="420"/>
      <c r="AN83" s="420"/>
      <c r="AO83" s="420"/>
      <c r="AP83" s="420"/>
      <c r="AQ83" s="420"/>
      <c r="AR83" s="420"/>
      <c r="AS83" s="420"/>
      <c r="AT83" s="420"/>
      <c r="AU83" s="420"/>
      <c r="AV83" s="420"/>
      <c r="AW83" s="420"/>
      <c r="AX83" s="420"/>
      <c r="AY83" s="420"/>
      <c r="AZ83" s="420"/>
      <c r="BA83" s="420"/>
      <c r="BB83" s="420"/>
      <c r="BC83" s="420"/>
      <c r="BD83" s="420"/>
      <c r="BE83" s="420"/>
      <c r="BF83" s="420"/>
      <c r="BG83" s="420"/>
      <c r="BH83" s="420"/>
      <c r="BI83" s="420"/>
      <c r="BJ83" s="420"/>
      <c r="BK83" s="420"/>
      <c r="BL83" s="420"/>
      <c r="BM83" s="420"/>
      <c r="BN83" s="420"/>
      <c r="BO83" s="420"/>
      <c r="BP83" s="420"/>
      <c r="BQ83" s="420"/>
      <c r="BR83" s="420"/>
      <c r="BS83" s="420"/>
      <c r="BT83" s="420"/>
      <c r="BU83" s="420"/>
      <c r="BV83" s="420"/>
      <c r="BW83" s="420"/>
      <c r="BX83" s="420"/>
      <c r="BY83" s="420"/>
      <c r="BZ83" s="420"/>
      <c r="CA83" s="420"/>
      <c r="CB83" s="420"/>
      <c r="CC83" s="420"/>
      <c r="CD83" s="420"/>
      <c r="CE83" s="420"/>
      <c r="CF83" s="420"/>
      <c r="CG83" s="420"/>
      <c r="CH83" s="420"/>
      <c r="CI83" s="420"/>
      <c r="CJ83" s="420"/>
      <c r="CK83" s="420"/>
      <c r="CL83" s="420"/>
      <c r="CM83" s="420"/>
      <c r="CN83" s="420"/>
      <c r="CO83" s="420"/>
      <c r="CP83" s="420"/>
      <c r="CQ83" s="420"/>
      <c r="CR83" s="420"/>
      <c r="CS83" s="420"/>
      <c r="CT83" s="420"/>
      <c r="CU83" s="420"/>
      <c r="CV83" s="420"/>
      <c r="CW83" s="420"/>
      <c r="CX83" s="420"/>
      <c r="CY83" s="420"/>
      <c r="CZ83" s="420"/>
      <c r="DA83" s="420"/>
      <c r="DB83" s="420"/>
      <c r="DC83" s="420"/>
      <c r="DD83" s="420"/>
      <c r="DE83" s="420"/>
      <c r="DF83" s="420"/>
      <c r="DG83" s="420"/>
      <c r="DH83" s="420"/>
      <c r="DI83" s="420"/>
      <c r="DJ83" s="420"/>
      <c r="DK83" s="420"/>
      <c r="DL83" s="420"/>
      <c r="DM83" s="420"/>
      <c r="DN83" s="420"/>
      <c r="DO83" s="420"/>
      <c r="DP83" s="420"/>
      <c r="DQ83" s="420"/>
      <c r="DR83" s="420"/>
      <c r="DS83" s="420"/>
      <c r="DT83" s="420"/>
      <c r="DU83" s="420"/>
      <c r="DV83" s="420"/>
      <c r="DW83" s="420"/>
      <c r="DX83" s="420"/>
      <c r="DY83" s="420"/>
      <c r="DZ83" s="420"/>
      <c r="EA83" s="420"/>
      <c r="EB83" s="420"/>
      <c r="EC83" s="420"/>
      <c r="ED83" s="420"/>
      <c r="EE83" s="420"/>
      <c r="EF83" s="420"/>
      <c r="EG83" s="420"/>
      <c r="EH83" s="420"/>
      <c r="EI83" s="420"/>
      <c r="EJ83" s="420"/>
      <c r="EK83" s="420"/>
      <c r="EL83" s="420"/>
      <c r="EM83" s="420"/>
      <c r="EN83" s="420"/>
      <c r="EO83" s="420"/>
      <c r="EP83" s="420"/>
      <c r="EQ83" s="420"/>
      <c r="ER83" s="420"/>
      <c r="ES83" s="420"/>
      <c r="ET83" s="420"/>
      <c r="EU83" s="420"/>
      <c r="EV83" s="420"/>
      <c r="EW83" s="420"/>
      <c r="EX83" s="420"/>
      <c r="EY83" s="420"/>
      <c r="EZ83" s="420"/>
      <c r="FA83" s="420"/>
      <c r="FB83" s="420"/>
      <c r="FC83" s="420"/>
      <c r="FD83" s="420"/>
      <c r="FE83" s="420"/>
      <c r="FF83" s="420"/>
      <c r="FG83" s="420"/>
      <c r="FH83" s="420"/>
      <c r="FI83" s="420"/>
      <c r="FJ83" s="420"/>
      <c r="FK83" s="420"/>
      <c r="FL83" s="420"/>
      <c r="FM83" s="420"/>
      <c r="FN83" s="420"/>
      <c r="FO83" s="420"/>
      <c r="FP83" s="420"/>
      <c r="FQ83" s="420"/>
      <c r="FR83" s="420"/>
      <c r="FS83" s="420"/>
      <c r="FT83" s="420"/>
      <c r="FU83" s="420"/>
      <c r="FV83" s="420"/>
      <c r="FW83" s="420"/>
      <c r="FX83" s="420"/>
      <c r="FY83" s="420"/>
      <c r="FZ83" s="420"/>
      <c r="GA83" s="420"/>
      <c r="GB83" s="420"/>
      <c r="GC83" s="420"/>
      <c r="GD83" s="420"/>
      <c r="GE83" s="420"/>
      <c r="GF83" s="420"/>
      <c r="GG83" s="420"/>
      <c r="GH83" s="420"/>
      <c r="GI83" s="420"/>
      <c r="GJ83" s="420"/>
      <c r="GK83" s="420"/>
      <c r="GL83" s="420"/>
      <c r="GM83" s="420"/>
      <c r="GN83" s="420"/>
      <c r="GO83" s="420"/>
      <c r="GP83" s="420"/>
      <c r="GQ83" s="420"/>
      <c r="GR83" s="420"/>
      <c r="GS83" s="420"/>
      <c r="GT83" s="420"/>
      <c r="GU83" s="420"/>
      <c r="GV83" s="420"/>
      <c r="GW83" s="420"/>
      <c r="GX83" s="420"/>
      <c r="GY83" s="420"/>
      <c r="GZ83" s="420"/>
      <c r="HA83" s="420"/>
      <c r="HB83" s="420"/>
      <c r="HC83" s="420"/>
      <c r="HD83" s="420"/>
      <c r="HE83" s="420"/>
      <c r="HF83" s="420"/>
      <c r="HG83" s="420"/>
      <c r="HH83" s="420"/>
      <c r="HI83" s="420"/>
      <c r="HJ83" s="420"/>
      <c r="HK83" s="420"/>
      <c r="HL83" s="420"/>
      <c r="HM83" s="420"/>
      <c r="HN83" s="420"/>
      <c r="HO83" s="420"/>
      <c r="HP83" s="420"/>
      <c r="HQ83" s="420"/>
      <c r="HR83" s="420"/>
      <c r="HS83" s="420"/>
      <c r="HT83" s="420"/>
      <c r="HU83" s="420"/>
      <c r="HV83" s="420"/>
      <c r="HW83" s="420"/>
      <c r="HX83" s="420"/>
      <c r="HY83" s="420"/>
      <c r="HZ83" s="420"/>
      <c r="IA83" s="420"/>
      <c r="IB83" s="420"/>
      <c r="IC83" s="420"/>
      <c r="ID83" s="420"/>
      <c r="IE83" s="420"/>
      <c r="IF83" s="420"/>
      <c r="IG83" s="420"/>
      <c r="IH83" s="420"/>
      <c r="II83" s="420"/>
      <c r="IJ83" s="420"/>
      <c r="IK83" s="420"/>
      <c r="IL83" s="420"/>
      <c r="IM83" s="420"/>
      <c r="IN83" s="420"/>
      <c r="IO83" s="420"/>
      <c r="IP83" s="420"/>
      <c r="IQ83" s="420"/>
      <c r="IR83" s="420"/>
      <c r="IS83" s="420"/>
      <c r="IT83" s="420"/>
      <c r="IU83" s="420"/>
      <c r="IV83" s="420"/>
      <c r="IW83" s="420"/>
      <c r="IX83" s="420"/>
      <c r="IY83" s="420"/>
      <c r="IZ83" s="420"/>
      <c r="JA83" s="420"/>
    </row>
    <row r="84" spans="1:261" s="768" customFormat="1" ht="18" customHeight="1" x14ac:dyDescent="0.35">
      <c r="A84" s="783">
        <v>74</v>
      </c>
      <c r="B84" s="776"/>
      <c r="C84" s="422"/>
      <c r="D84" s="583" t="s">
        <v>1072</v>
      </c>
      <c r="E84" s="432"/>
      <c r="F84" s="772"/>
      <c r="G84" s="433"/>
      <c r="H84" s="1009"/>
      <c r="I84" s="1027"/>
      <c r="J84" s="1023"/>
      <c r="K84" s="1023"/>
      <c r="L84" s="1023"/>
      <c r="M84" s="769">
        <v>906000</v>
      </c>
      <c r="N84" s="1023"/>
      <c r="O84" s="777">
        <f>SUM(I84:N84)</f>
        <v>906000</v>
      </c>
      <c r="P84" s="773"/>
      <c r="Q84" s="420"/>
      <c r="R84" s="420"/>
      <c r="S84" s="420"/>
      <c r="T84" s="420"/>
      <c r="U84" s="420"/>
      <c r="V84" s="420"/>
      <c r="W84" s="420"/>
      <c r="X84" s="420"/>
      <c r="Y84" s="420"/>
      <c r="Z84" s="420"/>
      <c r="AA84" s="420"/>
      <c r="AB84" s="420"/>
      <c r="AC84" s="420"/>
      <c r="AD84" s="420"/>
      <c r="AE84" s="420"/>
      <c r="AF84" s="420"/>
      <c r="AG84" s="420"/>
      <c r="AH84" s="420"/>
      <c r="AI84" s="420"/>
      <c r="AJ84" s="420"/>
      <c r="AK84" s="420"/>
      <c r="AL84" s="420"/>
      <c r="AM84" s="420"/>
      <c r="AN84" s="420"/>
      <c r="AO84" s="420"/>
      <c r="AP84" s="420"/>
      <c r="AQ84" s="420"/>
      <c r="AR84" s="420"/>
      <c r="AS84" s="420"/>
      <c r="AT84" s="420"/>
      <c r="AU84" s="420"/>
      <c r="AV84" s="420"/>
      <c r="AW84" s="420"/>
      <c r="AX84" s="420"/>
      <c r="AY84" s="420"/>
      <c r="AZ84" s="420"/>
      <c r="BA84" s="420"/>
      <c r="BB84" s="420"/>
      <c r="BC84" s="420"/>
      <c r="BD84" s="420"/>
      <c r="BE84" s="420"/>
      <c r="BF84" s="420"/>
      <c r="BG84" s="420"/>
      <c r="BH84" s="420"/>
      <c r="BI84" s="420"/>
      <c r="BJ84" s="420"/>
      <c r="BK84" s="420"/>
      <c r="BL84" s="420"/>
      <c r="BM84" s="420"/>
      <c r="BN84" s="420"/>
      <c r="BO84" s="420"/>
      <c r="BP84" s="420"/>
      <c r="BQ84" s="420"/>
      <c r="BR84" s="420"/>
      <c r="BS84" s="420"/>
      <c r="BT84" s="420"/>
      <c r="BU84" s="420"/>
      <c r="BV84" s="420"/>
      <c r="BW84" s="420"/>
      <c r="BX84" s="420"/>
      <c r="BY84" s="420"/>
      <c r="BZ84" s="420"/>
      <c r="CA84" s="420"/>
      <c r="CB84" s="420"/>
      <c r="CC84" s="420"/>
      <c r="CD84" s="420"/>
      <c r="CE84" s="420"/>
      <c r="CF84" s="420"/>
      <c r="CG84" s="420"/>
      <c r="CH84" s="420"/>
      <c r="CI84" s="420"/>
      <c r="CJ84" s="420"/>
      <c r="CK84" s="420"/>
      <c r="CL84" s="420"/>
      <c r="CM84" s="420"/>
      <c r="CN84" s="420"/>
      <c r="CO84" s="420"/>
      <c r="CP84" s="420"/>
      <c r="CQ84" s="420"/>
      <c r="CR84" s="420"/>
      <c r="CS84" s="420"/>
      <c r="CT84" s="420"/>
      <c r="CU84" s="420"/>
      <c r="CV84" s="420"/>
      <c r="CW84" s="420"/>
      <c r="CX84" s="420"/>
      <c r="CY84" s="420"/>
      <c r="CZ84" s="420"/>
      <c r="DA84" s="420"/>
      <c r="DB84" s="420"/>
      <c r="DC84" s="420"/>
      <c r="DD84" s="420"/>
      <c r="DE84" s="420"/>
      <c r="DF84" s="420"/>
      <c r="DG84" s="420"/>
      <c r="DH84" s="420"/>
      <c r="DI84" s="420"/>
      <c r="DJ84" s="420"/>
      <c r="DK84" s="420"/>
      <c r="DL84" s="420"/>
      <c r="DM84" s="420"/>
      <c r="DN84" s="420"/>
      <c r="DO84" s="420"/>
      <c r="DP84" s="420"/>
      <c r="DQ84" s="420"/>
      <c r="DR84" s="420"/>
      <c r="DS84" s="420"/>
      <c r="DT84" s="420"/>
      <c r="DU84" s="420"/>
      <c r="DV84" s="420"/>
      <c r="DW84" s="420"/>
      <c r="DX84" s="420"/>
      <c r="DY84" s="420"/>
      <c r="DZ84" s="420"/>
      <c r="EA84" s="420"/>
      <c r="EB84" s="420"/>
      <c r="EC84" s="420"/>
      <c r="ED84" s="420"/>
      <c r="EE84" s="420"/>
      <c r="EF84" s="420"/>
      <c r="EG84" s="420"/>
      <c r="EH84" s="420"/>
      <c r="EI84" s="420"/>
      <c r="EJ84" s="420"/>
      <c r="EK84" s="420"/>
      <c r="EL84" s="420"/>
      <c r="EM84" s="420"/>
      <c r="EN84" s="420"/>
      <c r="EO84" s="420"/>
      <c r="EP84" s="420"/>
      <c r="EQ84" s="420"/>
      <c r="ER84" s="420"/>
      <c r="ES84" s="420"/>
      <c r="ET84" s="420"/>
      <c r="EU84" s="420"/>
      <c r="EV84" s="420"/>
      <c r="EW84" s="420"/>
      <c r="EX84" s="420"/>
      <c r="EY84" s="420"/>
      <c r="EZ84" s="420"/>
      <c r="FA84" s="420"/>
      <c r="FB84" s="420"/>
      <c r="FC84" s="420"/>
      <c r="FD84" s="420"/>
      <c r="FE84" s="420"/>
      <c r="FF84" s="420"/>
      <c r="FG84" s="420"/>
      <c r="FH84" s="420"/>
      <c r="FI84" s="420"/>
      <c r="FJ84" s="420"/>
      <c r="FK84" s="420"/>
      <c r="FL84" s="420"/>
      <c r="FM84" s="420"/>
      <c r="FN84" s="420"/>
      <c r="FO84" s="420"/>
      <c r="FP84" s="420"/>
      <c r="FQ84" s="420"/>
      <c r="FR84" s="420"/>
      <c r="FS84" s="420"/>
      <c r="FT84" s="420"/>
      <c r="FU84" s="420"/>
      <c r="FV84" s="420"/>
      <c r="FW84" s="420"/>
      <c r="FX84" s="420"/>
      <c r="FY84" s="420"/>
      <c r="FZ84" s="420"/>
      <c r="GA84" s="420"/>
      <c r="GB84" s="420"/>
      <c r="GC84" s="420"/>
      <c r="GD84" s="420"/>
      <c r="GE84" s="420"/>
      <c r="GF84" s="420"/>
      <c r="GG84" s="420"/>
      <c r="GH84" s="420"/>
      <c r="GI84" s="420"/>
      <c r="GJ84" s="420"/>
      <c r="GK84" s="420"/>
      <c r="GL84" s="420"/>
      <c r="GM84" s="420"/>
      <c r="GN84" s="420"/>
      <c r="GO84" s="420"/>
      <c r="GP84" s="420"/>
      <c r="GQ84" s="420"/>
      <c r="GR84" s="420"/>
      <c r="GS84" s="420"/>
      <c r="GT84" s="420"/>
      <c r="GU84" s="420"/>
      <c r="GV84" s="420"/>
      <c r="GW84" s="420"/>
      <c r="GX84" s="420"/>
      <c r="GY84" s="420"/>
      <c r="GZ84" s="420"/>
      <c r="HA84" s="420"/>
      <c r="HB84" s="420"/>
      <c r="HC84" s="420"/>
      <c r="HD84" s="420"/>
      <c r="HE84" s="420"/>
      <c r="HF84" s="420"/>
      <c r="HG84" s="420"/>
      <c r="HH84" s="420"/>
      <c r="HI84" s="420"/>
      <c r="HJ84" s="420"/>
      <c r="HK84" s="420"/>
      <c r="HL84" s="420"/>
      <c r="HM84" s="420"/>
      <c r="HN84" s="420"/>
      <c r="HO84" s="420"/>
      <c r="HP84" s="420"/>
      <c r="HQ84" s="420"/>
      <c r="HR84" s="420"/>
      <c r="HS84" s="420"/>
      <c r="HT84" s="420"/>
      <c r="HU84" s="420"/>
      <c r="HV84" s="420"/>
      <c r="HW84" s="420"/>
      <c r="HX84" s="420"/>
      <c r="HY84" s="420"/>
      <c r="HZ84" s="420"/>
      <c r="IA84" s="420"/>
      <c r="IB84" s="420"/>
      <c r="IC84" s="420"/>
      <c r="ID84" s="420"/>
      <c r="IE84" s="420"/>
      <c r="IF84" s="420"/>
      <c r="IG84" s="420"/>
      <c r="IH84" s="420"/>
      <c r="II84" s="420"/>
      <c r="IJ84" s="420"/>
      <c r="IK84" s="420"/>
      <c r="IL84" s="420"/>
      <c r="IM84" s="420"/>
      <c r="IN84" s="420"/>
      <c r="IO84" s="420"/>
      <c r="IP84" s="420"/>
      <c r="IQ84" s="420"/>
      <c r="IR84" s="420"/>
      <c r="IS84" s="420"/>
      <c r="IT84" s="420"/>
      <c r="IU84" s="420"/>
      <c r="IV84" s="420"/>
      <c r="IW84" s="420"/>
      <c r="IX84" s="420"/>
      <c r="IY84" s="420"/>
      <c r="IZ84" s="420"/>
      <c r="JA84" s="420"/>
    </row>
    <row r="85" spans="1:261" s="768" customFormat="1" ht="18" customHeight="1" x14ac:dyDescent="0.35">
      <c r="A85" s="783">
        <v>75</v>
      </c>
      <c r="B85" s="776"/>
      <c r="C85" s="422"/>
      <c r="D85" s="1338" t="s">
        <v>963</v>
      </c>
      <c r="E85" s="432"/>
      <c r="F85" s="772"/>
      <c r="G85" s="433"/>
      <c r="H85" s="1009"/>
      <c r="I85" s="1005"/>
      <c r="J85" s="769"/>
      <c r="K85" s="769"/>
      <c r="L85" s="769"/>
      <c r="M85" s="769"/>
      <c r="N85" s="769"/>
      <c r="O85" s="1623">
        <f>SUM(I85:N85)</f>
        <v>0</v>
      </c>
      <c r="P85" s="773"/>
      <c r="Q85" s="420"/>
      <c r="R85" s="420"/>
      <c r="S85" s="420"/>
      <c r="T85" s="420"/>
      <c r="U85" s="420"/>
      <c r="V85" s="420"/>
      <c r="W85" s="420"/>
      <c r="X85" s="420"/>
      <c r="Y85" s="420"/>
      <c r="Z85" s="420"/>
      <c r="AA85" s="420"/>
      <c r="AB85" s="420"/>
      <c r="AC85" s="420"/>
      <c r="AD85" s="420"/>
      <c r="AE85" s="420"/>
      <c r="AF85" s="420"/>
      <c r="AG85" s="420"/>
      <c r="AH85" s="420"/>
      <c r="AI85" s="420"/>
      <c r="AJ85" s="420"/>
      <c r="AK85" s="420"/>
      <c r="AL85" s="420"/>
      <c r="AM85" s="420"/>
      <c r="AN85" s="420"/>
      <c r="AO85" s="420"/>
      <c r="AP85" s="420"/>
      <c r="AQ85" s="420"/>
      <c r="AR85" s="420"/>
      <c r="AS85" s="420"/>
      <c r="AT85" s="420"/>
      <c r="AU85" s="420"/>
      <c r="AV85" s="420"/>
      <c r="AW85" s="420"/>
      <c r="AX85" s="420"/>
      <c r="AY85" s="420"/>
      <c r="AZ85" s="420"/>
      <c r="BA85" s="420"/>
      <c r="BB85" s="420"/>
      <c r="BC85" s="420"/>
      <c r="BD85" s="420"/>
      <c r="BE85" s="420"/>
      <c r="BF85" s="420"/>
      <c r="BG85" s="420"/>
      <c r="BH85" s="420"/>
      <c r="BI85" s="420"/>
      <c r="BJ85" s="420"/>
      <c r="BK85" s="420"/>
      <c r="BL85" s="420"/>
      <c r="BM85" s="420"/>
      <c r="BN85" s="420"/>
      <c r="BO85" s="420"/>
      <c r="BP85" s="420"/>
      <c r="BQ85" s="420"/>
      <c r="BR85" s="420"/>
      <c r="BS85" s="420"/>
      <c r="BT85" s="420"/>
      <c r="BU85" s="420"/>
      <c r="BV85" s="420"/>
      <c r="BW85" s="420"/>
      <c r="BX85" s="420"/>
      <c r="BY85" s="420"/>
      <c r="BZ85" s="420"/>
      <c r="CA85" s="420"/>
      <c r="CB85" s="420"/>
      <c r="CC85" s="420"/>
      <c r="CD85" s="420"/>
      <c r="CE85" s="420"/>
      <c r="CF85" s="420"/>
      <c r="CG85" s="420"/>
      <c r="CH85" s="420"/>
      <c r="CI85" s="420"/>
      <c r="CJ85" s="420"/>
      <c r="CK85" s="420"/>
      <c r="CL85" s="420"/>
      <c r="CM85" s="420"/>
      <c r="CN85" s="420"/>
      <c r="CO85" s="420"/>
      <c r="CP85" s="420"/>
      <c r="CQ85" s="420"/>
      <c r="CR85" s="420"/>
      <c r="CS85" s="420"/>
      <c r="CT85" s="420"/>
      <c r="CU85" s="420"/>
      <c r="CV85" s="420"/>
      <c r="CW85" s="420"/>
      <c r="CX85" s="420"/>
      <c r="CY85" s="420"/>
      <c r="CZ85" s="420"/>
      <c r="DA85" s="420"/>
      <c r="DB85" s="420"/>
      <c r="DC85" s="420"/>
      <c r="DD85" s="420"/>
      <c r="DE85" s="420"/>
      <c r="DF85" s="420"/>
      <c r="DG85" s="420"/>
      <c r="DH85" s="420"/>
      <c r="DI85" s="420"/>
      <c r="DJ85" s="420"/>
      <c r="DK85" s="420"/>
      <c r="DL85" s="420"/>
      <c r="DM85" s="420"/>
      <c r="DN85" s="420"/>
      <c r="DO85" s="420"/>
      <c r="DP85" s="420"/>
      <c r="DQ85" s="420"/>
      <c r="DR85" s="420"/>
      <c r="DS85" s="420"/>
      <c r="DT85" s="420"/>
      <c r="DU85" s="420"/>
      <c r="DV85" s="420"/>
      <c r="DW85" s="420"/>
      <c r="DX85" s="420"/>
      <c r="DY85" s="420"/>
      <c r="DZ85" s="420"/>
      <c r="EA85" s="420"/>
      <c r="EB85" s="420"/>
      <c r="EC85" s="420"/>
      <c r="ED85" s="420"/>
      <c r="EE85" s="420"/>
      <c r="EF85" s="420"/>
      <c r="EG85" s="420"/>
      <c r="EH85" s="420"/>
      <c r="EI85" s="420"/>
      <c r="EJ85" s="420"/>
      <c r="EK85" s="420"/>
      <c r="EL85" s="420"/>
      <c r="EM85" s="420"/>
      <c r="EN85" s="420"/>
      <c r="EO85" s="420"/>
      <c r="EP85" s="420"/>
      <c r="EQ85" s="420"/>
      <c r="ER85" s="420"/>
      <c r="ES85" s="420"/>
      <c r="ET85" s="420"/>
      <c r="EU85" s="420"/>
      <c r="EV85" s="420"/>
      <c r="EW85" s="420"/>
      <c r="EX85" s="420"/>
      <c r="EY85" s="420"/>
      <c r="EZ85" s="420"/>
      <c r="FA85" s="420"/>
      <c r="FB85" s="420"/>
      <c r="FC85" s="420"/>
      <c r="FD85" s="420"/>
      <c r="FE85" s="420"/>
      <c r="FF85" s="420"/>
      <c r="FG85" s="420"/>
      <c r="FH85" s="420"/>
      <c r="FI85" s="420"/>
      <c r="FJ85" s="420"/>
      <c r="FK85" s="420"/>
      <c r="FL85" s="420"/>
      <c r="FM85" s="420"/>
      <c r="FN85" s="420"/>
      <c r="FO85" s="420"/>
      <c r="FP85" s="420"/>
      <c r="FQ85" s="420"/>
      <c r="FR85" s="420"/>
      <c r="FS85" s="420"/>
      <c r="FT85" s="420"/>
      <c r="FU85" s="420"/>
      <c r="FV85" s="420"/>
      <c r="FW85" s="420"/>
      <c r="FX85" s="420"/>
      <c r="FY85" s="420"/>
      <c r="FZ85" s="420"/>
      <c r="GA85" s="420"/>
      <c r="GB85" s="420"/>
      <c r="GC85" s="420"/>
      <c r="GD85" s="420"/>
      <c r="GE85" s="420"/>
      <c r="GF85" s="420"/>
      <c r="GG85" s="420"/>
      <c r="GH85" s="420"/>
      <c r="GI85" s="420"/>
      <c r="GJ85" s="420"/>
      <c r="GK85" s="420"/>
      <c r="GL85" s="420"/>
      <c r="GM85" s="420"/>
      <c r="GN85" s="420"/>
      <c r="GO85" s="420"/>
      <c r="GP85" s="420"/>
      <c r="GQ85" s="420"/>
      <c r="GR85" s="420"/>
      <c r="GS85" s="420"/>
      <c r="GT85" s="420"/>
      <c r="GU85" s="420"/>
      <c r="GV85" s="420"/>
      <c r="GW85" s="420"/>
      <c r="GX85" s="420"/>
      <c r="GY85" s="420"/>
      <c r="GZ85" s="420"/>
      <c r="HA85" s="420"/>
      <c r="HB85" s="420"/>
      <c r="HC85" s="420"/>
      <c r="HD85" s="420"/>
      <c r="HE85" s="420"/>
      <c r="HF85" s="420"/>
      <c r="HG85" s="420"/>
      <c r="HH85" s="420"/>
      <c r="HI85" s="420"/>
      <c r="HJ85" s="420"/>
      <c r="HK85" s="420"/>
      <c r="HL85" s="420"/>
      <c r="HM85" s="420"/>
      <c r="HN85" s="420"/>
      <c r="HO85" s="420"/>
      <c r="HP85" s="420"/>
      <c r="HQ85" s="420"/>
      <c r="HR85" s="420"/>
      <c r="HS85" s="420"/>
      <c r="HT85" s="420"/>
      <c r="HU85" s="420"/>
      <c r="HV85" s="420"/>
      <c r="HW85" s="420"/>
      <c r="HX85" s="420"/>
      <c r="HY85" s="420"/>
      <c r="HZ85" s="420"/>
      <c r="IA85" s="420"/>
      <c r="IB85" s="420"/>
      <c r="IC85" s="420"/>
      <c r="ID85" s="420"/>
      <c r="IE85" s="420"/>
      <c r="IF85" s="420"/>
      <c r="IG85" s="420"/>
      <c r="IH85" s="420"/>
      <c r="II85" s="420"/>
      <c r="IJ85" s="420"/>
      <c r="IK85" s="420"/>
      <c r="IL85" s="420"/>
      <c r="IM85" s="420"/>
      <c r="IN85" s="420"/>
      <c r="IO85" s="420"/>
      <c r="IP85" s="420"/>
      <c r="IQ85" s="420"/>
      <c r="IR85" s="420"/>
      <c r="IS85" s="420"/>
      <c r="IT85" s="420"/>
      <c r="IU85" s="420"/>
      <c r="IV85" s="420"/>
      <c r="IW85" s="420"/>
      <c r="IX85" s="420"/>
      <c r="IY85" s="420"/>
      <c r="IZ85" s="420"/>
      <c r="JA85" s="420"/>
    </row>
    <row r="86" spans="1:261" s="768" customFormat="1" ht="18" customHeight="1" x14ac:dyDescent="0.35">
      <c r="A86" s="783">
        <v>76</v>
      </c>
      <c r="B86" s="776"/>
      <c r="C86" s="422"/>
      <c r="D86" s="583" t="s">
        <v>1151</v>
      </c>
      <c r="E86" s="432"/>
      <c r="F86" s="772"/>
      <c r="G86" s="433"/>
      <c r="H86" s="1009"/>
      <c r="I86" s="1005"/>
      <c r="J86" s="769"/>
      <c r="K86" s="769"/>
      <c r="L86" s="769"/>
      <c r="M86" s="769">
        <f>SUM(M84:M85)</f>
        <v>906000</v>
      </c>
      <c r="N86" s="769"/>
      <c r="O86" s="777">
        <f>SUM(I86:N86)</f>
        <v>906000</v>
      </c>
      <c r="P86" s="773"/>
      <c r="Q86" s="420"/>
      <c r="R86" s="420"/>
      <c r="S86" s="420"/>
      <c r="T86" s="420"/>
      <c r="U86" s="420"/>
      <c r="V86" s="420"/>
      <c r="W86" s="420"/>
      <c r="X86" s="420"/>
      <c r="Y86" s="420"/>
      <c r="Z86" s="420"/>
      <c r="AA86" s="420"/>
      <c r="AB86" s="420"/>
      <c r="AC86" s="420"/>
      <c r="AD86" s="420"/>
      <c r="AE86" s="420"/>
      <c r="AF86" s="420"/>
      <c r="AG86" s="420"/>
      <c r="AH86" s="420"/>
      <c r="AI86" s="420"/>
      <c r="AJ86" s="420"/>
      <c r="AK86" s="420"/>
      <c r="AL86" s="420"/>
      <c r="AM86" s="420"/>
      <c r="AN86" s="420"/>
      <c r="AO86" s="420"/>
      <c r="AP86" s="420"/>
      <c r="AQ86" s="420"/>
      <c r="AR86" s="420"/>
      <c r="AS86" s="420"/>
      <c r="AT86" s="420"/>
      <c r="AU86" s="420"/>
      <c r="AV86" s="420"/>
      <c r="AW86" s="420"/>
      <c r="AX86" s="420"/>
      <c r="AY86" s="420"/>
      <c r="AZ86" s="420"/>
      <c r="BA86" s="420"/>
      <c r="BB86" s="420"/>
      <c r="BC86" s="420"/>
      <c r="BD86" s="420"/>
      <c r="BE86" s="420"/>
      <c r="BF86" s="420"/>
      <c r="BG86" s="420"/>
      <c r="BH86" s="420"/>
      <c r="BI86" s="420"/>
      <c r="BJ86" s="420"/>
      <c r="BK86" s="420"/>
      <c r="BL86" s="420"/>
      <c r="BM86" s="420"/>
      <c r="BN86" s="420"/>
      <c r="BO86" s="420"/>
      <c r="BP86" s="420"/>
      <c r="BQ86" s="420"/>
      <c r="BR86" s="420"/>
      <c r="BS86" s="420"/>
      <c r="BT86" s="420"/>
      <c r="BU86" s="420"/>
      <c r="BV86" s="420"/>
      <c r="BW86" s="420"/>
      <c r="BX86" s="420"/>
      <c r="BY86" s="420"/>
      <c r="BZ86" s="420"/>
      <c r="CA86" s="420"/>
      <c r="CB86" s="420"/>
      <c r="CC86" s="420"/>
      <c r="CD86" s="420"/>
      <c r="CE86" s="420"/>
      <c r="CF86" s="420"/>
      <c r="CG86" s="420"/>
      <c r="CH86" s="420"/>
      <c r="CI86" s="420"/>
      <c r="CJ86" s="420"/>
      <c r="CK86" s="420"/>
      <c r="CL86" s="420"/>
      <c r="CM86" s="420"/>
      <c r="CN86" s="420"/>
      <c r="CO86" s="420"/>
      <c r="CP86" s="420"/>
      <c r="CQ86" s="420"/>
      <c r="CR86" s="420"/>
      <c r="CS86" s="420"/>
      <c r="CT86" s="420"/>
      <c r="CU86" s="420"/>
      <c r="CV86" s="420"/>
      <c r="CW86" s="420"/>
      <c r="CX86" s="420"/>
      <c r="CY86" s="420"/>
      <c r="CZ86" s="420"/>
      <c r="DA86" s="420"/>
      <c r="DB86" s="420"/>
      <c r="DC86" s="420"/>
      <c r="DD86" s="420"/>
      <c r="DE86" s="420"/>
      <c r="DF86" s="420"/>
      <c r="DG86" s="420"/>
      <c r="DH86" s="420"/>
      <c r="DI86" s="420"/>
      <c r="DJ86" s="420"/>
      <c r="DK86" s="420"/>
      <c r="DL86" s="420"/>
      <c r="DM86" s="420"/>
      <c r="DN86" s="420"/>
      <c r="DO86" s="420"/>
      <c r="DP86" s="420"/>
      <c r="DQ86" s="420"/>
      <c r="DR86" s="420"/>
      <c r="DS86" s="420"/>
      <c r="DT86" s="420"/>
      <c r="DU86" s="420"/>
      <c r="DV86" s="420"/>
      <c r="DW86" s="420"/>
      <c r="DX86" s="420"/>
      <c r="DY86" s="420"/>
      <c r="DZ86" s="420"/>
      <c r="EA86" s="420"/>
      <c r="EB86" s="420"/>
      <c r="EC86" s="420"/>
      <c r="ED86" s="420"/>
      <c r="EE86" s="420"/>
      <c r="EF86" s="420"/>
      <c r="EG86" s="420"/>
      <c r="EH86" s="420"/>
      <c r="EI86" s="420"/>
      <c r="EJ86" s="420"/>
      <c r="EK86" s="420"/>
      <c r="EL86" s="420"/>
      <c r="EM86" s="420"/>
      <c r="EN86" s="420"/>
      <c r="EO86" s="420"/>
      <c r="EP86" s="420"/>
      <c r="EQ86" s="420"/>
      <c r="ER86" s="420"/>
      <c r="ES86" s="420"/>
      <c r="ET86" s="420"/>
      <c r="EU86" s="420"/>
      <c r="EV86" s="420"/>
      <c r="EW86" s="420"/>
      <c r="EX86" s="420"/>
      <c r="EY86" s="420"/>
      <c r="EZ86" s="420"/>
      <c r="FA86" s="420"/>
      <c r="FB86" s="420"/>
      <c r="FC86" s="420"/>
      <c r="FD86" s="420"/>
      <c r="FE86" s="420"/>
      <c r="FF86" s="420"/>
      <c r="FG86" s="420"/>
      <c r="FH86" s="420"/>
      <c r="FI86" s="420"/>
      <c r="FJ86" s="420"/>
      <c r="FK86" s="420"/>
      <c r="FL86" s="420"/>
      <c r="FM86" s="420"/>
      <c r="FN86" s="420"/>
      <c r="FO86" s="420"/>
      <c r="FP86" s="420"/>
      <c r="FQ86" s="420"/>
      <c r="FR86" s="420"/>
      <c r="FS86" s="420"/>
      <c r="FT86" s="420"/>
      <c r="FU86" s="420"/>
      <c r="FV86" s="420"/>
      <c r="FW86" s="420"/>
      <c r="FX86" s="420"/>
      <c r="FY86" s="420"/>
      <c r="FZ86" s="420"/>
      <c r="GA86" s="420"/>
      <c r="GB86" s="420"/>
      <c r="GC86" s="420"/>
      <c r="GD86" s="420"/>
      <c r="GE86" s="420"/>
      <c r="GF86" s="420"/>
      <c r="GG86" s="420"/>
      <c r="GH86" s="420"/>
      <c r="GI86" s="420"/>
      <c r="GJ86" s="420"/>
      <c r="GK86" s="420"/>
      <c r="GL86" s="420"/>
      <c r="GM86" s="420"/>
      <c r="GN86" s="420"/>
      <c r="GO86" s="420"/>
      <c r="GP86" s="420"/>
      <c r="GQ86" s="420"/>
      <c r="GR86" s="420"/>
      <c r="GS86" s="420"/>
      <c r="GT86" s="420"/>
      <c r="GU86" s="420"/>
      <c r="GV86" s="420"/>
      <c r="GW86" s="420"/>
      <c r="GX86" s="420"/>
      <c r="GY86" s="420"/>
      <c r="GZ86" s="420"/>
      <c r="HA86" s="420"/>
      <c r="HB86" s="420"/>
      <c r="HC86" s="420"/>
      <c r="HD86" s="420"/>
      <c r="HE86" s="420"/>
      <c r="HF86" s="420"/>
      <c r="HG86" s="420"/>
      <c r="HH86" s="420"/>
      <c r="HI86" s="420"/>
      <c r="HJ86" s="420"/>
      <c r="HK86" s="420"/>
      <c r="HL86" s="420"/>
      <c r="HM86" s="420"/>
      <c r="HN86" s="420"/>
      <c r="HO86" s="420"/>
      <c r="HP86" s="420"/>
      <c r="HQ86" s="420"/>
      <c r="HR86" s="420"/>
      <c r="HS86" s="420"/>
      <c r="HT86" s="420"/>
      <c r="HU86" s="420"/>
      <c r="HV86" s="420"/>
      <c r="HW86" s="420"/>
      <c r="HX86" s="420"/>
      <c r="HY86" s="420"/>
      <c r="HZ86" s="420"/>
      <c r="IA86" s="420"/>
      <c r="IB86" s="420"/>
      <c r="IC86" s="420"/>
      <c r="ID86" s="420"/>
      <c r="IE86" s="420"/>
      <c r="IF86" s="420"/>
      <c r="IG86" s="420"/>
      <c r="IH86" s="420"/>
      <c r="II86" s="420"/>
      <c r="IJ86" s="420"/>
      <c r="IK86" s="420"/>
      <c r="IL86" s="420"/>
      <c r="IM86" s="420"/>
      <c r="IN86" s="420"/>
      <c r="IO86" s="420"/>
      <c r="IP86" s="420"/>
      <c r="IQ86" s="420"/>
      <c r="IR86" s="420"/>
      <c r="IS86" s="420"/>
      <c r="IT86" s="420"/>
      <c r="IU86" s="420"/>
      <c r="IV86" s="420"/>
      <c r="IW86" s="420"/>
      <c r="IX86" s="420"/>
      <c r="IY86" s="420"/>
      <c r="IZ86" s="420"/>
      <c r="JA86" s="420"/>
    </row>
    <row r="87" spans="1:261" ht="33" x14ac:dyDescent="0.35">
      <c r="A87" s="783">
        <v>77</v>
      </c>
      <c r="B87" s="625"/>
      <c r="C87" s="422">
        <v>16</v>
      </c>
      <c r="D87" s="424" t="s">
        <v>503</v>
      </c>
      <c r="E87" s="432"/>
      <c r="F87" s="772"/>
      <c r="G87" s="433"/>
      <c r="H87" s="1009" t="s">
        <v>24</v>
      </c>
      <c r="I87" s="1027"/>
      <c r="J87" s="1023"/>
      <c r="K87" s="1023"/>
      <c r="L87" s="1023"/>
      <c r="M87" s="1023"/>
      <c r="N87" s="1023"/>
      <c r="O87" s="992"/>
      <c r="P87" s="773"/>
    </row>
    <row r="88" spans="1:261" s="768" customFormat="1" ht="18" customHeight="1" x14ac:dyDescent="0.35">
      <c r="A88" s="783">
        <v>78</v>
      </c>
      <c r="B88" s="776"/>
      <c r="C88" s="422"/>
      <c r="D88" s="1002" t="s">
        <v>311</v>
      </c>
      <c r="E88" s="432">
        <f>F88+G88+O91+P91+5962</f>
        <v>300876</v>
      </c>
      <c r="F88" s="772">
        <v>4460</v>
      </c>
      <c r="G88" s="433">
        <f>264851+2602</f>
        <v>267453</v>
      </c>
      <c r="H88" s="1009"/>
      <c r="I88" s="1027"/>
      <c r="J88" s="1023"/>
      <c r="K88" s="1023">
        <v>1087</v>
      </c>
      <c r="L88" s="1023"/>
      <c r="M88" s="1023">
        <v>21914</v>
      </c>
      <c r="N88" s="1023"/>
      <c r="O88" s="992">
        <f>SUM(I88:N88)</f>
        <v>23001</v>
      </c>
      <c r="P88" s="773"/>
      <c r="Q88" s="420"/>
      <c r="R88" s="420"/>
      <c r="S88" s="420"/>
      <c r="T88" s="420"/>
      <c r="U88" s="420"/>
      <c r="V88" s="420"/>
      <c r="W88" s="420"/>
      <c r="X88" s="420"/>
      <c r="Y88" s="420"/>
      <c r="Z88" s="420"/>
      <c r="AA88" s="420"/>
      <c r="AB88" s="420"/>
      <c r="AC88" s="420"/>
      <c r="AD88" s="420"/>
      <c r="AE88" s="420"/>
      <c r="AF88" s="420"/>
      <c r="AG88" s="420"/>
      <c r="AH88" s="420"/>
      <c r="AI88" s="420"/>
      <c r="AJ88" s="420"/>
      <c r="AK88" s="420"/>
      <c r="AL88" s="420"/>
      <c r="AM88" s="420"/>
      <c r="AN88" s="420"/>
      <c r="AO88" s="420"/>
      <c r="AP88" s="420"/>
      <c r="AQ88" s="420"/>
      <c r="AR88" s="420"/>
      <c r="AS88" s="420"/>
      <c r="AT88" s="420"/>
      <c r="AU88" s="420"/>
      <c r="AV88" s="420"/>
      <c r="AW88" s="420"/>
      <c r="AX88" s="420"/>
      <c r="AY88" s="420"/>
      <c r="AZ88" s="420"/>
      <c r="BA88" s="420"/>
      <c r="BB88" s="420"/>
      <c r="BC88" s="420"/>
      <c r="BD88" s="420"/>
      <c r="BE88" s="420"/>
      <c r="BF88" s="420"/>
      <c r="BG88" s="420"/>
      <c r="BH88" s="420"/>
      <c r="BI88" s="420"/>
      <c r="BJ88" s="420"/>
      <c r="BK88" s="420"/>
      <c r="BL88" s="420"/>
      <c r="BM88" s="420"/>
      <c r="BN88" s="420"/>
      <c r="BO88" s="420"/>
      <c r="BP88" s="420"/>
      <c r="BQ88" s="420"/>
      <c r="BR88" s="420"/>
      <c r="BS88" s="420"/>
      <c r="BT88" s="420"/>
      <c r="BU88" s="420"/>
      <c r="BV88" s="420"/>
      <c r="BW88" s="420"/>
      <c r="BX88" s="420"/>
      <c r="BY88" s="420"/>
      <c r="BZ88" s="420"/>
      <c r="CA88" s="420"/>
      <c r="CB88" s="420"/>
      <c r="CC88" s="420"/>
      <c r="CD88" s="420"/>
      <c r="CE88" s="420"/>
      <c r="CF88" s="420"/>
      <c r="CG88" s="420"/>
      <c r="CH88" s="420"/>
      <c r="CI88" s="420"/>
      <c r="CJ88" s="420"/>
      <c r="CK88" s="420"/>
      <c r="CL88" s="420"/>
      <c r="CM88" s="420"/>
      <c r="CN88" s="420"/>
      <c r="CO88" s="420"/>
      <c r="CP88" s="420"/>
      <c r="CQ88" s="420"/>
      <c r="CR88" s="420"/>
      <c r="CS88" s="420"/>
      <c r="CT88" s="420"/>
      <c r="CU88" s="420"/>
      <c r="CV88" s="420"/>
      <c r="CW88" s="420"/>
      <c r="CX88" s="420"/>
      <c r="CY88" s="420"/>
      <c r="CZ88" s="420"/>
      <c r="DA88" s="420"/>
      <c r="DB88" s="420"/>
      <c r="DC88" s="420"/>
      <c r="DD88" s="420"/>
      <c r="DE88" s="420"/>
      <c r="DF88" s="420"/>
      <c r="DG88" s="420"/>
      <c r="DH88" s="420"/>
      <c r="DI88" s="420"/>
      <c r="DJ88" s="420"/>
      <c r="DK88" s="420"/>
      <c r="DL88" s="420"/>
      <c r="DM88" s="420"/>
      <c r="DN88" s="420"/>
      <c r="DO88" s="420"/>
      <c r="DP88" s="420"/>
      <c r="DQ88" s="420"/>
      <c r="DR88" s="420"/>
      <c r="DS88" s="420"/>
      <c r="DT88" s="420"/>
      <c r="DU88" s="420"/>
      <c r="DV88" s="420"/>
      <c r="DW88" s="420"/>
      <c r="DX88" s="420"/>
      <c r="DY88" s="420"/>
      <c r="DZ88" s="420"/>
      <c r="EA88" s="420"/>
      <c r="EB88" s="420"/>
      <c r="EC88" s="420"/>
      <c r="ED88" s="420"/>
      <c r="EE88" s="420"/>
      <c r="EF88" s="420"/>
      <c r="EG88" s="420"/>
      <c r="EH88" s="420"/>
      <c r="EI88" s="420"/>
      <c r="EJ88" s="420"/>
      <c r="EK88" s="420"/>
      <c r="EL88" s="420"/>
      <c r="EM88" s="420"/>
      <c r="EN88" s="420"/>
      <c r="EO88" s="420"/>
      <c r="EP88" s="420"/>
      <c r="EQ88" s="420"/>
      <c r="ER88" s="420"/>
      <c r="ES88" s="420"/>
      <c r="ET88" s="420"/>
      <c r="EU88" s="420"/>
      <c r="EV88" s="420"/>
      <c r="EW88" s="420"/>
      <c r="EX88" s="420"/>
      <c r="EY88" s="420"/>
      <c r="EZ88" s="420"/>
      <c r="FA88" s="420"/>
      <c r="FB88" s="420"/>
      <c r="FC88" s="420"/>
      <c r="FD88" s="420"/>
      <c r="FE88" s="420"/>
      <c r="FF88" s="420"/>
      <c r="FG88" s="420"/>
      <c r="FH88" s="420"/>
      <c r="FI88" s="420"/>
      <c r="FJ88" s="420"/>
      <c r="FK88" s="420"/>
      <c r="FL88" s="420"/>
      <c r="FM88" s="420"/>
      <c r="FN88" s="420"/>
      <c r="FO88" s="420"/>
      <c r="FP88" s="420"/>
      <c r="FQ88" s="420"/>
      <c r="FR88" s="420"/>
      <c r="FS88" s="420"/>
      <c r="FT88" s="420"/>
      <c r="FU88" s="420"/>
      <c r="FV88" s="420"/>
      <c r="FW88" s="420"/>
      <c r="FX88" s="420"/>
      <c r="FY88" s="420"/>
      <c r="FZ88" s="420"/>
      <c r="GA88" s="420"/>
      <c r="GB88" s="420"/>
      <c r="GC88" s="420"/>
      <c r="GD88" s="420"/>
      <c r="GE88" s="420"/>
      <c r="GF88" s="420"/>
      <c r="GG88" s="420"/>
      <c r="GH88" s="420"/>
      <c r="GI88" s="420"/>
      <c r="GJ88" s="420"/>
      <c r="GK88" s="420"/>
      <c r="GL88" s="420"/>
      <c r="GM88" s="420"/>
      <c r="GN88" s="420"/>
      <c r="GO88" s="420"/>
      <c r="GP88" s="420"/>
      <c r="GQ88" s="420"/>
      <c r="GR88" s="420"/>
      <c r="GS88" s="420"/>
      <c r="GT88" s="420"/>
      <c r="GU88" s="420"/>
      <c r="GV88" s="420"/>
      <c r="GW88" s="420"/>
      <c r="GX88" s="420"/>
      <c r="GY88" s="420"/>
      <c r="GZ88" s="420"/>
      <c r="HA88" s="420"/>
      <c r="HB88" s="420"/>
      <c r="HC88" s="420"/>
      <c r="HD88" s="420"/>
      <c r="HE88" s="420"/>
      <c r="HF88" s="420"/>
      <c r="HG88" s="420"/>
      <c r="HH88" s="420"/>
      <c r="HI88" s="420"/>
      <c r="HJ88" s="420"/>
      <c r="HK88" s="420"/>
      <c r="HL88" s="420"/>
      <c r="HM88" s="420"/>
      <c r="HN88" s="420"/>
      <c r="HO88" s="420"/>
      <c r="HP88" s="420"/>
      <c r="HQ88" s="420"/>
      <c r="HR88" s="420"/>
      <c r="HS88" s="420"/>
      <c r="HT88" s="420"/>
      <c r="HU88" s="420"/>
      <c r="HV88" s="420"/>
      <c r="HW88" s="420"/>
      <c r="HX88" s="420"/>
      <c r="HY88" s="420"/>
      <c r="HZ88" s="420"/>
      <c r="IA88" s="420"/>
      <c r="IB88" s="420"/>
      <c r="IC88" s="420"/>
      <c r="ID88" s="420"/>
      <c r="IE88" s="420"/>
      <c r="IF88" s="420"/>
      <c r="IG88" s="420"/>
      <c r="IH88" s="420"/>
      <c r="II88" s="420"/>
      <c r="IJ88" s="420"/>
      <c r="IK88" s="420"/>
      <c r="IL88" s="420"/>
      <c r="IM88" s="420"/>
      <c r="IN88" s="420"/>
      <c r="IO88" s="420"/>
      <c r="IP88" s="420"/>
      <c r="IQ88" s="420"/>
      <c r="IR88" s="420"/>
      <c r="IS88" s="420"/>
      <c r="IT88" s="420"/>
      <c r="IU88" s="420"/>
      <c r="IV88" s="420"/>
      <c r="IW88" s="420"/>
      <c r="IX88" s="420"/>
      <c r="IY88" s="420"/>
      <c r="IZ88" s="420"/>
      <c r="JA88" s="420"/>
    </row>
    <row r="89" spans="1:261" s="768" customFormat="1" ht="18" customHeight="1" x14ac:dyDescent="0.35">
      <c r="A89" s="783">
        <v>79</v>
      </c>
      <c r="B89" s="776"/>
      <c r="C89" s="422"/>
      <c r="D89" s="583" t="s">
        <v>1072</v>
      </c>
      <c r="E89" s="432"/>
      <c r="F89" s="772"/>
      <c r="G89" s="433"/>
      <c r="H89" s="1009"/>
      <c r="I89" s="1027"/>
      <c r="J89" s="1023"/>
      <c r="K89" s="769">
        <v>1087</v>
      </c>
      <c r="L89" s="769"/>
      <c r="M89" s="769">
        <v>21914</v>
      </c>
      <c r="N89" s="1023"/>
      <c r="O89" s="777">
        <f>SUM(I89:N89)</f>
        <v>23001</v>
      </c>
      <c r="P89" s="773"/>
      <c r="Q89" s="420"/>
      <c r="R89" s="420"/>
      <c r="S89" s="420"/>
      <c r="T89" s="420"/>
      <c r="U89" s="420"/>
      <c r="V89" s="420"/>
      <c r="W89" s="420"/>
      <c r="X89" s="420"/>
      <c r="Y89" s="420"/>
      <c r="Z89" s="420"/>
      <c r="AA89" s="420"/>
      <c r="AB89" s="420"/>
      <c r="AC89" s="420"/>
      <c r="AD89" s="420"/>
      <c r="AE89" s="420"/>
      <c r="AF89" s="420"/>
      <c r="AG89" s="420"/>
      <c r="AH89" s="420"/>
      <c r="AI89" s="420"/>
      <c r="AJ89" s="420"/>
      <c r="AK89" s="420"/>
      <c r="AL89" s="420"/>
      <c r="AM89" s="420"/>
      <c r="AN89" s="420"/>
      <c r="AO89" s="420"/>
      <c r="AP89" s="420"/>
      <c r="AQ89" s="420"/>
      <c r="AR89" s="420"/>
      <c r="AS89" s="420"/>
      <c r="AT89" s="420"/>
      <c r="AU89" s="420"/>
      <c r="AV89" s="420"/>
      <c r="AW89" s="420"/>
      <c r="AX89" s="420"/>
      <c r="AY89" s="420"/>
      <c r="AZ89" s="420"/>
      <c r="BA89" s="420"/>
      <c r="BB89" s="420"/>
      <c r="BC89" s="420"/>
      <c r="BD89" s="420"/>
      <c r="BE89" s="420"/>
      <c r="BF89" s="420"/>
      <c r="BG89" s="420"/>
      <c r="BH89" s="420"/>
      <c r="BI89" s="420"/>
      <c r="BJ89" s="420"/>
      <c r="BK89" s="420"/>
      <c r="BL89" s="420"/>
      <c r="BM89" s="420"/>
      <c r="BN89" s="420"/>
      <c r="BO89" s="420"/>
      <c r="BP89" s="420"/>
      <c r="BQ89" s="420"/>
      <c r="BR89" s="420"/>
      <c r="BS89" s="420"/>
      <c r="BT89" s="420"/>
      <c r="BU89" s="420"/>
      <c r="BV89" s="420"/>
      <c r="BW89" s="420"/>
      <c r="BX89" s="420"/>
      <c r="BY89" s="420"/>
      <c r="BZ89" s="420"/>
      <c r="CA89" s="420"/>
      <c r="CB89" s="420"/>
      <c r="CC89" s="420"/>
      <c r="CD89" s="420"/>
      <c r="CE89" s="420"/>
      <c r="CF89" s="420"/>
      <c r="CG89" s="420"/>
      <c r="CH89" s="420"/>
      <c r="CI89" s="420"/>
      <c r="CJ89" s="420"/>
      <c r="CK89" s="420"/>
      <c r="CL89" s="420"/>
      <c r="CM89" s="420"/>
      <c r="CN89" s="420"/>
      <c r="CO89" s="420"/>
      <c r="CP89" s="420"/>
      <c r="CQ89" s="420"/>
      <c r="CR89" s="420"/>
      <c r="CS89" s="420"/>
      <c r="CT89" s="420"/>
      <c r="CU89" s="420"/>
      <c r="CV89" s="420"/>
      <c r="CW89" s="420"/>
      <c r="CX89" s="420"/>
      <c r="CY89" s="420"/>
      <c r="CZ89" s="420"/>
      <c r="DA89" s="420"/>
      <c r="DB89" s="420"/>
      <c r="DC89" s="420"/>
      <c r="DD89" s="420"/>
      <c r="DE89" s="420"/>
      <c r="DF89" s="420"/>
      <c r="DG89" s="420"/>
      <c r="DH89" s="420"/>
      <c r="DI89" s="420"/>
      <c r="DJ89" s="420"/>
      <c r="DK89" s="420"/>
      <c r="DL89" s="420"/>
      <c r="DM89" s="420"/>
      <c r="DN89" s="420"/>
      <c r="DO89" s="420"/>
      <c r="DP89" s="420"/>
      <c r="DQ89" s="420"/>
      <c r="DR89" s="420"/>
      <c r="DS89" s="420"/>
      <c r="DT89" s="420"/>
      <c r="DU89" s="420"/>
      <c r="DV89" s="420"/>
      <c r="DW89" s="420"/>
      <c r="DX89" s="420"/>
      <c r="DY89" s="420"/>
      <c r="DZ89" s="420"/>
      <c r="EA89" s="420"/>
      <c r="EB89" s="420"/>
      <c r="EC89" s="420"/>
      <c r="ED89" s="420"/>
      <c r="EE89" s="420"/>
      <c r="EF89" s="420"/>
      <c r="EG89" s="420"/>
      <c r="EH89" s="420"/>
      <c r="EI89" s="420"/>
      <c r="EJ89" s="420"/>
      <c r="EK89" s="420"/>
      <c r="EL89" s="420"/>
      <c r="EM89" s="420"/>
      <c r="EN89" s="420"/>
      <c r="EO89" s="420"/>
      <c r="EP89" s="420"/>
      <c r="EQ89" s="420"/>
      <c r="ER89" s="420"/>
      <c r="ES89" s="420"/>
      <c r="ET89" s="420"/>
      <c r="EU89" s="420"/>
      <c r="EV89" s="420"/>
      <c r="EW89" s="420"/>
      <c r="EX89" s="420"/>
      <c r="EY89" s="420"/>
      <c r="EZ89" s="420"/>
      <c r="FA89" s="420"/>
      <c r="FB89" s="420"/>
      <c r="FC89" s="420"/>
      <c r="FD89" s="420"/>
      <c r="FE89" s="420"/>
      <c r="FF89" s="420"/>
      <c r="FG89" s="420"/>
      <c r="FH89" s="420"/>
      <c r="FI89" s="420"/>
      <c r="FJ89" s="420"/>
      <c r="FK89" s="420"/>
      <c r="FL89" s="420"/>
      <c r="FM89" s="420"/>
      <c r="FN89" s="420"/>
      <c r="FO89" s="420"/>
      <c r="FP89" s="420"/>
      <c r="FQ89" s="420"/>
      <c r="FR89" s="420"/>
      <c r="FS89" s="420"/>
      <c r="FT89" s="420"/>
      <c r="FU89" s="420"/>
      <c r="FV89" s="420"/>
      <c r="FW89" s="420"/>
      <c r="FX89" s="420"/>
      <c r="FY89" s="420"/>
      <c r="FZ89" s="420"/>
      <c r="GA89" s="420"/>
      <c r="GB89" s="420"/>
      <c r="GC89" s="420"/>
      <c r="GD89" s="420"/>
      <c r="GE89" s="420"/>
      <c r="GF89" s="420"/>
      <c r="GG89" s="420"/>
      <c r="GH89" s="420"/>
      <c r="GI89" s="420"/>
      <c r="GJ89" s="420"/>
      <c r="GK89" s="420"/>
      <c r="GL89" s="420"/>
      <c r="GM89" s="420"/>
      <c r="GN89" s="420"/>
      <c r="GO89" s="420"/>
      <c r="GP89" s="420"/>
      <c r="GQ89" s="420"/>
      <c r="GR89" s="420"/>
      <c r="GS89" s="420"/>
      <c r="GT89" s="420"/>
      <c r="GU89" s="420"/>
      <c r="GV89" s="420"/>
      <c r="GW89" s="420"/>
      <c r="GX89" s="420"/>
      <c r="GY89" s="420"/>
      <c r="GZ89" s="420"/>
      <c r="HA89" s="420"/>
      <c r="HB89" s="420"/>
      <c r="HC89" s="420"/>
      <c r="HD89" s="420"/>
      <c r="HE89" s="420"/>
      <c r="HF89" s="420"/>
      <c r="HG89" s="420"/>
      <c r="HH89" s="420"/>
      <c r="HI89" s="420"/>
      <c r="HJ89" s="420"/>
      <c r="HK89" s="420"/>
      <c r="HL89" s="420"/>
      <c r="HM89" s="420"/>
      <c r="HN89" s="420"/>
      <c r="HO89" s="420"/>
      <c r="HP89" s="420"/>
      <c r="HQ89" s="420"/>
      <c r="HR89" s="420"/>
      <c r="HS89" s="420"/>
      <c r="HT89" s="420"/>
      <c r="HU89" s="420"/>
      <c r="HV89" s="420"/>
      <c r="HW89" s="420"/>
      <c r="HX89" s="420"/>
      <c r="HY89" s="420"/>
      <c r="HZ89" s="420"/>
      <c r="IA89" s="420"/>
      <c r="IB89" s="420"/>
      <c r="IC89" s="420"/>
      <c r="ID89" s="420"/>
      <c r="IE89" s="420"/>
      <c r="IF89" s="420"/>
      <c r="IG89" s="420"/>
      <c r="IH89" s="420"/>
      <c r="II89" s="420"/>
      <c r="IJ89" s="420"/>
      <c r="IK89" s="420"/>
      <c r="IL89" s="420"/>
      <c r="IM89" s="420"/>
      <c r="IN89" s="420"/>
      <c r="IO89" s="420"/>
      <c r="IP89" s="420"/>
      <c r="IQ89" s="420"/>
      <c r="IR89" s="420"/>
      <c r="IS89" s="420"/>
      <c r="IT89" s="420"/>
      <c r="IU89" s="420"/>
      <c r="IV89" s="420"/>
      <c r="IW89" s="420"/>
      <c r="IX89" s="420"/>
      <c r="IY89" s="420"/>
      <c r="IZ89" s="420"/>
      <c r="JA89" s="420"/>
    </row>
    <row r="90" spans="1:261" s="768" customFormat="1" ht="18" customHeight="1" x14ac:dyDescent="0.35">
      <c r="A90" s="783">
        <v>80</v>
      </c>
      <c r="B90" s="776"/>
      <c r="C90" s="422"/>
      <c r="D90" s="1338" t="s">
        <v>963</v>
      </c>
      <c r="E90" s="432"/>
      <c r="F90" s="772"/>
      <c r="G90" s="433"/>
      <c r="H90" s="1009"/>
      <c r="I90" s="1005"/>
      <c r="J90" s="769"/>
      <c r="K90" s="769"/>
      <c r="L90" s="769"/>
      <c r="M90" s="769"/>
      <c r="N90" s="769"/>
      <c r="O90" s="1623">
        <f>SUM(I90:N90)</f>
        <v>0</v>
      </c>
      <c r="P90" s="773"/>
      <c r="Q90" s="420"/>
      <c r="R90" s="420"/>
      <c r="S90" s="420"/>
      <c r="T90" s="420"/>
      <c r="U90" s="420"/>
      <c r="V90" s="420"/>
      <c r="W90" s="420"/>
      <c r="X90" s="420"/>
      <c r="Y90" s="420"/>
      <c r="Z90" s="420"/>
      <c r="AA90" s="420"/>
      <c r="AB90" s="420"/>
      <c r="AC90" s="420"/>
      <c r="AD90" s="420"/>
      <c r="AE90" s="420"/>
      <c r="AF90" s="420"/>
      <c r="AG90" s="420"/>
      <c r="AH90" s="420"/>
      <c r="AI90" s="420"/>
      <c r="AJ90" s="420"/>
      <c r="AK90" s="420"/>
      <c r="AL90" s="420"/>
      <c r="AM90" s="420"/>
      <c r="AN90" s="420"/>
      <c r="AO90" s="420"/>
      <c r="AP90" s="420"/>
      <c r="AQ90" s="420"/>
      <c r="AR90" s="420"/>
      <c r="AS90" s="420"/>
      <c r="AT90" s="420"/>
      <c r="AU90" s="420"/>
      <c r="AV90" s="420"/>
      <c r="AW90" s="420"/>
      <c r="AX90" s="420"/>
      <c r="AY90" s="420"/>
      <c r="AZ90" s="420"/>
      <c r="BA90" s="420"/>
      <c r="BB90" s="420"/>
      <c r="BC90" s="420"/>
      <c r="BD90" s="420"/>
      <c r="BE90" s="420"/>
      <c r="BF90" s="420"/>
      <c r="BG90" s="420"/>
      <c r="BH90" s="420"/>
      <c r="BI90" s="420"/>
      <c r="BJ90" s="420"/>
      <c r="BK90" s="420"/>
      <c r="BL90" s="420"/>
      <c r="BM90" s="420"/>
      <c r="BN90" s="420"/>
      <c r="BO90" s="420"/>
      <c r="BP90" s="420"/>
      <c r="BQ90" s="420"/>
      <c r="BR90" s="420"/>
      <c r="BS90" s="420"/>
      <c r="BT90" s="420"/>
      <c r="BU90" s="420"/>
      <c r="BV90" s="420"/>
      <c r="BW90" s="420"/>
      <c r="BX90" s="420"/>
      <c r="BY90" s="420"/>
      <c r="BZ90" s="420"/>
      <c r="CA90" s="420"/>
      <c r="CB90" s="420"/>
      <c r="CC90" s="420"/>
      <c r="CD90" s="420"/>
      <c r="CE90" s="420"/>
      <c r="CF90" s="420"/>
      <c r="CG90" s="420"/>
      <c r="CH90" s="420"/>
      <c r="CI90" s="420"/>
      <c r="CJ90" s="420"/>
      <c r="CK90" s="420"/>
      <c r="CL90" s="420"/>
      <c r="CM90" s="420"/>
      <c r="CN90" s="420"/>
      <c r="CO90" s="420"/>
      <c r="CP90" s="420"/>
      <c r="CQ90" s="420"/>
      <c r="CR90" s="420"/>
      <c r="CS90" s="420"/>
      <c r="CT90" s="420"/>
      <c r="CU90" s="420"/>
      <c r="CV90" s="420"/>
      <c r="CW90" s="420"/>
      <c r="CX90" s="420"/>
      <c r="CY90" s="420"/>
      <c r="CZ90" s="420"/>
      <c r="DA90" s="420"/>
      <c r="DB90" s="420"/>
      <c r="DC90" s="420"/>
      <c r="DD90" s="420"/>
      <c r="DE90" s="420"/>
      <c r="DF90" s="420"/>
      <c r="DG90" s="420"/>
      <c r="DH90" s="420"/>
      <c r="DI90" s="420"/>
      <c r="DJ90" s="420"/>
      <c r="DK90" s="420"/>
      <c r="DL90" s="420"/>
      <c r="DM90" s="420"/>
      <c r="DN90" s="420"/>
      <c r="DO90" s="420"/>
      <c r="DP90" s="420"/>
      <c r="DQ90" s="420"/>
      <c r="DR90" s="420"/>
      <c r="DS90" s="420"/>
      <c r="DT90" s="420"/>
      <c r="DU90" s="420"/>
      <c r="DV90" s="420"/>
      <c r="DW90" s="420"/>
      <c r="DX90" s="420"/>
      <c r="DY90" s="420"/>
      <c r="DZ90" s="420"/>
      <c r="EA90" s="420"/>
      <c r="EB90" s="420"/>
      <c r="EC90" s="420"/>
      <c r="ED90" s="420"/>
      <c r="EE90" s="420"/>
      <c r="EF90" s="420"/>
      <c r="EG90" s="420"/>
      <c r="EH90" s="420"/>
      <c r="EI90" s="420"/>
      <c r="EJ90" s="420"/>
      <c r="EK90" s="420"/>
      <c r="EL90" s="420"/>
      <c r="EM90" s="420"/>
      <c r="EN90" s="420"/>
      <c r="EO90" s="420"/>
      <c r="EP90" s="420"/>
      <c r="EQ90" s="420"/>
      <c r="ER90" s="420"/>
      <c r="ES90" s="420"/>
      <c r="ET90" s="420"/>
      <c r="EU90" s="420"/>
      <c r="EV90" s="420"/>
      <c r="EW90" s="420"/>
      <c r="EX90" s="420"/>
      <c r="EY90" s="420"/>
      <c r="EZ90" s="420"/>
      <c r="FA90" s="420"/>
      <c r="FB90" s="420"/>
      <c r="FC90" s="420"/>
      <c r="FD90" s="420"/>
      <c r="FE90" s="420"/>
      <c r="FF90" s="420"/>
      <c r="FG90" s="420"/>
      <c r="FH90" s="420"/>
      <c r="FI90" s="420"/>
      <c r="FJ90" s="420"/>
      <c r="FK90" s="420"/>
      <c r="FL90" s="420"/>
      <c r="FM90" s="420"/>
      <c r="FN90" s="420"/>
      <c r="FO90" s="420"/>
      <c r="FP90" s="420"/>
      <c r="FQ90" s="420"/>
      <c r="FR90" s="420"/>
      <c r="FS90" s="420"/>
      <c r="FT90" s="420"/>
      <c r="FU90" s="420"/>
      <c r="FV90" s="420"/>
      <c r="FW90" s="420"/>
      <c r="FX90" s="420"/>
      <c r="FY90" s="420"/>
      <c r="FZ90" s="420"/>
      <c r="GA90" s="420"/>
      <c r="GB90" s="420"/>
      <c r="GC90" s="420"/>
      <c r="GD90" s="420"/>
      <c r="GE90" s="420"/>
      <c r="GF90" s="420"/>
      <c r="GG90" s="420"/>
      <c r="GH90" s="420"/>
      <c r="GI90" s="420"/>
      <c r="GJ90" s="420"/>
      <c r="GK90" s="420"/>
      <c r="GL90" s="420"/>
      <c r="GM90" s="420"/>
      <c r="GN90" s="420"/>
      <c r="GO90" s="420"/>
      <c r="GP90" s="420"/>
      <c r="GQ90" s="420"/>
      <c r="GR90" s="420"/>
      <c r="GS90" s="420"/>
      <c r="GT90" s="420"/>
      <c r="GU90" s="420"/>
      <c r="GV90" s="420"/>
      <c r="GW90" s="420"/>
      <c r="GX90" s="420"/>
      <c r="GY90" s="420"/>
      <c r="GZ90" s="420"/>
      <c r="HA90" s="420"/>
      <c r="HB90" s="420"/>
      <c r="HC90" s="420"/>
      <c r="HD90" s="420"/>
      <c r="HE90" s="420"/>
      <c r="HF90" s="420"/>
      <c r="HG90" s="420"/>
      <c r="HH90" s="420"/>
      <c r="HI90" s="420"/>
      <c r="HJ90" s="420"/>
      <c r="HK90" s="420"/>
      <c r="HL90" s="420"/>
      <c r="HM90" s="420"/>
      <c r="HN90" s="420"/>
      <c r="HO90" s="420"/>
      <c r="HP90" s="420"/>
      <c r="HQ90" s="420"/>
      <c r="HR90" s="420"/>
      <c r="HS90" s="420"/>
      <c r="HT90" s="420"/>
      <c r="HU90" s="420"/>
      <c r="HV90" s="420"/>
      <c r="HW90" s="420"/>
      <c r="HX90" s="420"/>
      <c r="HY90" s="420"/>
      <c r="HZ90" s="420"/>
      <c r="IA90" s="420"/>
      <c r="IB90" s="420"/>
      <c r="IC90" s="420"/>
      <c r="ID90" s="420"/>
      <c r="IE90" s="420"/>
      <c r="IF90" s="420"/>
      <c r="IG90" s="420"/>
      <c r="IH90" s="420"/>
      <c r="II90" s="420"/>
      <c r="IJ90" s="420"/>
      <c r="IK90" s="420"/>
      <c r="IL90" s="420"/>
      <c r="IM90" s="420"/>
      <c r="IN90" s="420"/>
      <c r="IO90" s="420"/>
      <c r="IP90" s="420"/>
      <c r="IQ90" s="420"/>
      <c r="IR90" s="420"/>
      <c r="IS90" s="420"/>
      <c r="IT90" s="420"/>
      <c r="IU90" s="420"/>
      <c r="IV90" s="420"/>
      <c r="IW90" s="420"/>
      <c r="IX90" s="420"/>
      <c r="IY90" s="420"/>
      <c r="IZ90" s="420"/>
      <c r="JA90" s="420"/>
    </row>
    <row r="91" spans="1:261" s="768" customFormat="1" ht="18" customHeight="1" x14ac:dyDescent="0.35">
      <c r="A91" s="783">
        <v>81</v>
      </c>
      <c r="B91" s="776"/>
      <c r="C91" s="422"/>
      <c r="D91" s="583" t="s">
        <v>1151</v>
      </c>
      <c r="E91" s="432"/>
      <c r="F91" s="772"/>
      <c r="G91" s="433"/>
      <c r="H91" s="1009"/>
      <c r="I91" s="1005"/>
      <c r="J91" s="769"/>
      <c r="K91" s="769">
        <f>SUM(K89:K90)</f>
        <v>1087</v>
      </c>
      <c r="L91" s="769"/>
      <c r="M91" s="769">
        <f t="shared" ref="M91" si="12">SUM(M89:M90)</f>
        <v>21914</v>
      </c>
      <c r="N91" s="769"/>
      <c r="O91" s="777">
        <f>SUM(I91:N91)</f>
        <v>23001</v>
      </c>
      <c r="P91" s="773"/>
      <c r="Q91" s="420"/>
      <c r="R91" s="420"/>
      <c r="S91" s="420"/>
      <c r="T91" s="420"/>
      <c r="U91" s="420"/>
      <c r="V91" s="420"/>
      <c r="W91" s="420"/>
      <c r="X91" s="420"/>
      <c r="Y91" s="420"/>
      <c r="Z91" s="420"/>
      <c r="AA91" s="420"/>
      <c r="AB91" s="420"/>
      <c r="AC91" s="420"/>
      <c r="AD91" s="420"/>
      <c r="AE91" s="420"/>
      <c r="AF91" s="420"/>
      <c r="AG91" s="420"/>
      <c r="AH91" s="420"/>
      <c r="AI91" s="420"/>
      <c r="AJ91" s="420"/>
      <c r="AK91" s="420"/>
      <c r="AL91" s="420"/>
      <c r="AM91" s="420"/>
      <c r="AN91" s="420"/>
      <c r="AO91" s="420"/>
      <c r="AP91" s="420"/>
      <c r="AQ91" s="420"/>
      <c r="AR91" s="420"/>
      <c r="AS91" s="420"/>
      <c r="AT91" s="420"/>
      <c r="AU91" s="420"/>
      <c r="AV91" s="420"/>
      <c r="AW91" s="420"/>
      <c r="AX91" s="420"/>
      <c r="AY91" s="420"/>
      <c r="AZ91" s="420"/>
      <c r="BA91" s="420"/>
      <c r="BB91" s="420"/>
      <c r="BC91" s="420"/>
      <c r="BD91" s="420"/>
      <c r="BE91" s="420"/>
      <c r="BF91" s="420"/>
      <c r="BG91" s="420"/>
      <c r="BH91" s="420"/>
      <c r="BI91" s="420"/>
      <c r="BJ91" s="420"/>
      <c r="BK91" s="420"/>
      <c r="BL91" s="420"/>
      <c r="BM91" s="420"/>
      <c r="BN91" s="420"/>
      <c r="BO91" s="420"/>
      <c r="BP91" s="420"/>
      <c r="BQ91" s="420"/>
      <c r="BR91" s="420"/>
      <c r="BS91" s="420"/>
      <c r="BT91" s="420"/>
      <c r="BU91" s="420"/>
      <c r="BV91" s="420"/>
      <c r="BW91" s="420"/>
      <c r="BX91" s="420"/>
      <c r="BY91" s="420"/>
      <c r="BZ91" s="420"/>
      <c r="CA91" s="420"/>
      <c r="CB91" s="420"/>
      <c r="CC91" s="420"/>
      <c r="CD91" s="420"/>
      <c r="CE91" s="420"/>
      <c r="CF91" s="420"/>
      <c r="CG91" s="420"/>
      <c r="CH91" s="420"/>
      <c r="CI91" s="420"/>
      <c r="CJ91" s="420"/>
      <c r="CK91" s="420"/>
      <c r="CL91" s="420"/>
      <c r="CM91" s="420"/>
      <c r="CN91" s="420"/>
      <c r="CO91" s="420"/>
      <c r="CP91" s="420"/>
      <c r="CQ91" s="420"/>
      <c r="CR91" s="420"/>
      <c r="CS91" s="420"/>
      <c r="CT91" s="420"/>
      <c r="CU91" s="420"/>
      <c r="CV91" s="420"/>
      <c r="CW91" s="420"/>
      <c r="CX91" s="420"/>
      <c r="CY91" s="420"/>
      <c r="CZ91" s="420"/>
      <c r="DA91" s="420"/>
      <c r="DB91" s="420"/>
      <c r="DC91" s="420"/>
      <c r="DD91" s="420"/>
      <c r="DE91" s="420"/>
      <c r="DF91" s="420"/>
      <c r="DG91" s="420"/>
      <c r="DH91" s="420"/>
      <c r="DI91" s="420"/>
      <c r="DJ91" s="420"/>
      <c r="DK91" s="420"/>
      <c r="DL91" s="420"/>
      <c r="DM91" s="420"/>
      <c r="DN91" s="420"/>
      <c r="DO91" s="420"/>
      <c r="DP91" s="420"/>
      <c r="DQ91" s="420"/>
      <c r="DR91" s="420"/>
      <c r="DS91" s="420"/>
      <c r="DT91" s="420"/>
      <c r="DU91" s="420"/>
      <c r="DV91" s="420"/>
      <c r="DW91" s="420"/>
      <c r="DX91" s="420"/>
      <c r="DY91" s="420"/>
      <c r="DZ91" s="420"/>
      <c r="EA91" s="420"/>
      <c r="EB91" s="420"/>
      <c r="EC91" s="420"/>
      <c r="ED91" s="420"/>
      <c r="EE91" s="420"/>
      <c r="EF91" s="420"/>
      <c r="EG91" s="420"/>
      <c r="EH91" s="420"/>
      <c r="EI91" s="420"/>
      <c r="EJ91" s="420"/>
      <c r="EK91" s="420"/>
      <c r="EL91" s="420"/>
      <c r="EM91" s="420"/>
      <c r="EN91" s="420"/>
      <c r="EO91" s="420"/>
      <c r="EP91" s="420"/>
      <c r="EQ91" s="420"/>
      <c r="ER91" s="420"/>
      <c r="ES91" s="420"/>
      <c r="ET91" s="420"/>
      <c r="EU91" s="420"/>
      <c r="EV91" s="420"/>
      <c r="EW91" s="420"/>
      <c r="EX91" s="420"/>
      <c r="EY91" s="420"/>
      <c r="EZ91" s="420"/>
      <c r="FA91" s="420"/>
      <c r="FB91" s="420"/>
      <c r="FC91" s="420"/>
      <c r="FD91" s="420"/>
      <c r="FE91" s="420"/>
      <c r="FF91" s="420"/>
      <c r="FG91" s="420"/>
      <c r="FH91" s="420"/>
      <c r="FI91" s="420"/>
      <c r="FJ91" s="420"/>
      <c r="FK91" s="420"/>
      <c r="FL91" s="420"/>
      <c r="FM91" s="420"/>
      <c r="FN91" s="420"/>
      <c r="FO91" s="420"/>
      <c r="FP91" s="420"/>
      <c r="FQ91" s="420"/>
      <c r="FR91" s="420"/>
      <c r="FS91" s="420"/>
      <c r="FT91" s="420"/>
      <c r="FU91" s="420"/>
      <c r="FV91" s="420"/>
      <c r="FW91" s="420"/>
      <c r="FX91" s="420"/>
      <c r="FY91" s="420"/>
      <c r="FZ91" s="420"/>
      <c r="GA91" s="420"/>
      <c r="GB91" s="420"/>
      <c r="GC91" s="420"/>
      <c r="GD91" s="420"/>
      <c r="GE91" s="420"/>
      <c r="GF91" s="420"/>
      <c r="GG91" s="420"/>
      <c r="GH91" s="420"/>
      <c r="GI91" s="420"/>
      <c r="GJ91" s="420"/>
      <c r="GK91" s="420"/>
      <c r="GL91" s="420"/>
      <c r="GM91" s="420"/>
      <c r="GN91" s="420"/>
      <c r="GO91" s="420"/>
      <c r="GP91" s="420"/>
      <c r="GQ91" s="420"/>
      <c r="GR91" s="420"/>
      <c r="GS91" s="420"/>
      <c r="GT91" s="420"/>
      <c r="GU91" s="420"/>
      <c r="GV91" s="420"/>
      <c r="GW91" s="420"/>
      <c r="GX91" s="420"/>
      <c r="GY91" s="420"/>
      <c r="GZ91" s="420"/>
      <c r="HA91" s="420"/>
      <c r="HB91" s="420"/>
      <c r="HC91" s="420"/>
      <c r="HD91" s="420"/>
      <c r="HE91" s="420"/>
      <c r="HF91" s="420"/>
      <c r="HG91" s="420"/>
      <c r="HH91" s="420"/>
      <c r="HI91" s="420"/>
      <c r="HJ91" s="420"/>
      <c r="HK91" s="420"/>
      <c r="HL91" s="420"/>
      <c r="HM91" s="420"/>
      <c r="HN91" s="420"/>
      <c r="HO91" s="420"/>
      <c r="HP91" s="420"/>
      <c r="HQ91" s="420"/>
      <c r="HR91" s="420"/>
      <c r="HS91" s="420"/>
      <c r="HT91" s="420"/>
      <c r="HU91" s="420"/>
      <c r="HV91" s="420"/>
      <c r="HW91" s="420"/>
      <c r="HX91" s="420"/>
      <c r="HY91" s="420"/>
      <c r="HZ91" s="420"/>
      <c r="IA91" s="420"/>
      <c r="IB91" s="420"/>
      <c r="IC91" s="420"/>
      <c r="ID91" s="420"/>
      <c r="IE91" s="420"/>
      <c r="IF91" s="420"/>
      <c r="IG91" s="420"/>
      <c r="IH91" s="420"/>
      <c r="II91" s="420"/>
      <c r="IJ91" s="420"/>
      <c r="IK91" s="420"/>
      <c r="IL91" s="420"/>
      <c r="IM91" s="420"/>
      <c r="IN91" s="420"/>
      <c r="IO91" s="420"/>
      <c r="IP91" s="420"/>
      <c r="IQ91" s="420"/>
      <c r="IR91" s="420"/>
      <c r="IS91" s="420"/>
      <c r="IT91" s="420"/>
      <c r="IU91" s="420"/>
      <c r="IV91" s="420"/>
      <c r="IW91" s="420"/>
      <c r="IX91" s="420"/>
      <c r="IY91" s="420"/>
      <c r="IZ91" s="420"/>
      <c r="JA91" s="420"/>
    </row>
    <row r="92" spans="1:261" ht="33" x14ac:dyDescent="0.35">
      <c r="A92" s="783">
        <v>82</v>
      </c>
      <c r="B92" s="625"/>
      <c r="C92" s="422">
        <v>17</v>
      </c>
      <c r="D92" s="424" t="s">
        <v>615</v>
      </c>
      <c r="E92" s="432"/>
      <c r="F92" s="772"/>
      <c r="G92" s="433"/>
      <c r="H92" s="1009" t="s">
        <v>24</v>
      </c>
      <c r="I92" s="1027"/>
      <c r="J92" s="1023"/>
      <c r="K92" s="1023"/>
      <c r="L92" s="1023"/>
      <c r="M92" s="1023"/>
      <c r="N92" s="1023"/>
      <c r="O92" s="992"/>
      <c r="P92" s="773"/>
    </row>
    <row r="93" spans="1:261" s="768" customFormat="1" ht="18" customHeight="1" x14ac:dyDescent="0.35">
      <c r="A93" s="783">
        <v>83</v>
      </c>
      <c r="B93" s="776"/>
      <c r="C93" s="422"/>
      <c r="D93" s="1002" t="s">
        <v>311</v>
      </c>
      <c r="E93" s="432">
        <f>F93+G93+O96+P96+13852</f>
        <v>835027</v>
      </c>
      <c r="F93" s="772">
        <v>6414</v>
      </c>
      <c r="G93" s="433">
        <f>26646</f>
        <v>26646</v>
      </c>
      <c r="H93" s="1009"/>
      <c r="I93" s="1027"/>
      <c r="J93" s="1023"/>
      <c r="K93" s="1023">
        <v>10750</v>
      </c>
      <c r="L93" s="1023"/>
      <c r="M93" s="1023">
        <f>41400+730453</f>
        <v>771853</v>
      </c>
      <c r="N93" s="1023"/>
      <c r="O93" s="992">
        <f>SUM(I93:N93)</f>
        <v>782603</v>
      </c>
      <c r="P93" s="773"/>
      <c r="Q93" s="420"/>
      <c r="R93" s="420"/>
      <c r="S93" s="420"/>
      <c r="T93" s="420"/>
      <c r="U93" s="420"/>
      <c r="V93" s="420"/>
      <c r="W93" s="420"/>
      <c r="X93" s="420"/>
      <c r="Y93" s="420"/>
      <c r="Z93" s="420"/>
      <c r="AA93" s="420"/>
      <c r="AB93" s="420"/>
      <c r="AC93" s="420"/>
      <c r="AD93" s="420"/>
      <c r="AE93" s="420"/>
      <c r="AF93" s="420"/>
      <c r="AG93" s="420"/>
      <c r="AH93" s="420"/>
      <c r="AI93" s="420"/>
      <c r="AJ93" s="420"/>
      <c r="AK93" s="420"/>
      <c r="AL93" s="420"/>
      <c r="AM93" s="420"/>
      <c r="AN93" s="420"/>
      <c r="AO93" s="420"/>
      <c r="AP93" s="420"/>
      <c r="AQ93" s="420"/>
      <c r="AR93" s="420"/>
      <c r="AS93" s="420"/>
      <c r="AT93" s="420"/>
      <c r="AU93" s="420"/>
      <c r="AV93" s="420"/>
      <c r="AW93" s="420"/>
      <c r="AX93" s="420"/>
      <c r="AY93" s="420"/>
      <c r="AZ93" s="420"/>
      <c r="BA93" s="420"/>
      <c r="BB93" s="420"/>
      <c r="BC93" s="420"/>
      <c r="BD93" s="420"/>
      <c r="BE93" s="420"/>
      <c r="BF93" s="420"/>
      <c r="BG93" s="420"/>
      <c r="BH93" s="420"/>
      <c r="BI93" s="420"/>
      <c r="BJ93" s="420"/>
      <c r="BK93" s="420"/>
      <c r="BL93" s="420"/>
      <c r="BM93" s="420"/>
      <c r="BN93" s="420"/>
      <c r="BO93" s="420"/>
      <c r="BP93" s="420"/>
      <c r="BQ93" s="420"/>
      <c r="BR93" s="420"/>
      <c r="BS93" s="420"/>
      <c r="BT93" s="420"/>
      <c r="BU93" s="420"/>
      <c r="BV93" s="420"/>
      <c r="BW93" s="420"/>
      <c r="BX93" s="420"/>
      <c r="BY93" s="420"/>
      <c r="BZ93" s="420"/>
      <c r="CA93" s="420"/>
      <c r="CB93" s="420"/>
      <c r="CC93" s="420"/>
      <c r="CD93" s="420"/>
      <c r="CE93" s="420"/>
      <c r="CF93" s="420"/>
      <c r="CG93" s="420"/>
      <c r="CH93" s="420"/>
      <c r="CI93" s="420"/>
      <c r="CJ93" s="420"/>
      <c r="CK93" s="420"/>
      <c r="CL93" s="420"/>
      <c r="CM93" s="420"/>
      <c r="CN93" s="420"/>
      <c r="CO93" s="420"/>
      <c r="CP93" s="420"/>
      <c r="CQ93" s="420"/>
      <c r="CR93" s="420"/>
      <c r="CS93" s="420"/>
      <c r="CT93" s="420"/>
      <c r="CU93" s="420"/>
      <c r="CV93" s="420"/>
      <c r="CW93" s="420"/>
      <c r="CX93" s="420"/>
      <c r="CY93" s="420"/>
      <c r="CZ93" s="420"/>
      <c r="DA93" s="420"/>
      <c r="DB93" s="420"/>
      <c r="DC93" s="420"/>
      <c r="DD93" s="420"/>
      <c r="DE93" s="420"/>
      <c r="DF93" s="420"/>
      <c r="DG93" s="420"/>
      <c r="DH93" s="420"/>
      <c r="DI93" s="420"/>
      <c r="DJ93" s="420"/>
      <c r="DK93" s="420"/>
      <c r="DL93" s="420"/>
      <c r="DM93" s="420"/>
      <c r="DN93" s="420"/>
      <c r="DO93" s="420"/>
      <c r="DP93" s="420"/>
      <c r="DQ93" s="420"/>
      <c r="DR93" s="420"/>
      <c r="DS93" s="420"/>
      <c r="DT93" s="420"/>
      <c r="DU93" s="420"/>
      <c r="DV93" s="420"/>
      <c r="DW93" s="420"/>
      <c r="DX93" s="420"/>
      <c r="DY93" s="420"/>
      <c r="DZ93" s="420"/>
      <c r="EA93" s="420"/>
      <c r="EB93" s="420"/>
      <c r="EC93" s="420"/>
      <c r="ED93" s="420"/>
      <c r="EE93" s="420"/>
      <c r="EF93" s="420"/>
      <c r="EG93" s="420"/>
      <c r="EH93" s="420"/>
      <c r="EI93" s="420"/>
      <c r="EJ93" s="420"/>
      <c r="EK93" s="420"/>
      <c r="EL93" s="420"/>
      <c r="EM93" s="420"/>
      <c r="EN93" s="420"/>
      <c r="EO93" s="420"/>
      <c r="EP93" s="420"/>
      <c r="EQ93" s="420"/>
      <c r="ER93" s="420"/>
      <c r="ES93" s="420"/>
      <c r="ET93" s="420"/>
      <c r="EU93" s="420"/>
      <c r="EV93" s="420"/>
      <c r="EW93" s="420"/>
      <c r="EX93" s="420"/>
      <c r="EY93" s="420"/>
      <c r="EZ93" s="420"/>
      <c r="FA93" s="420"/>
      <c r="FB93" s="420"/>
      <c r="FC93" s="420"/>
      <c r="FD93" s="420"/>
      <c r="FE93" s="420"/>
      <c r="FF93" s="420"/>
      <c r="FG93" s="420"/>
      <c r="FH93" s="420"/>
      <c r="FI93" s="420"/>
      <c r="FJ93" s="420"/>
      <c r="FK93" s="420"/>
      <c r="FL93" s="420"/>
      <c r="FM93" s="420"/>
      <c r="FN93" s="420"/>
      <c r="FO93" s="420"/>
      <c r="FP93" s="420"/>
      <c r="FQ93" s="420"/>
      <c r="FR93" s="420"/>
      <c r="FS93" s="420"/>
      <c r="FT93" s="420"/>
      <c r="FU93" s="420"/>
      <c r="FV93" s="420"/>
      <c r="FW93" s="420"/>
      <c r="FX93" s="420"/>
      <c r="FY93" s="420"/>
      <c r="FZ93" s="420"/>
      <c r="GA93" s="420"/>
      <c r="GB93" s="420"/>
      <c r="GC93" s="420"/>
      <c r="GD93" s="420"/>
      <c r="GE93" s="420"/>
      <c r="GF93" s="420"/>
      <c r="GG93" s="420"/>
      <c r="GH93" s="420"/>
      <c r="GI93" s="420"/>
      <c r="GJ93" s="420"/>
      <c r="GK93" s="420"/>
      <c r="GL93" s="420"/>
      <c r="GM93" s="420"/>
      <c r="GN93" s="420"/>
      <c r="GO93" s="420"/>
      <c r="GP93" s="420"/>
      <c r="GQ93" s="420"/>
      <c r="GR93" s="420"/>
      <c r="GS93" s="420"/>
      <c r="GT93" s="420"/>
      <c r="GU93" s="420"/>
      <c r="GV93" s="420"/>
      <c r="GW93" s="420"/>
      <c r="GX93" s="420"/>
      <c r="GY93" s="420"/>
      <c r="GZ93" s="420"/>
      <c r="HA93" s="420"/>
      <c r="HB93" s="420"/>
      <c r="HC93" s="420"/>
      <c r="HD93" s="420"/>
      <c r="HE93" s="420"/>
      <c r="HF93" s="420"/>
      <c r="HG93" s="420"/>
      <c r="HH93" s="420"/>
      <c r="HI93" s="420"/>
      <c r="HJ93" s="420"/>
      <c r="HK93" s="420"/>
      <c r="HL93" s="420"/>
      <c r="HM93" s="420"/>
      <c r="HN93" s="420"/>
      <c r="HO93" s="420"/>
      <c r="HP93" s="420"/>
      <c r="HQ93" s="420"/>
      <c r="HR93" s="420"/>
      <c r="HS93" s="420"/>
      <c r="HT93" s="420"/>
      <c r="HU93" s="420"/>
      <c r="HV93" s="420"/>
      <c r="HW93" s="420"/>
      <c r="HX93" s="420"/>
      <c r="HY93" s="420"/>
      <c r="HZ93" s="420"/>
      <c r="IA93" s="420"/>
      <c r="IB93" s="420"/>
      <c r="IC93" s="420"/>
      <c r="ID93" s="420"/>
      <c r="IE93" s="420"/>
      <c r="IF93" s="420"/>
      <c r="IG93" s="420"/>
      <c r="IH93" s="420"/>
      <c r="II93" s="420"/>
      <c r="IJ93" s="420"/>
      <c r="IK93" s="420"/>
      <c r="IL93" s="420"/>
      <c r="IM93" s="420"/>
      <c r="IN93" s="420"/>
      <c r="IO93" s="420"/>
      <c r="IP93" s="420"/>
      <c r="IQ93" s="420"/>
      <c r="IR93" s="420"/>
      <c r="IS93" s="420"/>
      <c r="IT93" s="420"/>
      <c r="IU93" s="420"/>
      <c r="IV93" s="420"/>
      <c r="IW93" s="420"/>
      <c r="IX93" s="420"/>
      <c r="IY93" s="420"/>
      <c r="IZ93" s="420"/>
      <c r="JA93" s="420"/>
    </row>
    <row r="94" spans="1:261" s="768" customFormat="1" ht="18" customHeight="1" x14ac:dyDescent="0.35">
      <c r="A94" s="783">
        <v>84</v>
      </c>
      <c r="B94" s="776"/>
      <c r="C94" s="422"/>
      <c r="D94" s="583" t="s">
        <v>1072</v>
      </c>
      <c r="E94" s="432"/>
      <c r="F94" s="772"/>
      <c r="G94" s="433"/>
      <c r="H94" s="1009"/>
      <c r="I94" s="1027"/>
      <c r="J94" s="1023"/>
      <c r="K94" s="769">
        <v>10750</v>
      </c>
      <c r="L94" s="769"/>
      <c r="M94" s="769">
        <v>771853</v>
      </c>
      <c r="N94" s="1023"/>
      <c r="O94" s="777">
        <f>SUM(I94:N94)</f>
        <v>782603</v>
      </c>
      <c r="P94" s="773"/>
      <c r="Q94" s="420"/>
      <c r="R94" s="420"/>
      <c r="S94" s="420"/>
      <c r="T94" s="420"/>
      <c r="U94" s="420"/>
      <c r="V94" s="420"/>
      <c r="W94" s="420"/>
      <c r="X94" s="420"/>
      <c r="Y94" s="420"/>
      <c r="Z94" s="420"/>
      <c r="AA94" s="420"/>
      <c r="AB94" s="420"/>
      <c r="AC94" s="420"/>
      <c r="AD94" s="420"/>
      <c r="AE94" s="420"/>
      <c r="AF94" s="420"/>
      <c r="AG94" s="420"/>
      <c r="AH94" s="420"/>
      <c r="AI94" s="420"/>
      <c r="AJ94" s="420"/>
      <c r="AK94" s="420"/>
      <c r="AL94" s="420"/>
      <c r="AM94" s="420"/>
      <c r="AN94" s="420"/>
      <c r="AO94" s="420"/>
      <c r="AP94" s="420"/>
      <c r="AQ94" s="420"/>
      <c r="AR94" s="420"/>
      <c r="AS94" s="420"/>
      <c r="AT94" s="420"/>
      <c r="AU94" s="420"/>
      <c r="AV94" s="420"/>
      <c r="AW94" s="420"/>
      <c r="AX94" s="420"/>
      <c r="AY94" s="420"/>
      <c r="AZ94" s="420"/>
      <c r="BA94" s="420"/>
      <c r="BB94" s="420"/>
      <c r="BC94" s="420"/>
      <c r="BD94" s="420"/>
      <c r="BE94" s="420"/>
      <c r="BF94" s="420"/>
      <c r="BG94" s="420"/>
      <c r="BH94" s="420"/>
      <c r="BI94" s="420"/>
      <c r="BJ94" s="420"/>
      <c r="BK94" s="420"/>
      <c r="BL94" s="420"/>
      <c r="BM94" s="420"/>
      <c r="BN94" s="420"/>
      <c r="BO94" s="420"/>
      <c r="BP94" s="420"/>
      <c r="BQ94" s="420"/>
      <c r="BR94" s="420"/>
      <c r="BS94" s="420"/>
      <c r="BT94" s="420"/>
      <c r="BU94" s="420"/>
      <c r="BV94" s="420"/>
      <c r="BW94" s="420"/>
      <c r="BX94" s="420"/>
      <c r="BY94" s="420"/>
      <c r="BZ94" s="420"/>
      <c r="CA94" s="420"/>
      <c r="CB94" s="420"/>
      <c r="CC94" s="420"/>
      <c r="CD94" s="420"/>
      <c r="CE94" s="420"/>
      <c r="CF94" s="420"/>
      <c r="CG94" s="420"/>
      <c r="CH94" s="420"/>
      <c r="CI94" s="420"/>
      <c r="CJ94" s="420"/>
      <c r="CK94" s="420"/>
      <c r="CL94" s="420"/>
      <c r="CM94" s="420"/>
      <c r="CN94" s="420"/>
      <c r="CO94" s="420"/>
      <c r="CP94" s="420"/>
      <c r="CQ94" s="420"/>
      <c r="CR94" s="420"/>
      <c r="CS94" s="420"/>
      <c r="CT94" s="420"/>
      <c r="CU94" s="420"/>
      <c r="CV94" s="420"/>
      <c r="CW94" s="420"/>
      <c r="CX94" s="420"/>
      <c r="CY94" s="420"/>
      <c r="CZ94" s="420"/>
      <c r="DA94" s="420"/>
      <c r="DB94" s="420"/>
      <c r="DC94" s="420"/>
      <c r="DD94" s="420"/>
      <c r="DE94" s="420"/>
      <c r="DF94" s="420"/>
      <c r="DG94" s="420"/>
      <c r="DH94" s="420"/>
      <c r="DI94" s="420"/>
      <c r="DJ94" s="420"/>
      <c r="DK94" s="420"/>
      <c r="DL94" s="420"/>
      <c r="DM94" s="420"/>
      <c r="DN94" s="420"/>
      <c r="DO94" s="420"/>
      <c r="DP94" s="420"/>
      <c r="DQ94" s="420"/>
      <c r="DR94" s="420"/>
      <c r="DS94" s="420"/>
      <c r="DT94" s="420"/>
      <c r="DU94" s="420"/>
      <c r="DV94" s="420"/>
      <c r="DW94" s="420"/>
      <c r="DX94" s="420"/>
      <c r="DY94" s="420"/>
      <c r="DZ94" s="420"/>
      <c r="EA94" s="420"/>
      <c r="EB94" s="420"/>
      <c r="EC94" s="420"/>
      <c r="ED94" s="420"/>
      <c r="EE94" s="420"/>
      <c r="EF94" s="420"/>
      <c r="EG94" s="420"/>
      <c r="EH94" s="420"/>
      <c r="EI94" s="420"/>
      <c r="EJ94" s="420"/>
      <c r="EK94" s="420"/>
      <c r="EL94" s="420"/>
      <c r="EM94" s="420"/>
      <c r="EN94" s="420"/>
      <c r="EO94" s="420"/>
      <c r="EP94" s="420"/>
      <c r="EQ94" s="420"/>
      <c r="ER94" s="420"/>
      <c r="ES94" s="420"/>
      <c r="ET94" s="420"/>
      <c r="EU94" s="420"/>
      <c r="EV94" s="420"/>
      <c r="EW94" s="420"/>
      <c r="EX94" s="420"/>
      <c r="EY94" s="420"/>
      <c r="EZ94" s="420"/>
      <c r="FA94" s="420"/>
      <c r="FB94" s="420"/>
      <c r="FC94" s="420"/>
      <c r="FD94" s="420"/>
      <c r="FE94" s="420"/>
      <c r="FF94" s="420"/>
      <c r="FG94" s="420"/>
      <c r="FH94" s="420"/>
      <c r="FI94" s="420"/>
      <c r="FJ94" s="420"/>
      <c r="FK94" s="420"/>
      <c r="FL94" s="420"/>
      <c r="FM94" s="420"/>
      <c r="FN94" s="420"/>
      <c r="FO94" s="420"/>
      <c r="FP94" s="420"/>
      <c r="FQ94" s="420"/>
      <c r="FR94" s="420"/>
      <c r="FS94" s="420"/>
      <c r="FT94" s="420"/>
      <c r="FU94" s="420"/>
      <c r="FV94" s="420"/>
      <c r="FW94" s="420"/>
      <c r="FX94" s="420"/>
      <c r="FY94" s="420"/>
      <c r="FZ94" s="420"/>
      <c r="GA94" s="420"/>
      <c r="GB94" s="420"/>
      <c r="GC94" s="420"/>
      <c r="GD94" s="420"/>
      <c r="GE94" s="420"/>
      <c r="GF94" s="420"/>
      <c r="GG94" s="420"/>
      <c r="GH94" s="420"/>
      <c r="GI94" s="420"/>
      <c r="GJ94" s="420"/>
      <c r="GK94" s="420"/>
      <c r="GL94" s="420"/>
      <c r="GM94" s="420"/>
      <c r="GN94" s="420"/>
      <c r="GO94" s="420"/>
      <c r="GP94" s="420"/>
      <c r="GQ94" s="420"/>
      <c r="GR94" s="420"/>
      <c r="GS94" s="420"/>
      <c r="GT94" s="420"/>
      <c r="GU94" s="420"/>
      <c r="GV94" s="420"/>
      <c r="GW94" s="420"/>
      <c r="GX94" s="420"/>
      <c r="GY94" s="420"/>
      <c r="GZ94" s="420"/>
      <c r="HA94" s="420"/>
      <c r="HB94" s="420"/>
      <c r="HC94" s="420"/>
      <c r="HD94" s="420"/>
      <c r="HE94" s="420"/>
      <c r="HF94" s="420"/>
      <c r="HG94" s="420"/>
      <c r="HH94" s="420"/>
      <c r="HI94" s="420"/>
      <c r="HJ94" s="420"/>
      <c r="HK94" s="420"/>
      <c r="HL94" s="420"/>
      <c r="HM94" s="420"/>
      <c r="HN94" s="420"/>
      <c r="HO94" s="420"/>
      <c r="HP94" s="420"/>
      <c r="HQ94" s="420"/>
      <c r="HR94" s="420"/>
      <c r="HS94" s="420"/>
      <c r="HT94" s="420"/>
      <c r="HU94" s="420"/>
      <c r="HV94" s="420"/>
      <c r="HW94" s="420"/>
      <c r="HX94" s="420"/>
      <c r="HY94" s="420"/>
      <c r="HZ94" s="420"/>
      <c r="IA94" s="420"/>
      <c r="IB94" s="420"/>
      <c r="IC94" s="420"/>
      <c r="ID94" s="420"/>
      <c r="IE94" s="420"/>
      <c r="IF94" s="420"/>
      <c r="IG94" s="420"/>
      <c r="IH94" s="420"/>
      <c r="II94" s="420"/>
      <c r="IJ94" s="420"/>
      <c r="IK94" s="420"/>
      <c r="IL94" s="420"/>
      <c r="IM94" s="420"/>
      <c r="IN94" s="420"/>
      <c r="IO94" s="420"/>
      <c r="IP94" s="420"/>
      <c r="IQ94" s="420"/>
      <c r="IR94" s="420"/>
      <c r="IS94" s="420"/>
      <c r="IT94" s="420"/>
      <c r="IU94" s="420"/>
      <c r="IV94" s="420"/>
      <c r="IW94" s="420"/>
      <c r="IX94" s="420"/>
      <c r="IY94" s="420"/>
      <c r="IZ94" s="420"/>
      <c r="JA94" s="420"/>
    </row>
    <row r="95" spans="1:261" s="768" customFormat="1" ht="18" customHeight="1" x14ac:dyDescent="0.35">
      <c r="A95" s="783">
        <v>85</v>
      </c>
      <c r="B95" s="776"/>
      <c r="C95" s="422"/>
      <c r="D95" s="1338" t="s">
        <v>1226</v>
      </c>
      <c r="E95" s="432"/>
      <c r="F95" s="772"/>
      <c r="G95" s="433"/>
      <c r="H95" s="1009"/>
      <c r="I95" s="1814"/>
      <c r="J95" s="1810"/>
      <c r="K95" s="1810">
        <v>-10750</v>
      </c>
      <c r="L95" s="1810">
        <v>24602</v>
      </c>
      <c r="M95" s="1810">
        <v>-771853</v>
      </c>
      <c r="N95" s="1810">
        <v>763513</v>
      </c>
      <c r="O95" s="1623">
        <f>SUM(I95:N95)</f>
        <v>5512</v>
      </c>
      <c r="P95" s="773"/>
      <c r="Q95" s="420"/>
      <c r="R95" s="420"/>
      <c r="S95" s="420"/>
      <c r="T95" s="420"/>
      <c r="U95" s="420"/>
      <c r="V95" s="420"/>
      <c r="W95" s="420"/>
      <c r="X95" s="420"/>
      <c r="Y95" s="420"/>
      <c r="Z95" s="420"/>
      <c r="AA95" s="420"/>
      <c r="AB95" s="420"/>
      <c r="AC95" s="420"/>
      <c r="AD95" s="420"/>
      <c r="AE95" s="420"/>
      <c r="AF95" s="420"/>
      <c r="AG95" s="420"/>
      <c r="AH95" s="420"/>
      <c r="AI95" s="420"/>
      <c r="AJ95" s="420"/>
      <c r="AK95" s="420"/>
      <c r="AL95" s="420"/>
      <c r="AM95" s="420"/>
      <c r="AN95" s="420"/>
      <c r="AO95" s="420"/>
      <c r="AP95" s="420"/>
      <c r="AQ95" s="420"/>
      <c r="AR95" s="420"/>
      <c r="AS95" s="420"/>
      <c r="AT95" s="420"/>
      <c r="AU95" s="420"/>
      <c r="AV95" s="420"/>
      <c r="AW95" s="420"/>
      <c r="AX95" s="420"/>
      <c r="AY95" s="420"/>
      <c r="AZ95" s="420"/>
      <c r="BA95" s="420"/>
      <c r="BB95" s="420"/>
      <c r="BC95" s="420"/>
      <c r="BD95" s="420"/>
      <c r="BE95" s="420"/>
      <c r="BF95" s="420"/>
      <c r="BG95" s="420"/>
      <c r="BH95" s="420"/>
      <c r="BI95" s="420"/>
      <c r="BJ95" s="420"/>
      <c r="BK95" s="420"/>
      <c r="BL95" s="420"/>
      <c r="BM95" s="420"/>
      <c r="BN95" s="420"/>
      <c r="BO95" s="420"/>
      <c r="BP95" s="420"/>
      <c r="BQ95" s="420"/>
      <c r="BR95" s="420"/>
      <c r="BS95" s="420"/>
      <c r="BT95" s="420"/>
      <c r="BU95" s="420"/>
      <c r="BV95" s="420"/>
      <c r="BW95" s="420"/>
      <c r="BX95" s="420"/>
      <c r="BY95" s="420"/>
      <c r="BZ95" s="420"/>
      <c r="CA95" s="420"/>
      <c r="CB95" s="420"/>
      <c r="CC95" s="420"/>
      <c r="CD95" s="420"/>
      <c r="CE95" s="420"/>
      <c r="CF95" s="420"/>
      <c r="CG95" s="420"/>
      <c r="CH95" s="420"/>
      <c r="CI95" s="420"/>
      <c r="CJ95" s="420"/>
      <c r="CK95" s="420"/>
      <c r="CL95" s="420"/>
      <c r="CM95" s="420"/>
      <c r="CN95" s="420"/>
      <c r="CO95" s="420"/>
      <c r="CP95" s="420"/>
      <c r="CQ95" s="420"/>
      <c r="CR95" s="420"/>
      <c r="CS95" s="420"/>
      <c r="CT95" s="420"/>
      <c r="CU95" s="420"/>
      <c r="CV95" s="420"/>
      <c r="CW95" s="420"/>
      <c r="CX95" s="420"/>
      <c r="CY95" s="420"/>
      <c r="CZ95" s="420"/>
      <c r="DA95" s="420"/>
      <c r="DB95" s="420"/>
      <c r="DC95" s="420"/>
      <c r="DD95" s="420"/>
      <c r="DE95" s="420"/>
      <c r="DF95" s="420"/>
      <c r="DG95" s="420"/>
      <c r="DH95" s="420"/>
      <c r="DI95" s="420"/>
      <c r="DJ95" s="420"/>
      <c r="DK95" s="420"/>
      <c r="DL95" s="420"/>
      <c r="DM95" s="420"/>
      <c r="DN95" s="420"/>
      <c r="DO95" s="420"/>
      <c r="DP95" s="420"/>
      <c r="DQ95" s="420"/>
      <c r="DR95" s="420"/>
      <c r="DS95" s="420"/>
      <c r="DT95" s="420"/>
      <c r="DU95" s="420"/>
      <c r="DV95" s="420"/>
      <c r="DW95" s="420"/>
      <c r="DX95" s="420"/>
      <c r="DY95" s="420"/>
      <c r="DZ95" s="420"/>
      <c r="EA95" s="420"/>
      <c r="EB95" s="420"/>
      <c r="EC95" s="420"/>
      <c r="ED95" s="420"/>
      <c r="EE95" s="420"/>
      <c r="EF95" s="420"/>
      <c r="EG95" s="420"/>
      <c r="EH95" s="420"/>
      <c r="EI95" s="420"/>
      <c r="EJ95" s="420"/>
      <c r="EK95" s="420"/>
      <c r="EL95" s="420"/>
      <c r="EM95" s="420"/>
      <c r="EN95" s="420"/>
      <c r="EO95" s="420"/>
      <c r="EP95" s="420"/>
      <c r="EQ95" s="420"/>
      <c r="ER95" s="420"/>
      <c r="ES95" s="420"/>
      <c r="ET95" s="420"/>
      <c r="EU95" s="420"/>
      <c r="EV95" s="420"/>
      <c r="EW95" s="420"/>
      <c r="EX95" s="420"/>
      <c r="EY95" s="420"/>
      <c r="EZ95" s="420"/>
      <c r="FA95" s="420"/>
      <c r="FB95" s="420"/>
      <c r="FC95" s="420"/>
      <c r="FD95" s="420"/>
      <c r="FE95" s="420"/>
      <c r="FF95" s="420"/>
      <c r="FG95" s="420"/>
      <c r="FH95" s="420"/>
      <c r="FI95" s="420"/>
      <c r="FJ95" s="420"/>
      <c r="FK95" s="420"/>
      <c r="FL95" s="420"/>
      <c r="FM95" s="420"/>
      <c r="FN95" s="420"/>
      <c r="FO95" s="420"/>
      <c r="FP95" s="420"/>
      <c r="FQ95" s="420"/>
      <c r="FR95" s="420"/>
      <c r="FS95" s="420"/>
      <c r="FT95" s="420"/>
      <c r="FU95" s="420"/>
      <c r="FV95" s="420"/>
      <c r="FW95" s="420"/>
      <c r="FX95" s="420"/>
      <c r="FY95" s="420"/>
      <c r="FZ95" s="420"/>
      <c r="GA95" s="420"/>
      <c r="GB95" s="420"/>
      <c r="GC95" s="420"/>
      <c r="GD95" s="420"/>
      <c r="GE95" s="420"/>
      <c r="GF95" s="420"/>
      <c r="GG95" s="420"/>
      <c r="GH95" s="420"/>
      <c r="GI95" s="420"/>
      <c r="GJ95" s="420"/>
      <c r="GK95" s="420"/>
      <c r="GL95" s="420"/>
      <c r="GM95" s="420"/>
      <c r="GN95" s="420"/>
      <c r="GO95" s="420"/>
      <c r="GP95" s="420"/>
      <c r="GQ95" s="420"/>
      <c r="GR95" s="420"/>
      <c r="GS95" s="420"/>
      <c r="GT95" s="420"/>
      <c r="GU95" s="420"/>
      <c r="GV95" s="420"/>
      <c r="GW95" s="420"/>
      <c r="GX95" s="420"/>
      <c r="GY95" s="420"/>
      <c r="GZ95" s="420"/>
      <c r="HA95" s="420"/>
      <c r="HB95" s="420"/>
      <c r="HC95" s="420"/>
      <c r="HD95" s="420"/>
      <c r="HE95" s="420"/>
      <c r="HF95" s="420"/>
      <c r="HG95" s="420"/>
      <c r="HH95" s="420"/>
      <c r="HI95" s="420"/>
      <c r="HJ95" s="420"/>
      <c r="HK95" s="420"/>
      <c r="HL95" s="420"/>
      <c r="HM95" s="420"/>
      <c r="HN95" s="420"/>
      <c r="HO95" s="420"/>
      <c r="HP95" s="420"/>
      <c r="HQ95" s="420"/>
      <c r="HR95" s="420"/>
      <c r="HS95" s="420"/>
      <c r="HT95" s="420"/>
      <c r="HU95" s="420"/>
      <c r="HV95" s="420"/>
      <c r="HW95" s="420"/>
      <c r="HX95" s="420"/>
      <c r="HY95" s="420"/>
      <c r="HZ95" s="420"/>
      <c r="IA95" s="420"/>
      <c r="IB95" s="420"/>
      <c r="IC95" s="420"/>
      <c r="ID95" s="420"/>
      <c r="IE95" s="420"/>
      <c r="IF95" s="420"/>
      <c r="IG95" s="420"/>
      <c r="IH95" s="420"/>
      <c r="II95" s="420"/>
      <c r="IJ95" s="420"/>
      <c r="IK95" s="420"/>
      <c r="IL95" s="420"/>
      <c r="IM95" s="420"/>
      <c r="IN95" s="420"/>
      <c r="IO95" s="420"/>
      <c r="IP95" s="420"/>
      <c r="IQ95" s="420"/>
      <c r="IR95" s="420"/>
      <c r="IS95" s="420"/>
      <c r="IT95" s="420"/>
      <c r="IU95" s="420"/>
      <c r="IV95" s="420"/>
      <c r="IW95" s="420"/>
      <c r="IX95" s="420"/>
      <c r="IY95" s="420"/>
      <c r="IZ95" s="420"/>
      <c r="JA95" s="420"/>
    </row>
    <row r="96" spans="1:261" s="768" customFormat="1" ht="18" customHeight="1" x14ac:dyDescent="0.35">
      <c r="A96" s="783">
        <v>86</v>
      </c>
      <c r="B96" s="776"/>
      <c r="C96" s="422"/>
      <c r="D96" s="583" t="s">
        <v>1151</v>
      </c>
      <c r="E96" s="432"/>
      <c r="F96" s="772"/>
      <c r="G96" s="433"/>
      <c r="H96" s="1009"/>
      <c r="I96" s="1005"/>
      <c r="J96" s="769"/>
      <c r="K96" s="769">
        <f>SUM(K94:K95)</f>
        <v>0</v>
      </c>
      <c r="L96" s="769">
        <f>SUM(L94:L95)</f>
        <v>24602</v>
      </c>
      <c r="M96" s="769">
        <f t="shared" ref="M96:N96" si="13">SUM(M94:M95)</f>
        <v>0</v>
      </c>
      <c r="N96" s="769">
        <f t="shared" si="13"/>
        <v>763513</v>
      </c>
      <c r="O96" s="777">
        <f>SUM(I96:N96)</f>
        <v>788115</v>
      </c>
      <c r="P96" s="773"/>
      <c r="Q96" s="420"/>
      <c r="R96" s="420"/>
      <c r="S96" s="420"/>
      <c r="T96" s="420"/>
      <c r="U96" s="420"/>
      <c r="V96" s="420"/>
      <c r="W96" s="420"/>
      <c r="X96" s="420"/>
      <c r="Y96" s="420"/>
      <c r="Z96" s="420"/>
      <c r="AA96" s="420"/>
      <c r="AB96" s="420"/>
      <c r="AC96" s="420"/>
      <c r="AD96" s="420"/>
      <c r="AE96" s="420"/>
      <c r="AF96" s="420"/>
      <c r="AG96" s="420"/>
      <c r="AH96" s="420"/>
      <c r="AI96" s="420"/>
      <c r="AJ96" s="420"/>
      <c r="AK96" s="420"/>
      <c r="AL96" s="420"/>
      <c r="AM96" s="420"/>
      <c r="AN96" s="420"/>
      <c r="AO96" s="420"/>
      <c r="AP96" s="420"/>
      <c r="AQ96" s="420"/>
      <c r="AR96" s="420"/>
      <c r="AS96" s="420"/>
      <c r="AT96" s="420"/>
      <c r="AU96" s="420"/>
      <c r="AV96" s="420"/>
      <c r="AW96" s="420"/>
      <c r="AX96" s="420"/>
      <c r="AY96" s="420"/>
      <c r="AZ96" s="420"/>
      <c r="BA96" s="420"/>
      <c r="BB96" s="420"/>
      <c r="BC96" s="420"/>
      <c r="BD96" s="420"/>
      <c r="BE96" s="420"/>
      <c r="BF96" s="420"/>
      <c r="BG96" s="420"/>
      <c r="BH96" s="420"/>
      <c r="BI96" s="420"/>
      <c r="BJ96" s="420"/>
      <c r="BK96" s="420"/>
      <c r="BL96" s="420"/>
      <c r="BM96" s="420"/>
      <c r="BN96" s="420"/>
      <c r="BO96" s="420"/>
      <c r="BP96" s="420"/>
      <c r="BQ96" s="420"/>
      <c r="BR96" s="420"/>
      <c r="BS96" s="420"/>
      <c r="BT96" s="420"/>
      <c r="BU96" s="420"/>
      <c r="BV96" s="420"/>
      <c r="BW96" s="420"/>
      <c r="BX96" s="420"/>
      <c r="BY96" s="420"/>
      <c r="BZ96" s="420"/>
      <c r="CA96" s="420"/>
      <c r="CB96" s="420"/>
      <c r="CC96" s="420"/>
      <c r="CD96" s="420"/>
      <c r="CE96" s="420"/>
      <c r="CF96" s="420"/>
      <c r="CG96" s="420"/>
      <c r="CH96" s="420"/>
      <c r="CI96" s="420"/>
      <c r="CJ96" s="420"/>
      <c r="CK96" s="420"/>
      <c r="CL96" s="420"/>
      <c r="CM96" s="420"/>
      <c r="CN96" s="420"/>
      <c r="CO96" s="420"/>
      <c r="CP96" s="420"/>
      <c r="CQ96" s="420"/>
      <c r="CR96" s="420"/>
      <c r="CS96" s="420"/>
      <c r="CT96" s="420"/>
      <c r="CU96" s="420"/>
      <c r="CV96" s="420"/>
      <c r="CW96" s="420"/>
      <c r="CX96" s="420"/>
      <c r="CY96" s="420"/>
      <c r="CZ96" s="420"/>
      <c r="DA96" s="420"/>
      <c r="DB96" s="420"/>
      <c r="DC96" s="420"/>
      <c r="DD96" s="420"/>
      <c r="DE96" s="420"/>
      <c r="DF96" s="420"/>
      <c r="DG96" s="420"/>
      <c r="DH96" s="420"/>
      <c r="DI96" s="420"/>
      <c r="DJ96" s="420"/>
      <c r="DK96" s="420"/>
      <c r="DL96" s="420"/>
      <c r="DM96" s="420"/>
      <c r="DN96" s="420"/>
      <c r="DO96" s="420"/>
      <c r="DP96" s="420"/>
      <c r="DQ96" s="420"/>
      <c r="DR96" s="420"/>
      <c r="DS96" s="420"/>
      <c r="DT96" s="420"/>
      <c r="DU96" s="420"/>
      <c r="DV96" s="420"/>
      <c r="DW96" s="420"/>
      <c r="DX96" s="420"/>
      <c r="DY96" s="420"/>
      <c r="DZ96" s="420"/>
      <c r="EA96" s="420"/>
      <c r="EB96" s="420"/>
      <c r="EC96" s="420"/>
      <c r="ED96" s="420"/>
      <c r="EE96" s="420"/>
      <c r="EF96" s="420"/>
      <c r="EG96" s="420"/>
      <c r="EH96" s="420"/>
      <c r="EI96" s="420"/>
      <c r="EJ96" s="420"/>
      <c r="EK96" s="420"/>
      <c r="EL96" s="420"/>
      <c r="EM96" s="420"/>
      <c r="EN96" s="420"/>
      <c r="EO96" s="420"/>
      <c r="EP96" s="420"/>
      <c r="EQ96" s="420"/>
      <c r="ER96" s="420"/>
      <c r="ES96" s="420"/>
      <c r="ET96" s="420"/>
      <c r="EU96" s="420"/>
      <c r="EV96" s="420"/>
      <c r="EW96" s="420"/>
      <c r="EX96" s="420"/>
      <c r="EY96" s="420"/>
      <c r="EZ96" s="420"/>
      <c r="FA96" s="420"/>
      <c r="FB96" s="420"/>
      <c r="FC96" s="420"/>
      <c r="FD96" s="420"/>
      <c r="FE96" s="420"/>
      <c r="FF96" s="420"/>
      <c r="FG96" s="420"/>
      <c r="FH96" s="420"/>
      <c r="FI96" s="420"/>
      <c r="FJ96" s="420"/>
      <c r="FK96" s="420"/>
      <c r="FL96" s="420"/>
      <c r="FM96" s="420"/>
      <c r="FN96" s="420"/>
      <c r="FO96" s="420"/>
      <c r="FP96" s="420"/>
      <c r="FQ96" s="420"/>
      <c r="FR96" s="420"/>
      <c r="FS96" s="420"/>
      <c r="FT96" s="420"/>
      <c r="FU96" s="420"/>
      <c r="FV96" s="420"/>
      <c r="FW96" s="420"/>
      <c r="FX96" s="420"/>
      <c r="FY96" s="420"/>
      <c r="FZ96" s="420"/>
      <c r="GA96" s="420"/>
      <c r="GB96" s="420"/>
      <c r="GC96" s="420"/>
      <c r="GD96" s="420"/>
      <c r="GE96" s="420"/>
      <c r="GF96" s="420"/>
      <c r="GG96" s="420"/>
      <c r="GH96" s="420"/>
      <c r="GI96" s="420"/>
      <c r="GJ96" s="420"/>
      <c r="GK96" s="420"/>
      <c r="GL96" s="420"/>
      <c r="GM96" s="420"/>
      <c r="GN96" s="420"/>
      <c r="GO96" s="420"/>
      <c r="GP96" s="420"/>
      <c r="GQ96" s="420"/>
      <c r="GR96" s="420"/>
      <c r="GS96" s="420"/>
      <c r="GT96" s="420"/>
      <c r="GU96" s="420"/>
      <c r="GV96" s="420"/>
      <c r="GW96" s="420"/>
      <c r="GX96" s="420"/>
      <c r="GY96" s="420"/>
      <c r="GZ96" s="420"/>
      <c r="HA96" s="420"/>
      <c r="HB96" s="420"/>
      <c r="HC96" s="420"/>
      <c r="HD96" s="420"/>
      <c r="HE96" s="420"/>
      <c r="HF96" s="420"/>
      <c r="HG96" s="420"/>
      <c r="HH96" s="420"/>
      <c r="HI96" s="420"/>
      <c r="HJ96" s="420"/>
      <c r="HK96" s="420"/>
      <c r="HL96" s="420"/>
      <c r="HM96" s="420"/>
      <c r="HN96" s="420"/>
      <c r="HO96" s="420"/>
      <c r="HP96" s="420"/>
      <c r="HQ96" s="420"/>
      <c r="HR96" s="420"/>
      <c r="HS96" s="420"/>
      <c r="HT96" s="420"/>
      <c r="HU96" s="420"/>
      <c r="HV96" s="420"/>
      <c r="HW96" s="420"/>
      <c r="HX96" s="420"/>
      <c r="HY96" s="420"/>
      <c r="HZ96" s="420"/>
      <c r="IA96" s="420"/>
      <c r="IB96" s="420"/>
      <c r="IC96" s="420"/>
      <c r="ID96" s="420"/>
      <c r="IE96" s="420"/>
      <c r="IF96" s="420"/>
      <c r="IG96" s="420"/>
      <c r="IH96" s="420"/>
      <c r="II96" s="420"/>
      <c r="IJ96" s="420"/>
      <c r="IK96" s="420"/>
      <c r="IL96" s="420"/>
      <c r="IM96" s="420"/>
      <c r="IN96" s="420"/>
      <c r="IO96" s="420"/>
      <c r="IP96" s="420"/>
      <c r="IQ96" s="420"/>
      <c r="IR96" s="420"/>
      <c r="IS96" s="420"/>
      <c r="IT96" s="420"/>
      <c r="IU96" s="420"/>
      <c r="IV96" s="420"/>
      <c r="IW96" s="420"/>
      <c r="IX96" s="420"/>
      <c r="IY96" s="420"/>
      <c r="IZ96" s="420"/>
      <c r="JA96" s="420"/>
    </row>
    <row r="97" spans="1:261" s="768" customFormat="1" ht="22.5" customHeight="1" x14ac:dyDescent="0.35">
      <c r="A97" s="783">
        <v>87</v>
      </c>
      <c r="B97" s="776"/>
      <c r="C97" s="466">
        <v>18</v>
      </c>
      <c r="D97" s="423" t="s">
        <v>697</v>
      </c>
      <c r="E97" s="432"/>
      <c r="F97" s="772"/>
      <c r="G97" s="433"/>
      <c r="H97" s="1009" t="s">
        <v>24</v>
      </c>
      <c r="I97" s="1027"/>
      <c r="J97" s="1023"/>
      <c r="K97" s="1023"/>
      <c r="L97" s="1023"/>
      <c r="M97" s="1023"/>
      <c r="N97" s="1023"/>
      <c r="O97" s="992"/>
      <c r="P97" s="773"/>
      <c r="Q97" s="420"/>
      <c r="R97" s="420"/>
      <c r="S97" s="420"/>
      <c r="T97" s="420"/>
      <c r="U97" s="420"/>
      <c r="V97" s="420"/>
      <c r="W97" s="420"/>
      <c r="X97" s="420"/>
      <c r="Y97" s="420"/>
      <c r="Z97" s="420"/>
      <c r="AA97" s="420"/>
      <c r="AB97" s="420"/>
      <c r="AC97" s="420"/>
      <c r="AD97" s="420"/>
      <c r="AE97" s="420"/>
      <c r="AF97" s="420"/>
      <c r="AG97" s="420"/>
      <c r="AH97" s="420"/>
      <c r="AI97" s="420"/>
      <c r="AJ97" s="420"/>
      <c r="AK97" s="420"/>
      <c r="AL97" s="420"/>
      <c r="AM97" s="420"/>
      <c r="AN97" s="420"/>
      <c r="AO97" s="420"/>
      <c r="AP97" s="420"/>
      <c r="AQ97" s="420"/>
      <c r="AR97" s="420"/>
      <c r="AS97" s="420"/>
      <c r="AT97" s="420"/>
      <c r="AU97" s="420"/>
      <c r="AV97" s="420"/>
      <c r="AW97" s="420"/>
      <c r="AX97" s="420"/>
      <c r="AY97" s="420"/>
      <c r="AZ97" s="420"/>
      <c r="BA97" s="420"/>
      <c r="BB97" s="420"/>
      <c r="BC97" s="420"/>
      <c r="BD97" s="420"/>
      <c r="BE97" s="420"/>
      <c r="BF97" s="420"/>
      <c r="BG97" s="420"/>
      <c r="BH97" s="420"/>
      <c r="BI97" s="420"/>
      <c r="BJ97" s="420"/>
      <c r="BK97" s="420"/>
      <c r="BL97" s="420"/>
      <c r="BM97" s="420"/>
      <c r="BN97" s="420"/>
      <c r="BO97" s="420"/>
      <c r="BP97" s="420"/>
      <c r="BQ97" s="420"/>
      <c r="BR97" s="420"/>
      <c r="BS97" s="420"/>
      <c r="BT97" s="420"/>
      <c r="BU97" s="420"/>
      <c r="BV97" s="420"/>
      <c r="BW97" s="420"/>
      <c r="BX97" s="420"/>
      <c r="BY97" s="420"/>
      <c r="BZ97" s="420"/>
      <c r="CA97" s="420"/>
      <c r="CB97" s="420"/>
      <c r="CC97" s="420"/>
      <c r="CD97" s="420"/>
      <c r="CE97" s="420"/>
      <c r="CF97" s="420"/>
      <c r="CG97" s="420"/>
      <c r="CH97" s="420"/>
      <c r="CI97" s="420"/>
      <c r="CJ97" s="420"/>
      <c r="CK97" s="420"/>
      <c r="CL97" s="420"/>
      <c r="CM97" s="420"/>
      <c r="CN97" s="420"/>
      <c r="CO97" s="420"/>
      <c r="CP97" s="420"/>
      <c r="CQ97" s="420"/>
      <c r="CR97" s="420"/>
      <c r="CS97" s="420"/>
      <c r="CT97" s="420"/>
      <c r="CU97" s="420"/>
      <c r="CV97" s="420"/>
      <c r="CW97" s="420"/>
      <c r="CX97" s="420"/>
      <c r="CY97" s="420"/>
      <c r="CZ97" s="420"/>
      <c r="DA97" s="420"/>
      <c r="DB97" s="420"/>
      <c r="DC97" s="420"/>
      <c r="DD97" s="420"/>
      <c r="DE97" s="420"/>
      <c r="DF97" s="420"/>
      <c r="DG97" s="420"/>
      <c r="DH97" s="420"/>
      <c r="DI97" s="420"/>
      <c r="DJ97" s="420"/>
      <c r="DK97" s="420"/>
      <c r="DL97" s="420"/>
      <c r="DM97" s="420"/>
      <c r="DN97" s="420"/>
      <c r="DO97" s="420"/>
      <c r="DP97" s="420"/>
      <c r="DQ97" s="420"/>
      <c r="DR97" s="420"/>
      <c r="DS97" s="420"/>
      <c r="DT97" s="420"/>
      <c r="DU97" s="420"/>
      <c r="DV97" s="420"/>
      <c r="DW97" s="420"/>
      <c r="DX97" s="420"/>
      <c r="DY97" s="420"/>
      <c r="DZ97" s="420"/>
      <c r="EA97" s="420"/>
      <c r="EB97" s="420"/>
      <c r="EC97" s="420"/>
      <c r="ED97" s="420"/>
      <c r="EE97" s="420"/>
      <c r="EF97" s="420"/>
      <c r="EG97" s="420"/>
      <c r="EH97" s="420"/>
      <c r="EI97" s="420"/>
      <c r="EJ97" s="420"/>
      <c r="EK97" s="420"/>
      <c r="EL97" s="420"/>
      <c r="EM97" s="420"/>
      <c r="EN97" s="420"/>
      <c r="EO97" s="420"/>
      <c r="EP97" s="420"/>
      <c r="EQ97" s="420"/>
      <c r="ER97" s="420"/>
      <c r="ES97" s="420"/>
      <c r="ET97" s="420"/>
      <c r="EU97" s="420"/>
      <c r="EV97" s="420"/>
      <c r="EW97" s="420"/>
      <c r="EX97" s="420"/>
      <c r="EY97" s="420"/>
      <c r="EZ97" s="420"/>
      <c r="FA97" s="420"/>
      <c r="FB97" s="420"/>
      <c r="FC97" s="420"/>
      <c r="FD97" s="420"/>
      <c r="FE97" s="420"/>
      <c r="FF97" s="420"/>
      <c r="FG97" s="420"/>
      <c r="FH97" s="420"/>
      <c r="FI97" s="420"/>
      <c r="FJ97" s="420"/>
      <c r="FK97" s="420"/>
      <c r="FL97" s="420"/>
      <c r="FM97" s="420"/>
      <c r="FN97" s="420"/>
      <c r="FO97" s="420"/>
      <c r="FP97" s="420"/>
      <c r="FQ97" s="420"/>
      <c r="FR97" s="420"/>
      <c r="FS97" s="420"/>
      <c r="FT97" s="420"/>
      <c r="FU97" s="420"/>
      <c r="FV97" s="420"/>
      <c r="FW97" s="420"/>
      <c r="FX97" s="420"/>
      <c r="FY97" s="420"/>
      <c r="FZ97" s="420"/>
      <c r="GA97" s="420"/>
      <c r="GB97" s="420"/>
      <c r="GC97" s="420"/>
      <c r="GD97" s="420"/>
      <c r="GE97" s="420"/>
      <c r="GF97" s="420"/>
      <c r="GG97" s="420"/>
      <c r="GH97" s="420"/>
      <c r="GI97" s="420"/>
      <c r="GJ97" s="420"/>
      <c r="GK97" s="420"/>
      <c r="GL97" s="420"/>
      <c r="GM97" s="420"/>
      <c r="GN97" s="420"/>
      <c r="GO97" s="420"/>
      <c r="GP97" s="420"/>
      <c r="GQ97" s="420"/>
      <c r="GR97" s="420"/>
      <c r="GS97" s="420"/>
      <c r="GT97" s="420"/>
      <c r="GU97" s="420"/>
      <c r="GV97" s="420"/>
      <c r="GW97" s="420"/>
      <c r="GX97" s="420"/>
      <c r="GY97" s="420"/>
      <c r="GZ97" s="420"/>
      <c r="HA97" s="420"/>
      <c r="HB97" s="420"/>
      <c r="HC97" s="420"/>
      <c r="HD97" s="420"/>
      <c r="HE97" s="420"/>
      <c r="HF97" s="420"/>
      <c r="HG97" s="420"/>
      <c r="HH97" s="420"/>
      <c r="HI97" s="420"/>
      <c r="HJ97" s="420"/>
      <c r="HK97" s="420"/>
      <c r="HL97" s="420"/>
      <c r="HM97" s="420"/>
      <c r="HN97" s="420"/>
      <c r="HO97" s="420"/>
      <c r="HP97" s="420"/>
      <c r="HQ97" s="420"/>
      <c r="HR97" s="420"/>
      <c r="HS97" s="420"/>
      <c r="HT97" s="420"/>
      <c r="HU97" s="420"/>
      <c r="HV97" s="420"/>
      <c r="HW97" s="420"/>
      <c r="HX97" s="420"/>
      <c r="HY97" s="420"/>
      <c r="HZ97" s="420"/>
      <c r="IA97" s="420"/>
      <c r="IB97" s="420"/>
      <c r="IC97" s="420"/>
      <c r="ID97" s="420"/>
      <c r="IE97" s="420"/>
      <c r="IF97" s="420"/>
      <c r="IG97" s="420"/>
      <c r="IH97" s="420"/>
      <c r="II97" s="420"/>
      <c r="IJ97" s="420"/>
      <c r="IK97" s="420"/>
      <c r="IL97" s="420"/>
      <c r="IM97" s="420"/>
      <c r="IN97" s="420"/>
      <c r="IO97" s="420"/>
      <c r="IP97" s="420"/>
      <c r="IQ97" s="420"/>
      <c r="IR97" s="420"/>
      <c r="IS97" s="420"/>
      <c r="IT97" s="420"/>
      <c r="IU97" s="420"/>
      <c r="IV97" s="420"/>
      <c r="IW97" s="420"/>
      <c r="IX97" s="420"/>
      <c r="IY97" s="420"/>
      <c r="IZ97" s="420"/>
      <c r="JA97" s="420"/>
    </row>
    <row r="98" spans="1:261" s="768" customFormat="1" ht="18" customHeight="1" x14ac:dyDescent="0.35">
      <c r="A98" s="783">
        <v>88</v>
      </c>
      <c r="B98" s="776"/>
      <c r="C98" s="422"/>
      <c r="D98" s="1002" t="s">
        <v>311</v>
      </c>
      <c r="E98" s="432">
        <f>F98+G98+O101+P101</f>
        <v>390564</v>
      </c>
      <c r="F98" s="772"/>
      <c r="G98" s="433"/>
      <c r="H98" s="1009"/>
      <c r="I98" s="1027"/>
      <c r="J98" s="1023"/>
      <c r="K98" s="1023"/>
      <c r="L98" s="1023"/>
      <c r="M98" s="1023">
        <v>390564</v>
      </c>
      <c r="N98" s="1023"/>
      <c r="O98" s="992">
        <f>SUM(I98:N98)</f>
        <v>390564</v>
      </c>
      <c r="P98" s="773"/>
      <c r="Q98" s="420"/>
      <c r="R98" s="420"/>
      <c r="S98" s="420"/>
      <c r="T98" s="420"/>
      <c r="U98" s="420"/>
      <c r="V98" s="420"/>
      <c r="W98" s="420"/>
      <c r="X98" s="420"/>
      <c r="Y98" s="420"/>
      <c r="Z98" s="420"/>
      <c r="AA98" s="420"/>
      <c r="AB98" s="420"/>
      <c r="AC98" s="420"/>
      <c r="AD98" s="420"/>
      <c r="AE98" s="420"/>
      <c r="AF98" s="420"/>
      <c r="AG98" s="420"/>
      <c r="AH98" s="420"/>
      <c r="AI98" s="420"/>
      <c r="AJ98" s="420"/>
      <c r="AK98" s="420"/>
      <c r="AL98" s="420"/>
      <c r="AM98" s="420"/>
      <c r="AN98" s="420"/>
      <c r="AO98" s="420"/>
      <c r="AP98" s="420"/>
      <c r="AQ98" s="420"/>
      <c r="AR98" s="420"/>
      <c r="AS98" s="420"/>
      <c r="AT98" s="420"/>
      <c r="AU98" s="420"/>
      <c r="AV98" s="420"/>
      <c r="AW98" s="420"/>
      <c r="AX98" s="420"/>
      <c r="AY98" s="420"/>
      <c r="AZ98" s="420"/>
      <c r="BA98" s="420"/>
      <c r="BB98" s="420"/>
      <c r="BC98" s="420"/>
      <c r="BD98" s="420"/>
      <c r="BE98" s="420"/>
      <c r="BF98" s="420"/>
      <c r="BG98" s="420"/>
      <c r="BH98" s="420"/>
      <c r="BI98" s="420"/>
      <c r="BJ98" s="420"/>
      <c r="BK98" s="420"/>
      <c r="BL98" s="420"/>
      <c r="BM98" s="420"/>
      <c r="BN98" s="420"/>
      <c r="BO98" s="420"/>
      <c r="BP98" s="420"/>
      <c r="BQ98" s="420"/>
      <c r="BR98" s="420"/>
      <c r="BS98" s="420"/>
      <c r="BT98" s="420"/>
      <c r="BU98" s="420"/>
      <c r="BV98" s="420"/>
      <c r="BW98" s="420"/>
      <c r="BX98" s="420"/>
      <c r="BY98" s="420"/>
      <c r="BZ98" s="420"/>
      <c r="CA98" s="420"/>
      <c r="CB98" s="420"/>
      <c r="CC98" s="420"/>
      <c r="CD98" s="420"/>
      <c r="CE98" s="420"/>
      <c r="CF98" s="420"/>
      <c r="CG98" s="420"/>
      <c r="CH98" s="420"/>
      <c r="CI98" s="420"/>
      <c r="CJ98" s="420"/>
      <c r="CK98" s="420"/>
      <c r="CL98" s="420"/>
      <c r="CM98" s="420"/>
      <c r="CN98" s="420"/>
      <c r="CO98" s="420"/>
      <c r="CP98" s="420"/>
      <c r="CQ98" s="420"/>
      <c r="CR98" s="420"/>
      <c r="CS98" s="420"/>
      <c r="CT98" s="420"/>
      <c r="CU98" s="420"/>
      <c r="CV98" s="420"/>
      <c r="CW98" s="420"/>
      <c r="CX98" s="420"/>
      <c r="CY98" s="420"/>
      <c r="CZ98" s="420"/>
      <c r="DA98" s="420"/>
      <c r="DB98" s="420"/>
      <c r="DC98" s="420"/>
      <c r="DD98" s="420"/>
      <c r="DE98" s="420"/>
      <c r="DF98" s="420"/>
      <c r="DG98" s="420"/>
      <c r="DH98" s="420"/>
      <c r="DI98" s="420"/>
      <c r="DJ98" s="420"/>
      <c r="DK98" s="420"/>
      <c r="DL98" s="420"/>
      <c r="DM98" s="420"/>
      <c r="DN98" s="420"/>
      <c r="DO98" s="420"/>
      <c r="DP98" s="420"/>
      <c r="DQ98" s="420"/>
      <c r="DR98" s="420"/>
      <c r="DS98" s="420"/>
      <c r="DT98" s="420"/>
      <c r="DU98" s="420"/>
      <c r="DV98" s="420"/>
      <c r="DW98" s="420"/>
      <c r="DX98" s="420"/>
      <c r="DY98" s="420"/>
      <c r="DZ98" s="420"/>
      <c r="EA98" s="420"/>
      <c r="EB98" s="420"/>
      <c r="EC98" s="420"/>
      <c r="ED98" s="420"/>
      <c r="EE98" s="420"/>
      <c r="EF98" s="420"/>
      <c r="EG98" s="420"/>
      <c r="EH98" s="420"/>
      <c r="EI98" s="420"/>
      <c r="EJ98" s="420"/>
      <c r="EK98" s="420"/>
      <c r="EL98" s="420"/>
      <c r="EM98" s="420"/>
      <c r="EN98" s="420"/>
      <c r="EO98" s="420"/>
      <c r="EP98" s="420"/>
      <c r="EQ98" s="420"/>
      <c r="ER98" s="420"/>
      <c r="ES98" s="420"/>
      <c r="ET98" s="420"/>
      <c r="EU98" s="420"/>
      <c r="EV98" s="420"/>
      <c r="EW98" s="420"/>
      <c r="EX98" s="420"/>
      <c r="EY98" s="420"/>
      <c r="EZ98" s="420"/>
      <c r="FA98" s="420"/>
      <c r="FB98" s="420"/>
      <c r="FC98" s="420"/>
      <c r="FD98" s="420"/>
      <c r="FE98" s="420"/>
      <c r="FF98" s="420"/>
      <c r="FG98" s="420"/>
      <c r="FH98" s="420"/>
      <c r="FI98" s="420"/>
      <c r="FJ98" s="420"/>
      <c r="FK98" s="420"/>
      <c r="FL98" s="420"/>
      <c r="FM98" s="420"/>
      <c r="FN98" s="420"/>
      <c r="FO98" s="420"/>
      <c r="FP98" s="420"/>
      <c r="FQ98" s="420"/>
      <c r="FR98" s="420"/>
      <c r="FS98" s="420"/>
      <c r="FT98" s="420"/>
      <c r="FU98" s="420"/>
      <c r="FV98" s="420"/>
      <c r="FW98" s="420"/>
      <c r="FX98" s="420"/>
      <c r="FY98" s="420"/>
      <c r="FZ98" s="420"/>
      <c r="GA98" s="420"/>
      <c r="GB98" s="420"/>
      <c r="GC98" s="420"/>
      <c r="GD98" s="420"/>
      <c r="GE98" s="420"/>
      <c r="GF98" s="420"/>
      <c r="GG98" s="420"/>
      <c r="GH98" s="420"/>
      <c r="GI98" s="420"/>
      <c r="GJ98" s="420"/>
      <c r="GK98" s="420"/>
      <c r="GL98" s="420"/>
      <c r="GM98" s="420"/>
      <c r="GN98" s="420"/>
      <c r="GO98" s="420"/>
      <c r="GP98" s="420"/>
      <c r="GQ98" s="420"/>
      <c r="GR98" s="420"/>
      <c r="GS98" s="420"/>
      <c r="GT98" s="420"/>
      <c r="GU98" s="420"/>
      <c r="GV98" s="420"/>
      <c r="GW98" s="420"/>
      <c r="GX98" s="420"/>
      <c r="GY98" s="420"/>
      <c r="GZ98" s="420"/>
      <c r="HA98" s="420"/>
      <c r="HB98" s="420"/>
      <c r="HC98" s="420"/>
      <c r="HD98" s="420"/>
      <c r="HE98" s="420"/>
      <c r="HF98" s="420"/>
      <c r="HG98" s="420"/>
      <c r="HH98" s="420"/>
      <c r="HI98" s="420"/>
      <c r="HJ98" s="420"/>
      <c r="HK98" s="420"/>
      <c r="HL98" s="420"/>
      <c r="HM98" s="420"/>
      <c r="HN98" s="420"/>
      <c r="HO98" s="420"/>
      <c r="HP98" s="420"/>
      <c r="HQ98" s="420"/>
      <c r="HR98" s="420"/>
      <c r="HS98" s="420"/>
      <c r="HT98" s="420"/>
      <c r="HU98" s="420"/>
      <c r="HV98" s="420"/>
      <c r="HW98" s="420"/>
      <c r="HX98" s="420"/>
      <c r="HY98" s="420"/>
      <c r="HZ98" s="420"/>
      <c r="IA98" s="420"/>
      <c r="IB98" s="420"/>
      <c r="IC98" s="420"/>
      <c r="ID98" s="420"/>
      <c r="IE98" s="420"/>
      <c r="IF98" s="420"/>
      <c r="IG98" s="420"/>
      <c r="IH98" s="420"/>
      <c r="II98" s="420"/>
      <c r="IJ98" s="420"/>
      <c r="IK98" s="420"/>
      <c r="IL98" s="420"/>
      <c r="IM98" s="420"/>
      <c r="IN98" s="420"/>
      <c r="IO98" s="420"/>
      <c r="IP98" s="420"/>
      <c r="IQ98" s="420"/>
      <c r="IR98" s="420"/>
      <c r="IS98" s="420"/>
      <c r="IT98" s="420"/>
      <c r="IU98" s="420"/>
      <c r="IV98" s="420"/>
      <c r="IW98" s="420"/>
      <c r="IX98" s="420"/>
      <c r="IY98" s="420"/>
      <c r="IZ98" s="420"/>
      <c r="JA98" s="420"/>
    </row>
    <row r="99" spans="1:261" s="768" customFormat="1" ht="18" customHeight="1" x14ac:dyDescent="0.35">
      <c r="A99" s="783">
        <v>89</v>
      </c>
      <c r="B99" s="776"/>
      <c r="C99" s="422"/>
      <c r="D99" s="583" t="s">
        <v>1072</v>
      </c>
      <c r="E99" s="432"/>
      <c r="F99" s="772"/>
      <c r="G99" s="433"/>
      <c r="H99" s="1009"/>
      <c r="I99" s="1027"/>
      <c r="J99" s="1023"/>
      <c r="K99" s="1023"/>
      <c r="L99" s="1023"/>
      <c r="M99" s="769">
        <v>390564</v>
      </c>
      <c r="N99" s="1023"/>
      <c r="O99" s="777">
        <f>SUM(I99:N99)</f>
        <v>390564</v>
      </c>
      <c r="P99" s="773"/>
      <c r="Q99" s="420"/>
      <c r="R99" s="420"/>
      <c r="S99" s="420"/>
      <c r="T99" s="420"/>
      <c r="U99" s="420"/>
      <c r="V99" s="420"/>
      <c r="W99" s="420"/>
      <c r="X99" s="420"/>
      <c r="Y99" s="420"/>
      <c r="Z99" s="420"/>
      <c r="AA99" s="420"/>
      <c r="AB99" s="420"/>
      <c r="AC99" s="420"/>
      <c r="AD99" s="420"/>
      <c r="AE99" s="420"/>
      <c r="AF99" s="420"/>
      <c r="AG99" s="420"/>
      <c r="AH99" s="420"/>
      <c r="AI99" s="420"/>
      <c r="AJ99" s="420"/>
      <c r="AK99" s="420"/>
      <c r="AL99" s="420"/>
      <c r="AM99" s="420"/>
      <c r="AN99" s="420"/>
      <c r="AO99" s="420"/>
      <c r="AP99" s="420"/>
      <c r="AQ99" s="420"/>
      <c r="AR99" s="420"/>
      <c r="AS99" s="420"/>
      <c r="AT99" s="420"/>
      <c r="AU99" s="420"/>
      <c r="AV99" s="420"/>
      <c r="AW99" s="420"/>
      <c r="AX99" s="420"/>
      <c r="AY99" s="420"/>
      <c r="AZ99" s="420"/>
      <c r="BA99" s="420"/>
      <c r="BB99" s="420"/>
      <c r="BC99" s="420"/>
      <c r="BD99" s="420"/>
      <c r="BE99" s="420"/>
      <c r="BF99" s="420"/>
      <c r="BG99" s="420"/>
      <c r="BH99" s="420"/>
      <c r="BI99" s="420"/>
      <c r="BJ99" s="420"/>
      <c r="BK99" s="420"/>
      <c r="BL99" s="420"/>
      <c r="BM99" s="420"/>
      <c r="BN99" s="420"/>
      <c r="BO99" s="420"/>
      <c r="BP99" s="420"/>
      <c r="BQ99" s="420"/>
      <c r="BR99" s="420"/>
      <c r="BS99" s="420"/>
      <c r="BT99" s="420"/>
      <c r="BU99" s="420"/>
      <c r="BV99" s="420"/>
      <c r="BW99" s="420"/>
      <c r="BX99" s="420"/>
      <c r="BY99" s="420"/>
      <c r="BZ99" s="420"/>
      <c r="CA99" s="420"/>
      <c r="CB99" s="420"/>
      <c r="CC99" s="420"/>
      <c r="CD99" s="420"/>
      <c r="CE99" s="420"/>
      <c r="CF99" s="420"/>
      <c r="CG99" s="420"/>
      <c r="CH99" s="420"/>
      <c r="CI99" s="420"/>
      <c r="CJ99" s="420"/>
      <c r="CK99" s="420"/>
      <c r="CL99" s="420"/>
      <c r="CM99" s="420"/>
      <c r="CN99" s="420"/>
      <c r="CO99" s="420"/>
      <c r="CP99" s="420"/>
      <c r="CQ99" s="420"/>
      <c r="CR99" s="420"/>
      <c r="CS99" s="420"/>
      <c r="CT99" s="420"/>
      <c r="CU99" s="420"/>
      <c r="CV99" s="420"/>
      <c r="CW99" s="420"/>
      <c r="CX99" s="420"/>
      <c r="CY99" s="420"/>
      <c r="CZ99" s="420"/>
      <c r="DA99" s="420"/>
      <c r="DB99" s="420"/>
      <c r="DC99" s="420"/>
      <c r="DD99" s="420"/>
      <c r="DE99" s="420"/>
      <c r="DF99" s="420"/>
      <c r="DG99" s="420"/>
      <c r="DH99" s="420"/>
      <c r="DI99" s="420"/>
      <c r="DJ99" s="420"/>
      <c r="DK99" s="420"/>
      <c r="DL99" s="420"/>
      <c r="DM99" s="420"/>
      <c r="DN99" s="420"/>
      <c r="DO99" s="420"/>
      <c r="DP99" s="420"/>
      <c r="DQ99" s="420"/>
      <c r="DR99" s="420"/>
      <c r="DS99" s="420"/>
      <c r="DT99" s="420"/>
      <c r="DU99" s="420"/>
      <c r="DV99" s="420"/>
      <c r="DW99" s="420"/>
      <c r="DX99" s="420"/>
      <c r="DY99" s="420"/>
      <c r="DZ99" s="420"/>
      <c r="EA99" s="420"/>
      <c r="EB99" s="420"/>
      <c r="EC99" s="420"/>
      <c r="ED99" s="420"/>
      <c r="EE99" s="420"/>
      <c r="EF99" s="420"/>
      <c r="EG99" s="420"/>
      <c r="EH99" s="420"/>
      <c r="EI99" s="420"/>
      <c r="EJ99" s="420"/>
      <c r="EK99" s="420"/>
      <c r="EL99" s="420"/>
      <c r="EM99" s="420"/>
      <c r="EN99" s="420"/>
      <c r="EO99" s="420"/>
      <c r="EP99" s="420"/>
      <c r="EQ99" s="420"/>
      <c r="ER99" s="420"/>
      <c r="ES99" s="420"/>
      <c r="ET99" s="420"/>
      <c r="EU99" s="420"/>
      <c r="EV99" s="420"/>
      <c r="EW99" s="420"/>
      <c r="EX99" s="420"/>
      <c r="EY99" s="420"/>
      <c r="EZ99" s="420"/>
      <c r="FA99" s="420"/>
      <c r="FB99" s="420"/>
      <c r="FC99" s="420"/>
      <c r="FD99" s="420"/>
      <c r="FE99" s="420"/>
      <c r="FF99" s="420"/>
      <c r="FG99" s="420"/>
      <c r="FH99" s="420"/>
      <c r="FI99" s="420"/>
      <c r="FJ99" s="420"/>
      <c r="FK99" s="420"/>
      <c r="FL99" s="420"/>
      <c r="FM99" s="420"/>
      <c r="FN99" s="420"/>
      <c r="FO99" s="420"/>
      <c r="FP99" s="420"/>
      <c r="FQ99" s="420"/>
      <c r="FR99" s="420"/>
      <c r="FS99" s="420"/>
      <c r="FT99" s="420"/>
      <c r="FU99" s="420"/>
      <c r="FV99" s="420"/>
      <c r="FW99" s="420"/>
      <c r="FX99" s="420"/>
      <c r="FY99" s="420"/>
      <c r="FZ99" s="420"/>
      <c r="GA99" s="420"/>
      <c r="GB99" s="420"/>
      <c r="GC99" s="420"/>
      <c r="GD99" s="420"/>
      <c r="GE99" s="420"/>
      <c r="GF99" s="420"/>
      <c r="GG99" s="420"/>
      <c r="GH99" s="420"/>
      <c r="GI99" s="420"/>
      <c r="GJ99" s="420"/>
      <c r="GK99" s="420"/>
      <c r="GL99" s="420"/>
      <c r="GM99" s="420"/>
      <c r="GN99" s="420"/>
      <c r="GO99" s="420"/>
      <c r="GP99" s="420"/>
      <c r="GQ99" s="420"/>
      <c r="GR99" s="420"/>
      <c r="GS99" s="420"/>
      <c r="GT99" s="420"/>
      <c r="GU99" s="420"/>
      <c r="GV99" s="420"/>
      <c r="GW99" s="420"/>
      <c r="GX99" s="420"/>
      <c r="GY99" s="420"/>
      <c r="GZ99" s="420"/>
      <c r="HA99" s="420"/>
      <c r="HB99" s="420"/>
      <c r="HC99" s="420"/>
      <c r="HD99" s="420"/>
      <c r="HE99" s="420"/>
      <c r="HF99" s="420"/>
      <c r="HG99" s="420"/>
      <c r="HH99" s="420"/>
      <c r="HI99" s="420"/>
      <c r="HJ99" s="420"/>
      <c r="HK99" s="420"/>
      <c r="HL99" s="420"/>
      <c r="HM99" s="420"/>
      <c r="HN99" s="420"/>
      <c r="HO99" s="420"/>
      <c r="HP99" s="420"/>
      <c r="HQ99" s="420"/>
      <c r="HR99" s="420"/>
      <c r="HS99" s="420"/>
      <c r="HT99" s="420"/>
      <c r="HU99" s="420"/>
      <c r="HV99" s="420"/>
      <c r="HW99" s="420"/>
      <c r="HX99" s="420"/>
      <c r="HY99" s="420"/>
      <c r="HZ99" s="420"/>
      <c r="IA99" s="420"/>
      <c r="IB99" s="420"/>
      <c r="IC99" s="420"/>
      <c r="ID99" s="420"/>
      <c r="IE99" s="420"/>
      <c r="IF99" s="420"/>
      <c r="IG99" s="420"/>
      <c r="IH99" s="420"/>
      <c r="II99" s="420"/>
      <c r="IJ99" s="420"/>
      <c r="IK99" s="420"/>
      <c r="IL99" s="420"/>
      <c r="IM99" s="420"/>
      <c r="IN99" s="420"/>
      <c r="IO99" s="420"/>
      <c r="IP99" s="420"/>
      <c r="IQ99" s="420"/>
      <c r="IR99" s="420"/>
      <c r="IS99" s="420"/>
      <c r="IT99" s="420"/>
      <c r="IU99" s="420"/>
      <c r="IV99" s="420"/>
      <c r="IW99" s="420"/>
      <c r="IX99" s="420"/>
      <c r="IY99" s="420"/>
      <c r="IZ99" s="420"/>
      <c r="JA99" s="420"/>
    </row>
    <row r="100" spans="1:261" s="768" customFormat="1" ht="18" customHeight="1" x14ac:dyDescent="0.35">
      <c r="A100" s="783">
        <v>90</v>
      </c>
      <c r="B100" s="776"/>
      <c r="C100" s="422"/>
      <c r="D100" s="1338" t="s">
        <v>963</v>
      </c>
      <c r="E100" s="432"/>
      <c r="F100" s="772"/>
      <c r="G100" s="433"/>
      <c r="H100" s="1009"/>
      <c r="I100" s="1005"/>
      <c r="J100" s="769"/>
      <c r="K100" s="769"/>
      <c r="L100" s="769"/>
      <c r="M100" s="769"/>
      <c r="N100" s="769"/>
      <c r="O100" s="1623">
        <f>SUM(I100:N100)</f>
        <v>0</v>
      </c>
      <c r="P100" s="773"/>
      <c r="Q100" s="420"/>
      <c r="R100" s="420"/>
      <c r="S100" s="420"/>
      <c r="T100" s="420"/>
      <c r="U100" s="420"/>
      <c r="V100" s="420"/>
      <c r="W100" s="420"/>
      <c r="X100" s="420"/>
      <c r="Y100" s="420"/>
      <c r="Z100" s="420"/>
      <c r="AA100" s="420"/>
      <c r="AB100" s="420"/>
      <c r="AC100" s="420"/>
      <c r="AD100" s="420"/>
      <c r="AE100" s="420"/>
      <c r="AF100" s="420"/>
      <c r="AG100" s="420"/>
      <c r="AH100" s="420"/>
      <c r="AI100" s="420"/>
      <c r="AJ100" s="420"/>
      <c r="AK100" s="420"/>
      <c r="AL100" s="420"/>
      <c r="AM100" s="420"/>
      <c r="AN100" s="420"/>
      <c r="AO100" s="420"/>
      <c r="AP100" s="420"/>
      <c r="AQ100" s="420"/>
      <c r="AR100" s="420"/>
      <c r="AS100" s="420"/>
      <c r="AT100" s="420"/>
      <c r="AU100" s="420"/>
      <c r="AV100" s="420"/>
      <c r="AW100" s="420"/>
      <c r="AX100" s="420"/>
      <c r="AY100" s="420"/>
      <c r="AZ100" s="420"/>
      <c r="BA100" s="420"/>
      <c r="BB100" s="420"/>
      <c r="BC100" s="420"/>
      <c r="BD100" s="420"/>
      <c r="BE100" s="420"/>
      <c r="BF100" s="420"/>
      <c r="BG100" s="420"/>
      <c r="BH100" s="420"/>
      <c r="BI100" s="420"/>
      <c r="BJ100" s="420"/>
      <c r="BK100" s="420"/>
      <c r="BL100" s="420"/>
      <c r="BM100" s="420"/>
      <c r="BN100" s="420"/>
      <c r="BO100" s="420"/>
      <c r="BP100" s="420"/>
      <c r="BQ100" s="420"/>
      <c r="BR100" s="420"/>
      <c r="BS100" s="420"/>
      <c r="BT100" s="420"/>
      <c r="BU100" s="420"/>
      <c r="BV100" s="420"/>
      <c r="BW100" s="420"/>
      <c r="BX100" s="420"/>
      <c r="BY100" s="420"/>
      <c r="BZ100" s="420"/>
      <c r="CA100" s="420"/>
      <c r="CB100" s="420"/>
      <c r="CC100" s="420"/>
      <c r="CD100" s="420"/>
      <c r="CE100" s="420"/>
      <c r="CF100" s="420"/>
      <c r="CG100" s="420"/>
      <c r="CH100" s="420"/>
      <c r="CI100" s="420"/>
      <c r="CJ100" s="420"/>
      <c r="CK100" s="420"/>
      <c r="CL100" s="420"/>
      <c r="CM100" s="420"/>
      <c r="CN100" s="420"/>
      <c r="CO100" s="420"/>
      <c r="CP100" s="420"/>
      <c r="CQ100" s="420"/>
      <c r="CR100" s="420"/>
      <c r="CS100" s="420"/>
      <c r="CT100" s="420"/>
      <c r="CU100" s="420"/>
      <c r="CV100" s="420"/>
      <c r="CW100" s="420"/>
      <c r="CX100" s="420"/>
      <c r="CY100" s="420"/>
      <c r="CZ100" s="420"/>
      <c r="DA100" s="420"/>
      <c r="DB100" s="420"/>
      <c r="DC100" s="420"/>
      <c r="DD100" s="420"/>
      <c r="DE100" s="420"/>
      <c r="DF100" s="420"/>
      <c r="DG100" s="420"/>
      <c r="DH100" s="420"/>
      <c r="DI100" s="420"/>
      <c r="DJ100" s="420"/>
      <c r="DK100" s="420"/>
      <c r="DL100" s="420"/>
      <c r="DM100" s="420"/>
      <c r="DN100" s="420"/>
      <c r="DO100" s="420"/>
      <c r="DP100" s="420"/>
      <c r="DQ100" s="420"/>
      <c r="DR100" s="420"/>
      <c r="DS100" s="420"/>
      <c r="DT100" s="420"/>
      <c r="DU100" s="420"/>
      <c r="DV100" s="420"/>
      <c r="DW100" s="420"/>
      <c r="DX100" s="420"/>
      <c r="DY100" s="420"/>
      <c r="DZ100" s="420"/>
      <c r="EA100" s="420"/>
      <c r="EB100" s="420"/>
      <c r="EC100" s="420"/>
      <c r="ED100" s="420"/>
      <c r="EE100" s="420"/>
      <c r="EF100" s="420"/>
      <c r="EG100" s="420"/>
      <c r="EH100" s="420"/>
      <c r="EI100" s="420"/>
      <c r="EJ100" s="420"/>
      <c r="EK100" s="420"/>
      <c r="EL100" s="420"/>
      <c r="EM100" s="420"/>
      <c r="EN100" s="420"/>
      <c r="EO100" s="420"/>
      <c r="EP100" s="420"/>
      <c r="EQ100" s="420"/>
      <c r="ER100" s="420"/>
      <c r="ES100" s="420"/>
      <c r="ET100" s="420"/>
      <c r="EU100" s="420"/>
      <c r="EV100" s="420"/>
      <c r="EW100" s="420"/>
      <c r="EX100" s="420"/>
      <c r="EY100" s="420"/>
      <c r="EZ100" s="420"/>
      <c r="FA100" s="420"/>
      <c r="FB100" s="420"/>
      <c r="FC100" s="420"/>
      <c r="FD100" s="420"/>
      <c r="FE100" s="420"/>
      <c r="FF100" s="420"/>
      <c r="FG100" s="420"/>
      <c r="FH100" s="420"/>
      <c r="FI100" s="420"/>
      <c r="FJ100" s="420"/>
      <c r="FK100" s="420"/>
      <c r="FL100" s="420"/>
      <c r="FM100" s="420"/>
      <c r="FN100" s="420"/>
      <c r="FO100" s="420"/>
      <c r="FP100" s="420"/>
      <c r="FQ100" s="420"/>
      <c r="FR100" s="420"/>
      <c r="FS100" s="420"/>
      <c r="FT100" s="420"/>
      <c r="FU100" s="420"/>
      <c r="FV100" s="420"/>
      <c r="FW100" s="420"/>
      <c r="FX100" s="420"/>
      <c r="FY100" s="420"/>
      <c r="FZ100" s="420"/>
      <c r="GA100" s="420"/>
      <c r="GB100" s="420"/>
      <c r="GC100" s="420"/>
      <c r="GD100" s="420"/>
      <c r="GE100" s="420"/>
      <c r="GF100" s="420"/>
      <c r="GG100" s="420"/>
      <c r="GH100" s="420"/>
      <c r="GI100" s="420"/>
      <c r="GJ100" s="420"/>
      <c r="GK100" s="420"/>
      <c r="GL100" s="420"/>
      <c r="GM100" s="420"/>
      <c r="GN100" s="420"/>
      <c r="GO100" s="420"/>
      <c r="GP100" s="420"/>
      <c r="GQ100" s="420"/>
      <c r="GR100" s="420"/>
      <c r="GS100" s="420"/>
      <c r="GT100" s="420"/>
      <c r="GU100" s="420"/>
      <c r="GV100" s="420"/>
      <c r="GW100" s="420"/>
      <c r="GX100" s="420"/>
      <c r="GY100" s="420"/>
      <c r="GZ100" s="420"/>
      <c r="HA100" s="420"/>
      <c r="HB100" s="420"/>
      <c r="HC100" s="420"/>
      <c r="HD100" s="420"/>
      <c r="HE100" s="420"/>
      <c r="HF100" s="420"/>
      <c r="HG100" s="420"/>
      <c r="HH100" s="420"/>
      <c r="HI100" s="420"/>
      <c r="HJ100" s="420"/>
      <c r="HK100" s="420"/>
      <c r="HL100" s="420"/>
      <c r="HM100" s="420"/>
      <c r="HN100" s="420"/>
      <c r="HO100" s="420"/>
      <c r="HP100" s="420"/>
      <c r="HQ100" s="420"/>
      <c r="HR100" s="420"/>
      <c r="HS100" s="420"/>
      <c r="HT100" s="420"/>
      <c r="HU100" s="420"/>
      <c r="HV100" s="420"/>
      <c r="HW100" s="420"/>
      <c r="HX100" s="420"/>
      <c r="HY100" s="420"/>
      <c r="HZ100" s="420"/>
      <c r="IA100" s="420"/>
      <c r="IB100" s="420"/>
      <c r="IC100" s="420"/>
      <c r="ID100" s="420"/>
      <c r="IE100" s="420"/>
      <c r="IF100" s="420"/>
      <c r="IG100" s="420"/>
      <c r="IH100" s="420"/>
      <c r="II100" s="420"/>
      <c r="IJ100" s="420"/>
      <c r="IK100" s="420"/>
      <c r="IL100" s="420"/>
      <c r="IM100" s="420"/>
      <c r="IN100" s="420"/>
      <c r="IO100" s="420"/>
      <c r="IP100" s="420"/>
      <c r="IQ100" s="420"/>
      <c r="IR100" s="420"/>
      <c r="IS100" s="420"/>
      <c r="IT100" s="420"/>
      <c r="IU100" s="420"/>
      <c r="IV100" s="420"/>
      <c r="IW100" s="420"/>
      <c r="IX100" s="420"/>
      <c r="IY100" s="420"/>
      <c r="IZ100" s="420"/>
      <c r="JA100" s="420"/>
    </row>
    <row r="101" spans="1:261" s="768" customFormat="1" ht="18" customHeight="1" x14ac:dyDescent="0.35">
      <c r="A101" s="783">
        <v>91</v>
      </c>
      <c r="B101" s="776"/>
      <c r="C101" s="422"/>
      <c r="D101" s="583" t="s">
        <v>1151</v>
      </c>
      <c r="E101" s="432"/>
      <c r="F101" s="772"/>
      <c r="G101" s="433"/>
      <c r="H101" s="1009"/>
      <c r="I101" s="1005"/>
      <c r="J101" s="769"/>
      <c r="K101" s="769"/>
      <c r="L101" s="769"/>
      <c r="M101" s="769">
        <f>SUM(M99:M100)</f>
        <v>390564</v>
      </c>
      <c r="N101" s="769"/>
      <c r="O101" s="777">
        <f>SUM(I101:N101)</f>
        <v>390564</v>
      </c>
      <c r="P101" s="773"/>
      <c r="Q101" s="420"/>
      <c r="R101" s="420"/>
      <c r="S101" s="420"/>
      <c r="T101" s="420"/>
      <c r="U101" s="420"/>
      <c r="V101" s="420"/>
      <c r="W101" s="420"/>
      <c r="X101" s="420"/>
      <c r="Y101" s="420"/>
      <c r="Z101" s="420"/>
      <c r="AA101" s="420"/>
      <c r="AB101" s="420"/>
      <c r="AC101" s="420"/>
      <c r="AD101" s="420"/>
      <c r="AE101" s="420"/>
      <c r="AF101" s="420"/>
      <c r="AG101" s="420"/>
      <c r="AH101" s="420"/>
      <c r="AI101" s="420"/>
      <c r="AJ101" s="420"/>
      <c r="AK101" s="420"/>
      <c r="AL101" s="420"/>
      <c r="AM101" s="420"/>
      <c r="AN101" s="420"/>
      <c r="AO101" s="420"/>
      <c r="AP101" s="420"/>
      <c r="AQ101" s="420"/>
      <c r="AR101" s="420"/>
      <c r="AS101" s="420"/>
      <c r="AT101" s="420"/>
      <c r="AU101" s="420"/>
      <c r="AV101" s="420"/>
      <c r="AW101" s="420"/>
      <c r="AX101" s="420"/>
      <c r="AY101" s="420"/>
      <c r="AZ101" s="420"/>
      <c r="BA101" s="420"/>
      <c r="BB101" s="420"/>
      <c r="BC101" s="420"/>
      <c r="BD101" s="420"/>
      <c r="BE101" s="420"/>
      <c r="BF101" s="420"/>
      <c r="BG101" s="420"/>
      <c r="BH101" s="420"/>
      <c r="BI101" s="420"/>
      <c r="BJ101" s="420"/>
      <c r="BK101" s="420"/>
      <c r="BL101" s="420"/>
      <c r="BM101" s="420"/>
      <c r="BN101" s="420"/>
      <c r="BO101" s="420"/>
      <c r="BP101" s="420"/>
      <c r="BQ101" s="420"/>
      <c r="BR101" s="420"/>
      <c r="BS101" s="420"/>
      <c r="BT101" s="420"/>
      <c r="BU101" s="420"/>
      <c r="BV101" s="420"/>
      <c r="BW101" s="420"/>
      <c r="BX101" s="420"/>
      <c r="BY101" s="420"/>
      <c r="BZ101" s="420"/>
      <c r="CA101" s="420"/>
      <c r="CB101" s="420"/>
      <c r="CC101" s="420"/>
      <c r="CD101" s="420"/>
      <c r="CE101" s="420"/>
      <c r="CF101" s="420"/>
      <c r="CG101" s="420"/>
      <c r="CH101" s="420"/>
      <c r="CI101" s="420"/>
      <c r="CJ101" s="420"/>
      <c r="CK101" s="420"/>
      <c r="CL101" s="420"/>
      <c r="CM101" s="420"/>
      <c r="CN101" s="420"/>
      <c r="CO101" s="420"/>
      <c r="CP101" s="420"/>
      <c r="CQ101" s="420"/>
      <c r="CR101" s="420"/>
      <c r="CS101" s="420"/>
      <c r="CT101" s="420"/>
      <c r="CU101" s="420"/>
      <c r="CV101" s="420"/>
      <c r="CW101" s="420"/>
      <c r="CX101" s="420"/>
      <c r="CY101" s="420"/>
      <c r="CZ101" s="420"/>
      <c r="DA101" s="420"/>
      <c r="DB101" s="420"/>
      <c r="DC101" s="420"/>
      <c r="DD101" s="420"/>
      <c r="DE101" s="420"/>
      <c r="DF101" s="420"/>
      <c r="DG101" s="420"/>
      <c r="DH101" s="420"/>
      <c r="DI101" s="420"/>
      <c r="DJ101" s="420"/>
      <c r="DK101" s="420"/>
      <c r="DL101" s="420"/>
      <c r="DM101" s="420"/>
      <c r="DN101" s="420"/>
      <c r="DO101" s="420"/>
      <c r="DP101" s="420"/>
      <c r="DQ101" s="420"/>
      <c r="DR101" s="420"/>
      <c r="DS101" s="420"/>
      <c r="DT101" s="420"/>
      <c r="DU101" s="420"/>
      <c r="DV101" s="420"/>
      <c r="DW101" s="420"/>
      <c r="DX101" s="420"/>
      <c r="DY101" s="420"/>
      <c r="DZ101" s="420"/>
      <c r="EA101" s="420"/>
      <c r="EB101" s="420"/>
      <c r="EC101" s="420"/>
      <c r="ED101" s="420"/>
      <c r="EE101" s="420"/>
      <c r="EF101" s="420"/>
      <c r="EG101" s="420"/>
      <c r="EH101" s="420"/>
      <c r="EI101" s="420"/>
      <c r="EJ101" s="420"/>
      <c r="EK101" s="420"/>
      <c r="EL101" s="420"/>
      <c r="EM101" s="420"/>
      <c r="EN101" s="420"/>
      <c r="EO101" s="420"/>
      <c r="EP101" s="420"/>
      <c r="EQ101" s="420"/>
      <c r="ER101" s="420"/>
      <c r="ES101" s="420"/>
      <c r="ET101" s="420"/>
      <c r="EU101" s="420"/>
      <c r="EV101" s="420"/>
      <c r="EW101" s="420"/>
      <c r="EX101" s="420"/>
      <c r="EY101" s="420"/>
      <c r="EZ101" s="420"/>
      <c r="FA101" s="420"/>
      <c r="FB101" s="420"/>
      <c r="FC101" s="420"/>
      <c r="FD101" s="420"/>
      <c r="FE101" s="420"/>
      <c r="FF101" s="420"/>
      <c r="FG101" s="420"/>
      <c r="FH101" s="420"/>
      <c r="FI101" s="420"/>
      <c r="FJ101" s="420"/>
      <c r="FK101" s="420"/>
      <c r="FL101" s="420"/>
      <c r="FM101" s="420"/>
      <c r="FN101" s="420"/>
      <c r="FO101" s="420"/>
      <c r="FP101" s="420"/>
      <c r="FQ101" s="420"/>
      <c r="FR101" s="420"/>
      <c r="FS101" s="420"/>
      <c r="FT101" s="420"/>
      <c r="FU101" s="420"/>
      <c r="FV101" s="420"/>
      <c r="FW101" s="420"/>
      <c r="FX101" s="420"/>
      <c r="FY101" s="420"/>
      <c r="FZ101" s="420"/>
      <c r="GA101" s="420"/>
      <c r="GB101" s="420"/>
      <c r="GC101" s="420"/>
      <c r="GD101" s="420"/>
      <c r="GE101" s="420"/>
      <c r="GF101" s="420"/>
      <c r="GG101" s="420"/>
      <c r="GH101" s="420"/>
      <c r="GI101" s="420"/>
      <c r="GJ101" s="420"/>
      <c r="GK101" s="420"/>
      <c r="GL101" s="420"/>
      <c r="GM101" s="420"/>
      <c r="GN101" s="420"/>
      <c r="GO101" s="420"/>
      <c r="GP101" s="420"/>
      <c r="GQ101" s="420"/>
      <c r="GR101" s="420"/>
      <c r="GS101" s="420"/>
      <c r="GT101" s="420"/>
      <c r="GU101" s="420"/>
      <c r="GV101" s="420"/>
      <c r="GW101" s="420"/>
      <c r="GX101" s="420"/>
      <c r="GY101" s="420"/>
      <c r="GZ101" s="420"/>
      <c r="HA101" s="420"/>
      <c r="HB101" s="420"/>
      <c r="HC101" s="420"/>
      <c r="HD101" s="420"/>
      <c r="HE101" s="420"/>
      <c r="HF101" s="420"/>
      <c r="HG101" s="420"/>
      <c r="HH101" s="420"/>
      <c r="HI101" s="420"/>
      <c r="HJ101" s="420"/>
      <c r="HK101" s="420"/>
      <c r="HL101" s="420"/>
      <c r="HM101" s="420"/>
      <c r="HN101" s="420"/>
      <c r="HO101" s="420"/>
      <c r="HP101" s="420"/>
      <c r="HQ101" s="420"/>
      <c r="HR101" s="420"/>
      <c r="HS101" s="420"/>
      <c r="HT101" s="420"/>
      <c r="HU101" s="420"/>
      <c r="HV101" s="420"/>
      <c r="HW101" s="420"/>
      <c r="HX101" s="420"/>
      <c r="HY101" s="420"/>
      <c r="HZ101" s="420"/>
      <c r="IA101" s="420"/>
      <c r="IB101" s="420"/>
      <c r="IC101" s="420"/>
      <c r="ID101" s="420"/>
      <c r="IE101" s="420"/>
      <c r="IF101" s="420"/>
      <c r="IG101" s="420"/>
      <c r="IH101" s="420"/>
      <c r="II101" s="420"/>
      <c r="IJ101" s="420"/>
      <c r="IK101" s="420"/>
      <c r="IL101" s="420"/>
      <c r="IM101" s="420"/>
      <c r="IN101" s="420"/>
      <c r="IO101" s="420"/>
      <c r="IP101" s="420"/>
      <c r="IQ101" s="420"/>
      <c r="IR101" s="420"/>
      <c r="IS101" s="420"/>
      <c r="IT101" s="420"/>
      <c r="IU101" s="420"/>
      <c r="IV101" s="420"/>
      <c r="IW101" s="420"/>
      <c r="IX101" s="420"/>
      <c r="IY101" s="420"/>
      <c r="IZ101" s="420"/>
      <c r="JA101" s="420"/>
    </row>
    <row r="102" spans="1:261" s="768" customFormat="1" ht="22.5" customHeight="1" x14ac:dyDescent="0.35">
      <c r="A102" s="783">
        <v>92</v>
      </c>
      <c r="B102" s="776"/>
      <c r="C102" s="466">
        <v>19</v>
      </c>
      <c r="D102" s="423" t="s">
        <v>698</v>
      </c>
      <c r="E102" s="432"/>
      <c r="F102" s="772"/>
      <c r="G102" s="433"/>
      <c r="H102" s="1009" t="s">
        <v>24</v>
      </c>
      <c r="I102" s="1027"/>
      <c r="J102" s="1023"/>
      <c r="K102" s="1023"/>
      <c r="L102" s="1023"/>
      <c r="M102" s="1023"/>
      <c r="N102" s="1023"/>
      <c r="O102" s="992"/>
      <c r="P102" s="773"/>
      <c r="Q102" s="420"/>
      <c r="R102" s="420"/>
      <c r="S102" s="420"/>
      <c r="T102" s="420"/>
      <c r="U102" s="420"/>
      <c r="V102" s="420"/>
      <c r="W102" s="420"/>
      <c r="X102" s="420"/>
      <c r="Y102" s="420"/>
      <c r="Z102" s="420"/>
      <c r="AA102" s="420"/>
      <c r="AB102" s="420"/>
      <c r="AC102" s="420"/>
      <c r="AD102" s="420"/>
      <c r="AE102" s="420"/>
      <c r="AF102" s="420"/>
      <c r="AG102" s="420"/>
      <c r="AH102" s="420"/>
      <c r="AI102" s="420"/>
      <c r="AJ102" s="420"/>
      <c r="AK102" s="420"/>
      <c r="AL102" s="420"/>
      <c r="AM102" s="420"/>
      <c r="AN102" s="420"/>
      <c r="AO102" s="420"/>
      <c r="AP102" s="420"/>
      <c r="AQ102" s="420"/>
      <c r="AR102" s="420"/>
      <c r="AS102" s="420"/>
      <c r="AT102" s="420"/>
      <c r="AU102" s="420"/>
      <c r="AV102" s="420"/>
      <c r="AW102" s="420"/>
      <c r="AX102" s="420"/>
      <c r="AY102" s="420"/>
      <c r="AZ102" s="420"/>
      <c r="BA102" s="420"/>
      <c r="BB102" s="420"/>
      <c r="BC102" s="420"/>
      <c r="BD102" s="420"/>
      <c r="BE102" s="420"/>
      <c r="BF102" s="420"/>
      <c r="BG102" s="420"/>
      <c r="BH102" s="420"/>
      <c r="BI102" s="420"/>
      <c r="BJ102" s="420"/>
      <c r="BK102" s="420"/>
      <c r="BL102" s="420"/>
      <c r="BM102" s="420"/>
      <c r="BN102" s="420"/>
      <c r="BO102" s="420"/>
      <c r="BP102" s="420"/>
      <c r="BQ102" s="420"/>
      <c r="BR102" s="420"/>
      <c r="BS102" s="420"/>
      <c r="BT102" s="420"/>
      <c r="BU102" s="420"/>
      <c r="BV102" s="420"/>
      <c r="BW102" s="420"/>
      <c r="BX102" s="420"/>
      <c r="BY102" s="420"/>
      <c r="BZ102" s="420"/>
      <c r="CA102" s="420"/>
      <c r="CB102" s="420"/>
      <c r="CC102" s="420"/>
      <c r="CD102" s="420"/>
      <c r="CE102" s="420"/>
      <c r="CF102" s="420"/>
      <c r="CG102" s="420"/>
      <c r="CH102" s="420"/>
      <c r="CI102" s="420"/>
      <c r="CJ102" s="420"/>
      <c r="CK102" s="420"/>
      <c r="CL102" s="420"/>
      <c r="CM102" s="420"/>
      <c r="CN102" s="420"/>
      <c r="CO102" s="420"/>
      <c r="CP102" s="420"/>
      <c r="CQ102" s="420"/>
      <c r="CR102" s="420"/>
      <c r="CS102" s="420"/>
      <c r="CT102" s="420"/>
      <c r="CU102" s="420"/>
      <c r="CV102" s="420"/>
      <c r="CW102" s="420"/>
      <c r="CX102" s="420"/>
      <c r="CY102" s="420"/>
      <c r="CZ102" s="420"/>
      <c r="DA102" s="420"/>
      <c r="DB102" s="420"/>
      <c r="DC102" s="420"/>
      <c r="DD102" s="420"/>
      <c r="DE102" s="420"/>
      <c r="DF102" s="420"/>
      <c r="DG102" s="420"/>
      <c r="DH102" s="420"/>
      <c r="DI102" s="420"/>
      <c r="DJ102" s="420"/>
      <c r="DK102" s="420"/>
      <c r="DL102" s="420"/>
      <c r="DM102" s="420"/>
      <c r="DN102" s="420"/>
      <c r="DO102" s="420"/>
      <c r="DP102" s="420"/>
      <c r="DQ102" s="420"/>
      <c r="DR102" s="420"/>
      <c r="DS102" s="420"/>
      <c r="DT102" s="420"/>
      <c r="DU102" s="420"/>
      <c r="DV102" s="420"/>
      <c r="DW102" s="420"/>
      <c r="DX102" s="420"/>
      <c r="DY102" s="420"/>
      <c r="DZ102" s="420"/>
      <c r="EA102" s="420"/>
      <c r="EB102" s="420"/>
      <c r="EC102" s="420"/>
      <c r="ED102" s="420"/>
      <c r="EE102" s="420"/>
      <c r="EF102" s="420"/>
      <c r="EG102" s="420"/>
      <c r="EH102" s="420"/>
      <c r="EI102" s="420"/>
      <c r="EJ102" s="420"/>
      <c r="EK102" s="420"/>
      <c r="EL102" s="420"/>
      <c r="EM102" s="420"/>
      <c r="EN102" s="420"/>
      <c r="EO102" s="420"/>
      <c r="EP102" s="420"/>
      <c r="EQ102" s="420"/>
      <c r="ER102" s="420"/>
      <c r="ES102" s="420"/>
      <c r="ET102" s="420"/>
      <c r="EU102" s="420"/>
      <c r="EV102" s="420"/>
      <c r="EW102" s="420"/>
      <c r="EX102" s="420"/>
      <c r="EY102" s="420"/>
      <c r="EZ102" s="420"/>
      <c r="FA102" s="420"/>
      <c r="FB102" s="420"/>
      <c r="FC102" s="420"/>
      <c r="FD102" s="420"/>
      <c r="FE102" s="420"/>
      <c r="FF102" s="420"/>
      <c r="FG102" s="420"/>
      <c r="FH102" s="420"/>
      <c r="FI102" s="420"/>
      <c r="FJ102" s="420"/>
      <c r="FK102" s="420"/>
      <c r="FL102" s="420"/>
      <c r="FM102" s="420"/>
      <c r="FN102" s="420"/>
      <c r="FO102" s="420"/>
      <c r="FP102" s="420"/>
      <c r="FQ102" s="420"/>
      <c r="FR102" s="420"/>
      <c r="FS102" s="420"/>
      <c r="FT102" s="420"/>
      <c r="FU102" s="420"/>
      <c r="FV102" s="420"/>
      <c r="FW102" s="420"/>
      <c r="FX102" s="420"/>
      <c r="FY102" s="420"/>
      <c r="FZ102" s="420"/>
      <c r="GA102" s="420"/>
      <c r="GB102" s="420"/>
      <c r="GC102" s="420"/>
      <c r="GD102" s="420"/>
      <c r="GE102" s="420"/>
      <c r="GF102" s="420"/>
      <c r="GG102" s="420"/>
      <c r="GH102" s="420"/>
      <c r="GI102" s="420"/>
      <c r="GJ102" s="420"/>
      <c r="GK102" s="420"/>
      <c r="GL102" s="420"/>
      <c r="GM102" s="420"/>
      <c r="GN102" s="420"/>
      <c r="GO102" s="420"/>
      <c r="GP102" s="420"/>
      <c r="GQ102" s="420"/>
      <c r="GR102" s="420"/>
      <c r="GS102" s="420"/>
      <c r="GT102" s="420"/>
      <c r="GU102" s="420"/>
      <c r="GV102" s="420"/>
      <c r="GW102" s="420"/>
      <c r="GX102" s="420"/>
      <c r="GY102" s="420"/>
      <c r="GZ102" s="420"/>
      <c r="HA102" s="420"/>
      <c r="HB102" s="420"/>
      <c r="HC102" s="420"/>
      <c r="HD102" s="420"/>
      <c r="HE102" s="420"/>
      <c r="HF102" s="420"/>
      <c r="HG102" s="420"/>
      <c r="HH102" s="420"/>
      <c r="HI102" s="420"/>
      <c r="HJ102" s="420"/>
      <c r="HK102" s="420"/>
      <c r="HL102" s="420"/>
      <c r="HM102" s="420"/>
      <c r="HN102" s="420"/>
      <c r="HO102" s="420"/>
      <c r="HP102" s="420"/>
      <c r="HQ102" s="420"/>
      <c r="HR102" s="420"/>
      <c r="HS102" s="420"/>
      <c r="HT102" s="420"/>
      <c r="HU102" s="420"/>
      <c r="HV102" s="420"/>
      <c r="HW102" s="420"/>
      <c r="HX102" s="420"/>
      <c r="HY102" s="420"/>
      <c r="HZ102" s="420"/>
      <c r="IA102" s="420"/>
      <c r="IB102" s="420"/>
      <c r="IC102" s="420"/>
      <c r="ID102" s="420"/>
      <c r="IE102" s="420"/>
      <c r="IF102" s="420"/>
      <c r="IG102" s="420"/>
      <c r="IH102" s="420"/>
      <c r="II102" s="420"/>
      <c r="IJ102" s="420"/>
      <c r="IK102" s="420"/>
      <c r="IL102" s="420"/>
      <c r="IM102" s="420"/>
      <c r="IN102" s="420"/>
      <c r="IO102" s="420"/>
      <c r="IP102" s="420"/>
      <c r="IQ102" s="420"/>
      <c r="IR102" s="420"/>
      <c r="IS102" s="420"/>
      <c r="IT102" s="420"/>
      <c r="IU102" s="420"/>
      <c r="IV102" s="420"/>
      <c r="IW102" s="420"/>
      <c r="IX102" s="420"/>
      <c r="IY102" s="420"/>
      <c r="IZ102" s="420"/>
      <c r="JA102" s="420"/>
    </row>
    <row r="103" spans="1:261" s="768" customFormat="1" ht="18" customHeight="1" x14ac:dyDescent="0.35">
      <c r="A103" s="783">
        <v>93</v>
      </c>
      <c r="B103" s="776"/>
      <c r="C103" s="422"/>
      <c r="D103" s="1002" t="s">
        <v>311</v>
      </c>
      <c r="E103" s="432">
        <f>F103+G103+O106+P106</f>
        <v>0</v>
      </c>
      <c r="F103" s="772"/>
      <c r="G103" s="433"/>
      <c r="H103" s="1009"/>
      <c r="I103" s="1027"/>
      <c r="J103" s="1023"/>
      <c r="K103" s="1023"/>
      <c r="L103" s="1023"/>
      <c r="M103" s="1023"/>
      <c r="N103" s="1023">
        <v>5000</v>
      </c>
      <c r="O103" s="992">
        <f>SUM(I103:N103)</f>
        <v>5000</v>
      </c>
      <c r="P103" s="773"/>
      <c r="Q103" s="420"/>
      <c r="R103" s="420"/>
      <c r="S103" s="420"/>
      <c r="T103" s="420"/>
      <c r="U103" s="420"/>
      <c r="V103" s="420"/>
      <c r="W103" s="420"/>
      <c r="X103" s="420"/>
      <c r="Y103" s="420"/>
      <c r="Z103" s="420"/>
      <c r="AA103" s="420"/>
      <c r="AB103" s="420"/>
      <c r="AC103" s="420"/>
      <c r="AD103" s="420"/>
      <c r="AE103" s="420"/>
      <c r="AF103" s="420"/>
      <c r="AG103" s="420"/>
      <c r="AH103" s="420"/>
      <c r="AI103" s="420"/>
      <c r="AJ103" s="420"/>
      <c r="AK103" s="420"/>
      <c r="AL103" s="420"/>
      <c r="AM103" s="420"/>
      <c r="AN103" s="420"/>
      <c r="AO103" s="420"/>
      <c r="AP103" s="420"/>
      <c r="AQ103" s="420"/>
      <c r="AR103" s="420"/>
      <c r="AS103" s="420"/>
      <c r="AT103" s="420"/>
      <c r="AU103" s="420"/>
      <c r="AV103" s="420"/>
      <c r="AW103" s="420"/>
      <c r="AX103" s="420"/>
      <c r="AY103" s="420"/>
      <c r="AZ103" s="420"/>
      <c r="BA103" s="420"/>
      <c r="BB103" s="420"/>
      <c r="BC103" s="420"/>
      <c r="BD103" s="420"/>
      <c r="BE103" s="420"/>
      <c r="BF103" s="420"/>
      <c r="BG103" s="420"/>
      <c r="BH103" s="420"/>
      <c r="BI103" s="420"/>
      <c r="BJ103" s="420"/>
      <c r="BK103" s="420"/>
      <c r="BL103" s="420"/>
      <c r="BM103" s="420"/>
      <c r="BN103" s="420"/>
      <c r="BO103" s="420"/>
      <c r="BP103" s="420"/>
      <c r="BQ103" s="420"/>
      <c r="BR103" s="420"/>
      <c r="BS103" s="420"/>
      <c r="BT103" s="420"/>
      <c r="BU103" s="420"/>
      <c r="BV103" s="420"/>
      <c r="BW103" s="420"/>
      <c r="BX103" s="420"/>
      <c r="BY103" s="420"/>
      <c r="BZ103" s="420"/>
      <c r="CA103" s="420"/>
      <c r="CB103" s="420"/>
      <c r="CC103" s="420"/>
      <c r="CD103" s="420"/>
      <c r="CE103" s="420"/>
      <c r="CF103" s="420"/>
      <c r="CG103" s="420"/>
      <c r="CH103" s="420"/>
      <c r="CI103" s="420"/>
      <c r="CJ103" s="420"/>
      <c r="CK103" s="420"/>
      <c r="CL103" s="420"/>
      <c r="CM103" s="420"/>
      <c r="CN103" s="420"/>
      <c r="CO103" s="420"/>
      <c r="CP103" s="420"/>
      <c r="CQ103" s="420"/>
      <c r="CR103" s="420"/>
      <c r="CS103" s="420"/>
      <c r="CT103" s="420"/>
      <c r="CU103" s="420"/>
      <c r="CV103" s="420"/>
      <c r="CW103" s="420"/>
      <c r="CX103" s="420"/>
      <c r="CY103" s="420"/>
      <c r="CZ103" s="420"/>
      <c r="DA103" s="420"/>
      <c r="DB103" s="420"/>
      <c r="DC103" s="420"/>
      <c r="DD103" s="420"/>
      <c r="DE103" s="420"/>
      <c r="DF103" s="420"/>
      <c r="DG103" s="420"/>
      <c r="DH103" s="420"/>
      <c r="DI103" s="420"/>
      <c r="DJ103" s="420"/>
      <c r="DK103" s="420"/>
      <c r="DL103" s="420"/>
      <c r="DM103" s="420"/>
      <c r="DN103" s="420"/>
      <c r="DO103" s="420"/>
      <c r="DP103" s="420"/>
      <c r="DQ103" s="420"/>
      <c r="DR103" s="420"/>
      <c r="DS103" s="420"/>
      <c r="DT103" s="420"/>
      <c r="DU103" s="420"/>
      <c r="DV103" s="420"/>
      <c r="DW103" s="420"/>
      <c r="DX103" s="420"/>
      <c r="DY103" s="420"/>
      <c r="DZ103" s="420"/>
      <c r="EA103" s="420"/>
      <c r="EB103" s="420"/>
      <c r="EC103" s="420"/>
      <c r="ED103" s="420"/>
      <c r="EE103" s="420"/>
      <c r="EF103" s="420"/>
      <c r="EG103" s="420"/>
      <c r="EH103" s="420"/>
      <c r="EI103" s="420"/>
      <c r="EJ103" s="420"/>
      <c r="EK103" s="420"/>
      <c r="EL103" s="420"/>
      <c r="EM103" s="420"/>
      <c r="EN103" s="420"/>
      <c r="EO103" s="420"/>
      <c r="EP103" s="420"/>
      <c r="EQ103" s="420"/>
      <c r="ER103" s="420"/>
      <c r="ES103" s="420"/>
      <c r="ET103" s="420"/>
      <c r="EU103" s="420"/>
      <c r="EV103" s="420"/>
      <c r="EW103" s="420"/>
      <c r="EX103" s="420"/>
      <c r="EY103" s="420"/>
      <c r="EZ103" s="420"/>
      <c r="FA103" s="420"/>
      <c r="FB103" s="420"/>
      <c r="FC103" s="420"/>
      <c r="FD103" s="420"/>
      <c r="FE103" s="420"/>
      <c r="FF103" s="420"/>
      <c r="FG103" s="420"/>
      <c r="FH103" s="420"/>
      <c r="FI103" s="420"/>
      <c r="FJ103" s="420"/>
      <c r="FK103" s="420"/>
      <c r="FL103" s="420"/>
      <c r="FM103" s="420"/>
      <c r="FN103" s="420"/>
      <c r="FO103" s="420"/>
      <c r="FP103" s="420"/>
      <c r="FQ103" s="420"/>
      <c r="FR103" s="420"/>
      <c r="FS103" s="420"/>
      <c r="FT103" s="420"/>
      <c r="FU103" s="420"/>
      <c r="FV103" s="420"/>
      <c r="FW103" s="420"/>
      <c r="FX103" s="420"/>
      <c r="FY103" s="420"/>
      <c r="FZ103" s="420"/>
      <c r="GA103" s="420"/>
      <c r="GB103" s="420"/>
      <c r="GC103" s="420"/>
      <c r="GD103" s="420"/>
      <c r="GE103" s="420"/>
      <c r="GF103" s="420"/>
      <c r="GG103" s="420"/>
      <c r="GH103" s="420"/>
      <c r="GI103" s="420"/>
      <c r="GJ103" s="420"/>
      <c r="GK103" s="420"/>
      <c r="GL103" s="420"/>
      <c r="GM103" s="420"/>
      <c r="GN103" s="420"/>
      <c r="GO103" s="420"/>
      <c r="GP103" s="420"/>
      <c r="GQ103" s="420"/>
      <c r="GR103" s="420"/>
      <c r="GS103" s="420"/>
      <c r="GT103" s="420"/>
      <c r="GU103" s="420"/>
      <c r="GV103" s="420"/>
      <c r="GW103" s="420"/>
      <c r="GX103" s="420"/>
      <c r="GY103" s="420"/>
      <c r="GZ103" s="420"/>
      <c r="HA103" s="420"/>
      <c r="HB103" s="420"/>
      <c r="HC103" s="420"/>
      <c r="HD103" s="420"/>
      <c r="HE103" s="420"/>
      <c r="HF103" s="420"/>
      <c r="HG103" s="420"/>
      <c r="HH103" s="420"/>
      <c r="HI103" s="420"/>
      <c r="HJ103" s="420"/>
      <c r="HK103" s="420"/>
      <c r="HL103" s="420"/>
      <c r="HM103" s="420"/>
      <c r="HN103" s="420"/>
      <c r="HO103" s="420"/>
      <c r="HP103" s="420"/>
      <c r="HQ103" s="420"/>
      <c r="HR103" s="420"/>
      <c r="HS103" s="420"/>
      <c r="HT103" s="420"/>
      <c r="HU103" s="420"/>
      <c r="HV103" s="420"/>
      <c r="HW103" s="420"/>
      <c r="HX103" s="420"/>
      <c r="HY103" s="420"/>
      <c r="HZ103" s="420"/>
      <c r="IA103" s="420"/>
      <c r="IB103" s="420"/>
      <c r="IC103" s="420"/>
      <c r="ID103" s="420"/>
      <c r="IE103" s="420"/>
      <c r="IF103" s="420"/>
      <c r="IG103" s="420"/>
      <c r="IH103" s="420"/>
      <c r="II103" s="420"/>
      <c r="IJ103" s="420"/>
      <c r="IK103" s="420"/>
      <c r="IL103" s="420"/>
      <c r="IM103" s="420"/>
      <c r="IN103" s="420"/>
      <c r="IO103" s="420"/>
      <c r="IP103" s="420"/>
      <c r="IQ103" s="420"/>
      <c r="IR103" s="420"/>
      <c r="IS103" s="420"/>
      <c r="IT103" s="420"/>
      <c r="IU103" s="420"/>
      <c r="IV103" s="420"/>
      <c r="IW103" s="420"/>
      <c r="IX103" s="420"/>
      <c r="IY103" s="420"/>
      <c r="IZ103" s="420"/>
      <c r="JA103" s="420"/>
    </row>
    <row r="104" spans="1:261" s="768" customFormat="1" ht="18" customHeight="1" x14ac:dyDescent="0.35">
      <c r="A104" s="783">
        <v>94</v>
      </c>
      <c r="B104" s="776"/>
      <c r="C104" s="422"/>
      <c r="D104" s="583" t="s">
        <v>1072</v>
      </c>
      <c r="E104" s="432"/>
      <c r="F104" s="772"/>
      <c r="G104" s="433"/>
      <c r="H104" s="1009"/>
      <c r="I104" s="1027"/>
      <c r="J104" s="1023"/>
      <c r="K104" s="1023"/>
      <c r="L104" s="1023"/>
      <c r="M104" s="1023"/>
      <c r="N104" s="769">
        <v>0</v>
      </c>
      <c r="O104" s="777">
        <f>SUM(I104:N104)</f>
        <v>0</v>
      </c>
      <c r="P104" s="773"/>
      <c r="Q104" s="420"/>
      <c r="R104" s="420"/>
      <c r="S104" s="420"/>
      <c r="T104" s="420"/>
      <c r="U104" s="420"/>
      <c r="V104" s="420"/>
      <c r="W104" s="420"/>
      <c r="X104" s="420"/>
      <c r="Y104" s="420"/>
      <c r="Z104" s="420"/>
      <c r="AA104" s="420"/>
      <c r="AB104" s="420"/>
      <c r="AC104" s="420"/>
      <c r="AD104" s="420"/>
      <c r="AE104" s="420"/>
      <c r="AF104" s="420"/>
      <c r="AG104" s="420"/>
      <c r="AH104" s="420"/>
      <c r="AI104" s="420"/>
      <c r="AJ104" s="420"/>
      <c r="AK104" s="420"/>
      <c r="AL104" s="420"/>
      <c r="AM104" s="420"/>
      <c r="AN104" s="420"/>
      <c r="AO104" s="420"/>
      <c r="AP104" s="420"/>
      <c r="AQ104" s="420"/>
      <c r="AR104" s="420"/>
      <c r="AS104" s="420"/>
      <c r="AT104" s="420"/>
      <c r="AU104" s="420"/>
      <c r="AV104" s="420"/>
      <c r="AW104" s="420"/>
      <c r="AX104" s="420"/>
      <c r="AY104" s="420"/>
      <c r="AZ104" s="420"/>
      <c r="BA104" s="420"/>
      <c r="BB104" s="420"/>
      <c r="BC104" s="420"/>
      <c r="BD104" s="420"/>
      <c r="BE104" s="420"/>
      <c r="BF104" s="420"/>
      <c r="BG104" s="420"/>
      <c r="BH104" s="420"/>
      <c r="BI104" s="420"/>
      <c r="BJ104" s="420"/>
      <c r="BK104" s="420"/>
      <c r="BL104" s="420"/>
      <c r="BM104" s="420"/>
      <c r="BN104" s="420"/>
      <c r="BO104" s="420"/>
      <c r="BP104" s="420"/>
      <c r="BQ104" s="420"/>
      <c r="BR104" s="420"/>
      <c r="BS104" s="420"/>
      <c r="BT104" s="420"/>
      <c r="BU104" s="420"/>
      <c r="BV104" s="420"/>
      <c r="BW104" s="420"/>
      <c r="BX104" s="420"/>
      <c r="BY104" s="420"/>
      <c r="BZ104" s="420"/>
      <c r="CA104" s="420"/>
      <c r="CB104" s="420"/>
      <c r="CC104" s="420"/>
      <c r="CD104" s="420"/>
      <c r="CE104" s="420"/>
      <c r="CF104" s="420"/>
      <c r="CG104" s="420"/>
      <c r="CH104" s="420"/>
      <c r="CI104" s="420"/>
      <c r="CJ104" s="420"/>
      <c r="CK104" s="420"/>
      <c r="CL104" s="420"/>
      <c r="CM104" s="420"/>
      <c r="CN104" s="420"/>
      <c r="CO104" s="420"/>
      <c r="CP104" s="420"/>
      <c r="CQ104" s="420"/>
      <c r="CR104" s="420"/>
      <c r="CS104" s="420"/>
      <c r="CT104" s="420"/>
      <c r="CU104" s="420"/>
      <c r="CV104" s="420"/>
      <c r="CW104" s="420"/>
      <c r="CX104" s="420"/>
      <c r="CY104" s="420"/>
      <c r="CZ104" s="420"/>
      <c r="DA104" s="420"/>
      <c r="DB104" s="420"/>
      <c r="DC104" s="420"/>
      <c r="DD104" s="420"/>
      <c r="DE104" s="420"/>
      <c r="DF104" s="420"/>
      <c r="DG104" s="420"/>
      <c r="DH104" s="420"/>
      <c r="DI104" s="420"/>
      <c r="DJ104" s="420"/>
      <c r="DK104" s="420"/>
      <c r="DL104" s="420"/>
      <c r="DM104" s="420"/>
      <c r="DN104" s="420"/>
      <c r="DO104" s="420"/>
      <c r="DP104" s="420"/>
      <c r="DQ104" s="420"/>
      <c r="DR104" s="420"/>
      <c r="DS104" s="420"/>
      <c r="DT104" s="420"/>
      <c r="DU104" s="420"/>
      <c r="DV104" s="420"/>
      <c r="DW104" s="420"/>
      <c r="DX104" s="420"/>
      <c r="DY104" s="420"/>
      <c r="DZ104" s="420"/>
      <c r="EA104" s="420"/>
      <c r="EB104" s="420"/>
      <c r="EC104" s="420"/>
      <c r="ED104" s="420"/>
      <c r="EE104" s="420"/>
      <c r="EF104" s="420"/>
      <c r="EG104" s="420"/>
      <c r="EH104" s="420"/>
      <c r="EI104" s="420"/>
      <c r="EJ104" s="420"/>
      <c r="EK104" s="420"/>
      <c r="EL104" s="420"/>
      <c r="EM104" s="420"/>
      <c r="EN104" s="420"/>
      <c r="EO104" s="420"/>
      <c r="EP104" s="420"/>
      <c r="EQ104" s="420"/>
      <c r="ER104" s="420"/>
      <c r="ES104" s="420"/>
      <c r="ET104" s="420"/>
      <c r="EU104" s="420"/>
      <c r="EV104" s="420"/>
      <c r="EW104" s="420"/>
      <c r="EX104" s="420"/>
      <c r="EY104" s="420"/>
      <c r="EZ104" s="420"/>
      <c r="FA104" s="420"/>
      <c r="FB104" s="420"/>
      <c r="FC104" s="420"/>
      <c r="FD104" s="420"/>
      <c r="FE104" s="420"/>
      <c r="FF104" s="420"/>
      <c r="FG104" s="420"/>
      <c r="FH104" s="420"/>
      <c r="FI104" s="420"/>
      <c r="FJ104" s="420"/>
      <c r="FK104" s="420"/>
      <c r="FL104" s="420"/>
      <c r="FM104" s="420"/>
      <c r="FN104" s="420"/>
      <c r="FO104" s="420"/>
      <c r="FP104" s="420"/>
      <c r="FQ104" s="420"/>
      <c r="FR104" s="420"/>
      <c r="FS104" s="420"/>
      <c r="FT104" s="420"/>
      <c r="FU104" s="420"/>
      <c r="FV104" s="420"/>
      <c r="FW104" s="420"/>
      <c r="FX104" s="420"/>
      <c r="FY104" s="420"/>
      <c r="FZ104" s="420"/>
      <c r="GA104" s="420"/>
      <c r="GB104" s="420"/>
      <c r="GC104" s="420"/>
      <c r="GD104" s="420"/>
      <c r="GE104" s="420"/>
      <c r="GF104" s="420"/>
      <c r="GG104" s="420"/>
      <c r="GH104" s="420"/>
      <c r="GI104" s="420"/>
      <c r="GJ104" s="420"/>
      <c r="GK104" s="420"/>
      <c r="GL104" s="420"/>
      <c r="GM104" s="420"/>
      <c r="GN104" s="420"/>
      <c r="GO104" s="420"/>
      <c r="GP104" s="420"/>
      <c r="GQ104" s="420"/>
      <c r="GR104" s="420"/>
      <c r="GS104" s="420"/>
      <c r="GT104" s="420"/>
      <c r="GU104" s="420"/>
      <c r="GV104" s="420"/>
      <c r="GW104" s="420"/>
      <c r="GX104" s="420"/>
      <c r="GY104" s="420"/>
      <c r="GZ104" s="420"/>
      <c r="HA104" s="420"/>
      <c r="HB104" s="420"/>
      <c r="HC104" s="420"/>
      <c r="HD104" s="420"/>
      <c r="HE104" s="420"/>
      <c r="HF104" s="420"/>
      <c r="HG104" s="420"/>
      <c r="HH104" s="420"/>
      <c r="HI104" s="420"/>
      <c r="HJ104" s="420"/>
      <c r="HK104" s="420"/>
      <c r="HL104" s="420"/>
      <c r="HM104" s="420"/>
      <c r="HN104" s="420"/>
      <c r="HO104" s="420"/>
      <c r="HP104" s="420"/>
      <c r="HQ104" s="420"/>
      <c r="HR104" s="420"/>
      <c r="HS104" s="420"/>
      <c r="HT104" s="420"/>
      <c r="HU104" s="420"/>
      <c r="HV104" s="420"/>
      <c r="HW104" s="420"/>
      <c r="HX104" s="420"/>
      <c r="HY104" s="420"/>
      <c r="HZ104" s="420"/>
      <c r="IA104" s="420"/>
      <c r="IB104" s="420"/>
      <c r="IC104" s="420"/>
      <c r="ID104" s="420"/>
      <c r="IE104" s="420"/>
      <c r="IF104" s="420"/>
      <c r="IG104" s="420"/>
      <c r="IH104" s="420"/>
      <c r="II104" s="420"/>
      <c r="IJ104" s="420"/>
      <c r="IK104" s="420"/>
      <c r="IL104" s="420"/>
      <c r="IM104" s="420"/>
      <c r="IN104" s="420"/>
      <c r="IO104" s="420"/>
      <c r="IP104" s="420"/>
      <c r="IQ104" s="420"/>
      <c r="IR104" s="420"/>
      <c r="IS104" s="420"/>
      <c r="IT104" s="420"/>
      <c r="IU104" s="420"/>
      <c r="IV104" s="420"/>
      <c r="IW104" s="420"/>
      <c r="IX104" s="420"/>
      <c r="IY104" s="420"/>
      <c r="IZ104" s="420"/>
      <c r="JA104" s="420"/>
    </row>
    <row r="105" spans="1:261" s="768" customFormat="1" ht="18" customHeight="1" x14ac:dyDescent="0.35">
      <c r="A105" s="783">
        <v>95</v>
      </c>
      <c r="B105" s="776"/>
      <c r="C105" s="422"/>
      <c r="D105" s="1338" t="s">
        <v>986</v>
      </c>
      <c r="E105" s="432"/>
      <c r="F105" s="772"/>
      <c r="G105" s="433"/>
      <c r="H105" s="1009"/>
      <c r="I105" s="1005"/>
      <c r="J105" s="769"/>
      <c r="K105" s="769"/>
      <c r="L105" s="769"/>
      <c r="M105" s="769"/>
      <c r="N105" s="1810"/>
      <c r="O105" s="1623">
        <f>SUM(I105:N105)</f>
        <v>0</v>
      </c>
      <c r="P105" s="773"/>
      <c r="Q105" s="420"/>
      <c r="R105" s="420"/>
      <c r="S105" s="420"/>
      <c r="T105" s="420"/>
      <c r="U105" s="420"/>
      <c r="V105" s="420"/>
      <c r="W105" s="420"/>
      <c r="X105" s="420"/>
      <c r="Y105" s="420"/>
      <c r="Z105" s="420"/>
      <c r="AA105" s="420"/>
      <c r="AB105" s="420"/>
      <c r="AC105" s="420"/>
      <c r="AD105" s="420"/>
      <c r="AE105" s="420"/>
      <c r="AF105" s="420"/>
      <c r="AG105" s="420"/>
      <c r="AH105" s="420"/>
      <c r="AI105" s="420"/>
      <c r="AJ105" s="420"/>
      <c r="AK105" s="420"/>
      <c r="AL105" s="420"/>
      <c r="AM105" s="420"/>
      <c r="AN105" s="420"/>
      <c r="AO105" s="420"/>
      <c r="AP105" s="420"/>
      <c r="AQ105" s="420"/>
      <c r="AR105" s="420"/>
      <c r="AS105" s="420"/>
      <c r="AT105" s="420"/>
      <c r="AU105" s="420"/>
      <c r="AV105" s="420"/>
      <c r="AW105" s="420"/>
      <c r="AX105" s="420"/>
      <c r="AY105" s="420"/>
      <c r="AZ105" s="420"/>
      <c r="BA105" s="420"/>
      <c r="BB105" s="420"/>
      <c r="BC105" s="420"/>
      <c r="BD105" s="420"/>
      <c r="BE105" s="420"/>
      <c r="BF105" s="420"/>
      <c r="BG105" s="420"/>
      <c r="BH105" s="420"/>
      <c r="BI105" s="420"/>
      <c r="BJ105" s="420"/>
      <c r="BK105" s="420"/>
      <c r="BL105" s="420"/>
      <c r="BM105" s="420"/>
      <c r="BN105" s="420"/>
      <c r="BO105" s="420"/>
      <c r="BP105" s="420"/>
      <c r="BQ105" s="420"/>
      <c r="BR105" s="420"/>
      <c r="BS105" s="420"/>
      <c r="BT105" s="420"/>
      <c r="BU105" s="420"/>
      <c r="BV105" s="420"/>
      <c r="BW105" s="420"/>
      <c r="BX105" s="420"/>
      <c r="BY105" s="420"/>
      <c r="BZ105" s="420"/>
      <c r="CA105" s="420"/>
      <c r="CB105" s="420"/>
      <c r="CC105" s="420"/>
      <c r="CD105" s="420"/>
      <c r="CE105" s="420"/>
      <c r="CF105" s="420"/>
      <c r="CG105" s="420"/>
      <c r="CH105" s="420"/>
      <c r="CI105" s="420"/>
      <c r="CJ105" s="420"/>
      <c r="CK105" s="420"/>
      <c r="CL105" s="420"/>
      <c r="CM105" s="420"/>
      <c r="CN105" s="420"/>
      <c r="CO105" s="420"/>
      <c r="CP105" s="420"/>
      <c r="CQ105" s="420"/>
      <c r="CR105" s="420"/>
      <c r="CS105" s="420"/>
      <c r="CT105" s="420"/>
      <c r="CU105" s="420"/>
      <c r="CV105" s="420"/>
      <c r="CW105" s="420"/>
      <c r="CX105" s="420"/>
      <c r="CY105" s="420"/>
      <c r="CZ105" s="420"/>
      <c r="DA105" s="420"/>
      <c r="DB105" s="420"/>
      <c r="DC105" s="420"/>
      <c r="DD105" s="420"/>
      <c r="DE105" s="420"/>
      <c r="DF105" s="420"/>
      <c r="DG105" s="420"/>
      <c r="DH105" s="420"/>
      <c r="DI105" s="420"/>
      <c r="DJ105" s="420"/>
      <c r="DK105" s="420"/>
      <c r="DL105" s="420"/>
      <c r="DM105" s="420"/>
      <c r="DN105" s="420"/>
      <c r="DO105" s="420"/>
      <c r="DP105" s="420"/>
      <c r="DQ105" s="420"/>
      <c r="DR105" s="420"/>
      <c r="DS105" s="420"/>
      <c r="DT105" s="420"/>
      <c r="DU105" s="420"/>
      <c r="DV105" s="420"/>
      <c r="DW105" s="420"/>
      <c r="DX105" s="420"/>
      <c r="DY105" s="420"/>
      <c r="DZ105" s="420"/>
      <c r="EA105" s="420"/>
      <c r="EB105" s="420"/>
      <c r="EC105" s="420"/>
      <c r="ED105" s="420"/>
      <c r="EE105" s="420"/>
      <c r="EF105" s="420"/>
      <c r="EG105" s="420"/>
      <c r="EH105" s="420"/>
      <c r="EI105" s="420"/>
      <c r="EJ105" s="420"/>
      <c r="EK105" s="420"/>
      <c r="EL105" s="420"/>
      <c r="EM105" s="420"/>
      <c r="EN105" s="420"/>
      <c r="EO105" s="420"/>
      <c r="EP105" s="420"/>
      <c r="EQ105" s="420"/>
      <c r="ER105" s="420"/>
      <c r="ES105" s="420"/>
      <c r="ET105" s="420"/>
      <c r="EU105" s="420"/>
      <c r="EV105" s="420"/>
      <c r="EW105" s="420"/>
      <c r="EX105" s="420"/>
      <c r="EY105" s="420"/>
      <c r="EZ105" s="420"/>
      <c r="FA105" s="420"/>
      <c r="FB105" s="420"/>
      <c r="FC105" s="420"/>
      <c r="FD105" s="420"/>
      <c r="FE105" s="420"/>
      <c r="FF105" s="420"/>
      <c r="FG105" s="420"/>
      <c r="FH105" s="420"/>
      <c r="FI105" s="420"/>
      <c r="FJ105" s="420"/>
      <c r="FK105" s="420"/>
      <c r="FL105" s="420"/>
      <c r="FM105" s="420"/>
      <c r="FN105" s="420"/>
      <c r="FO105" s="420"/>
      <c r="FP105" s="420"/>
      <c r="FQ105" s="420"/>
      <c r="FR105" s="420"/>
      <c r="FS105" s="420"/>
      <c r="FT105" s="420"/>
      <c r="FU105" s="420"/>
      <c r="FV105" s="420"/>
      <c r="FW105" s="420"/>
      <c r="FX105" s="420"/>
      <c r="FY105" s="420"/>
      <c r="FZ105" s="420"/>
      <c r="GA105" s="420"/>
      <c r="GB105" s="420"/>
      <c r="GC105" s="420"/>
      <c r="GD105" s="420"/>
      <c r="GE105" s="420"/>
      <c r="GF105" s="420"/>
      <c r="GG105" s="420"/>
      <c r="GH105" s="420"/>
      <c r="GI105" s="420"/>
      <c r="GJ105" s="420"/>
      <c r="GK105" s="420"/>
      <c r="GL105" s="420"/>
      <c r="GM105" s="420"/>
      <c r="GN105" s="420"/>
      <c r="GO105" s="420"/>
      <c r="GP105" s="420"/>
      <c r="GQ105" s="420"/>
      <c r="GR105" s="420"/>
      <c r="GS105" s="420"/>
      <c r="GT105" s="420"/>
      <c r="GU105" s="420"/>
      <c r="GV105" s="420"/>
      <c r="GW105" s="420"/>
      <c r="GX105" s="420"/>
      <c r="GY105" s="420"/>
      <c r="GZ105" s="420"/>
      <c r="HA105" s="420"/>
      <c r="HB105" s="420"/>
      <c r="HC105" s="420"/>
      <c r="HD105" s="420"/>
      <c r="HE105" s="420"/>
      <c r="HF105" s="420"/>
      <c r="HG105" s="420"/>
      <c r="HH105" s="420"/>
      <c r="HI105" s="420"/>
      <c r="HJ105" s="420"/>
      <c r="HK105" s="420"/>
      <c r="HL105" s="420"/>
      <c r="HM105" s="420"/>
      <c r="HN105" s="420"/>
      <c r="HO105" s="420"/>
      <c r="HP105" s="420"/>
      <c r="HQ105" s="420"/>
      <c r="HR105" s="420"/>
      <c r="HS105" s="420"/>
      <c r="HT105" s="420"/>
      <c r="HU105" s="420"/>
      <c r="HV105" s="420"/>
      <c r="HW105" s="420"/>
      <c r="HX105" s="420"/>
      <c r="HY105" s="420"/>
      <c r="HZ105" s="420"/>
      <c r="IA105" s="420"/>
      <c r="IB105" s="420"/>
      <c r="IC105" s="420"/>
      <c r="ID105" s="420"/>
      <c r="IE105" s="420"/>
      <c r="IF105" s="420"/>
      <c r="IG105" s="420"/>
      <c r="IH105" s="420"/>
      <c r="II105" s="420"/>
      <c r="IJ105" s="420"/>
      <c r="IK105" s="420"/>
      <c r="IL105" s="420"/>
      <c r="IM105" s="420"/>
      <c r="IN105" s="420"/>
      <c r="IO105" s="420"/>
      <c r="IP105" s="420"/>
      <c r="IQ105" s="420"/>
      <c r="IR105" s="420"/>
      <c r="IS105" s="420"/>
      <c r="IT105" s="420"/>
      <c r="IU105" s="420"/>
      <c r="IV105" s="420"/>
      <c r="IW105" s="420"/>
      <c r="IX105" s="420"/>
      <c r="IY105" s="420"/>
      <c r="IZ105" s="420"/>
      <c r="JA105" s="420"/>
    </row>
    <row r="106" spans="1:261" s="768" customFormat="1" ht="18" customHeight="1" x14ac:dyDescent="0.35">
      <c r="A106" s="783">
        <v>96</v>
      </c>
      <c r="B106" s="776"/>
      <c r="C106" s="422"/>
      <c r="D106" s="583" t="s">
        <v>1151</v>
      </c>
      <c r="E106" s="432"/>
      <c r="F106" s="772"/>
      <c r="G106" s="433"/>
      <c r="H106" s="1009"/>
      <c r="I106" s="1005"/>
      <c r="J106" s="769"/>
      <c r="K106" s="769"/>
      <c r="L106" s="769"/>
      <c r="M106" s="769"/>
      <c r="N106" s="769">
        <f>SUM(N104:N105)</f>
        <v>0</v>
      </c>
      <c r="O106" s="777">
        <f>SUM(I106:N106)</f>
        <v>0</v>
      </c>
      <c r="P106" s="773"/>
      <c r="Q106" s="420"/>
      <c r="R106" s="420"/>
      <c r="S106" s="420"/>
      <c r="T106" s="420"/>
      <c r="U106" s="420"/>
      <c r="V106" s="420"/>
      <c r="W106" s="420"/>
      <c r="X106" s="420"/>
      <c r="Y106" s="420"/>
      <c r="Z106" s="420"/>
      <c r="AA106" s="420"/>
      <c r="AB106" s="420"/>
      <c r="AC106" s="420"/>
      <c r="AD106" s="420"/>
      <c r="AE106" s="420"/>
      <c r="AF106" s="420"/>
      <c r="AG106" s="420"/>
      <c r="AH106" s="420"/>
      <c r="AI106" s="420"/>
      <c r="AJ106" s="420"/>
      <c r="AK106" s="420"/>
      <c r="AL106" s="420"/>
      <c r="AM106" s="420"/>
      <c r="AN106" s="420"/>
      <c r="AO106" s="420"/>
      <c r="AP106" s="420"/>
      <c r="AQ106" s="420"/>
      <c r="AR106" s="420"/>
      <c r="AS106" s="420"/>
      <c r="AT106" s="420"/>
      <c r="AU106" s="420"/>
      <c r="AV106" s="420"/>
      <c r="AW106" s="420"/>
      <c r="AX106" s="420"/>
      <c r="AY106" s="420"/>
      <c r="AZ106" s="420"/>
      <c r="BA106" s="420"/>
      <c r="BB106" s="420"/>
      <c r="BC106" s="420"/>
      <c r="BD106" s="420"/>
      <c r="BE106" s="420"/>
      <c r="BF106" s="420"/>
      <c r="BG106" s="420"/>
      <c r="BH106" s="420"/>
      <c r="BI106" s="420"/>
      <c r="BJ106" s="420"/>
      <c r="BK106" s="420"/>
      <c r="BL106" s="420"/>
      <c r="BM106" s="420"/>
      <c r="BN106" s="420"/>
      <c r="BO106" s="420"/>
      <c r="BP106" s="420"/>
      <c r="BQ106" s="420"/>
      <c r="BR106" s="420"/>
      <c r="BS106" s="420"/>
      <c r="BT106" s="420"/>
      <c r="BU106" s="420"/>
      <c r="BV106" s="420"/>
      <c r="BW106" s="420"/>
      <c r="BX106" s="420"/>
      <c r="BY106" s="420"/>
      <c r="BZ106" s="420"/>
      <c r="CA106" s="420"/>
      <c r="CB106" s="420"/>
      <c r="CC106" s="420"/>
      <c r="CD106" s="420"/>
      <c r="CE106" s="420"/>
      <c r="CF106" s="420"/>
      <c r="CG106" s="420"/>
      <c r="CH106" s="420"/>
      <c r="CI106" s="420"/>
      <c r="CJ106" s="420"/>
      <c r="CK106" s="420"/>
      <c r="CL106" s="420"/>
      <c r="CM106" s="420"/>
      <c r="CN106" s="420"/>
      <c r="CO106" s="420"/>
      <c r="CP106" s="420"/>
      <c r="CQ106" s="420"/>
      <c r="CR106" s="420"/>
      <c r="CS106" s="420"/>
      <c r="CT106" s="420"/>
      <c r="CU106" s="420"/>
      <c r="CV106" s="420"/>
      <c r="CW106" s="420"/>
      <c r="CX106" s="420"/>
      <c r="CY106" s="420"/>
      <c r="CZ106" s="420"/>
      <c r="DA106" s="420"/>
      <c r="DB106" s="420"/>
      <c r="DC106" s="420"/>
      <c r="DD106" s="420"/>
      <c r="DE106" s="420"/>
      <c r="DF106" s="420"/>
      <c r="DG106" s="420"/>
      <c r="DH106" s="420"/>
      <c r="DI106" s="420"/>
      <c r="DJ106" s="420"/>
      <c r="DK106" s="420"/>
      <c r="DL106" s="420"/>
      <c r="DM106" s="420"/>
      <c r="DN106" s="420"/>
      <c r="DO106" s="420"/>
      <c r="DP106" s="420"/>
      <c r="DQ106" s="420"/>
      <c r="DR106" s="420"/>
      <c r="DS106" s="420"/>
      <c r="DT106" s="420"/>
      <c r="DU106" s="420"/>
      <c r="DV106" s="420"/>
      <c r="DW106" s="420"/>
      <c r="DX106" s="420"/>
      <c r="DY106" s="420"/>
      <c r="DZ106" s="420"/>
      <c r="EA106" s="420"/>
      <c r="EB106" s="420"/>
      <c r="EC106" s="420"/>
      <c r="ED106" s="420"/>
      <c r="EE106" s="420"/>
      <c r="EF106" s="420"/>
      <c r="EG106" s="420"/>
      <c r="EH106" s="420"/>
      <c r="EI106" s="420"/>
      <c r="EJ106" s="420"/>
      <c r="EK106" s="420"/>
      <c r="EL106" s="420"/>
      <c r="EM106" s="420"/>
      <c r="EN106" s="420"/>
      <c r="EO106" s="420"/>
      <c r="EP106" s="420"/>
      <c r="EQ106" s="420"/>
      <c r="ER106" s="420"/>
      <c r="ES106" s="420"/>
      <c r="ET106" s="420"/>
      <c r="EU106" s="420"/>
      <c r="EV106" s="420"/>
      <c r="EW106" s="420"/>
      <c r="EX106" s="420"/>
      <c r="EY106" s="420"/>
      <c r="EZ106" s="420"/>
      <c r="FA106" s="420"/>
      <c r="FB106" s="420"/>
      <c r="FC106" s="420"/>
      <c r="FD106" s="420"/>
      <c r="FE106" s="420"/>
      <c r="FF106" s="420"/>
      <c r="FG106" s="420"/>
      <c r="FH106" s="420"/>
      <c r="FI106" s="420"/>
      <c r="FJ106" s="420"/>
      <c r="FK106" s="420"/>
      <c r="FL106" s="420"/>
      <c r="FM106" s="420"/>
      <c r="FN106" s="420"/>
      <c r="FO106" s="420"/>
      <c r="FP106" s="420"/>
      <c r="FQ106" s="420"/>
      <c r="FR106" s="420"/>
      <c r="FS106" s="420"/>
      <c r="FT106" s="420"/>
      <c r="FU106" s="420"/>
      <c r="FV106" s="420"/>
      <c r="FW106" s="420"/>
      <c r="FX106" s="420"/>
      <c r="FY106" s="420"/>
      <c r="FZ106" s="420"/>
      <c r="GA106" s="420"/>
      <c r="GB106" s="420"/>
      <c r="GC106" s="420"/>
      <c r="GD106" s="420"/>
      <c r="GE106" s="420"/>
      <c r="GF106" s="420"/>
      <c r="GG106" s="420"/>
      <c r="GH106" s="420"/>
      <c r="GI106" s="420"/>
      <c r="GJ106" s="420"/>
      <c r="GK106" s="420"/>
      <c r="GL106" s="420"/>
      <c r="GM106" s="420"/>
      <c r="GN106" s="420"/>
      <c r="GO106" s="420"/>
      <c r="GP106" s="420"/>
      <c r="GQ106" s="420"/>
      <c r="GR106" s="420"/>
      <c r="GS106" s="420"/>
      <c r="GT106" s="420"/>
      <c r="GU106" s="420"/>
      <c r="GV106" s="420"/>
      <c r="GW106" s="420"/>
      <c r="GX106" s="420"/>
      <c r="GY106" s="420"/>
      <c r="GZ106" s="420"/>
      <c r="HA106" s="420"/>
      <c r="HB106" s="420"/>
      <c r="HC106" s="420"/>
      <c r="HD106" s="420"/>
      <c r="HE106" s="420"/>
      <c r="HF106" s="420"/>
      <c r="HG106" s="420"/>
      <c r="HH106" s="420"/>
      <c r="HI106" s="420"/>
      <c r="HJ106" s="420"/>
      <c r="HK106" s="420"/>
      <c r="HL106" s="420"/>
      <c r="HM106" s="420"/>
      <c r="HN106" s="420"/>
      <c r="HO106" s="420"/>
      <c r="HP106" s="420"/>
      <c r="HQ106" s="420"/>
      <c r="HR106" s="420"/>
      <c r="HS106" s="420"/>
      <c r="HT106" s="420"/>
      <c r="HU106" s="420"/>
      <c r="HV106" s="420"/>
      <c r="HW106" s="420"/>
      <c r="HX106" s="420"/>
      <c r="HY106" s="420"/>
      <c r="HZ106" s="420"/>
      <c r="IA106" s="420"/>
      <c r="IB106" s="420"/>
      <c r="IC106" s="420"/>
      <c r="ID106" s="420"/>
      <c r="IE106" s="420"/>
      <c r="IF106" s="420"/>
      <c r="IG106" s="420"/>
      <c r="IH106" s="420"/>
      <c r="II106" s="420"/>
      <c r="IJ106" s="420"/>
      <c r="IK106" s="420"/>
      <c r="IL106" s="420"/>
      <c r="IM106" s="420"/>
      <c r="IN106" s="420"/>
      <c r="IO106" s="420"/>
      <c r="IP106" s="420"/>
      <c r="IQ106" s="420"/>
      <c r="IR106" s="420"/>
      <c r="IS106" s="420"/>
      <c r="IT106" s="420"/>
      <c r="IU106" s="420"/>
      <c r="IV106" s="420"/>
      <c r="IW106" s="420"/>
      <c r="IX106" s="420"/>
      <c r="IY106" s="420"/>
      <c r="IZ106" s="420"/>
      <c r="JA106" s="420"/>
    </row>
    <row r="107" spans="1:261" ht="22.5" customHeight="1" x14ac:dyDescent="0.35">
      <c r="A107" s="783">
        <v>97</v>
      </c>
      <c r="B107" s="625"/>
      <c r="C107" s="466">
        <v>20</v>
      </c>
      <c r="D107" s="779" t="s">
        <v>646</v>
      </c>
      <c r="E107" s="432"/>
      <c r="F107" s="772"/>
      <c r="G107" s="433"/>
      <c r="H107" s="1009" t="s">
        <v>24</v>
      </c>
      <c r="I107" s="1027"/>
      <c r="J107" s="1023"/>
      <c r="K107" s="1023"/>
      <c r="L107" s="1023"/>
      <c r="M107" s="1023"/>
      <c r="N107" s="1023"/>
      <c r="O107" s="992"/>
      <c r="P107" s="773"/>
    </row>
    <row r="108" spans="1:261" s="768" customFormat="1" ht="18" customHeight="1" x14ac:dyDescent="0.35">
      <c r="A108" s="783">
        <v>98</v>
      </c>
      <c r="B108" s="776"/>
      <c r="C108" s="466"/>
      <c r="D108" s="1002" t="s">
        <v>311</v>
      </c>
      <c r="E108" s="432">
        <f>F108+G108+O111+P111+22278</f>
        <v>1662746</v>
      </c>
      <c r="F108" s="772">
        <v>16599</v>
      </c>
      <c r="G108" s="433">
        <f>63156+89+16537</f>
        <v>79782</v>
      </c>
      <c r="H108" s="1009"/>
      <c r="I108" s="1027"/>
      <c r="J108" s="1023"/>
      <c r="K108" s="1023">
        <v>55170</v>
      </c>
      <c r="L108" s="1023"/>
      <c r="M108" s="1023">
        <f>76000+1430561</f>
        <v>1506561</v>
      </c>
      <c r="N108" s="1023"/>
      <c r="O108" s="992">
        <f>SUM(I108:N108)</f>
        <v>1561731</v>
      </c>
      <c r="P108" s="773"/>
      <c r="Q108" s="420"/>
      <c r="R108" s="420"/>
      <c r="S108" s="420"/>
      <c r="T108" s="420"/>
      <c r="U108" s="420"/>
      <c r="V108" s="420"/>
      <c r="W108" s="420"/>
      <c r="X108" s="420"/>
      <c r="Y108" s="420"/>
      <c r="Z108" s="420"/>
      <c r="AA108" s="420"/>
      <c r="AB108" s="420"/>
      <c r="AC108" s="420"/>
      <c r="AD108" s="420"/>
      <c r="AE108" s="420"/>
      <c r="AF108" s="420"/>
      <c r="AG108" s="420"/>
      <c r="AH108" s="420"/>
      <c r="AI108" s="420"/>
      <c r="AJ108" s="420"/>
      <c r="AK108" s="420"/>
      <c r="AL108" s="420"/>
      <c r="AM108" s="420"/>
      <c r="AN108" s="420"/>
      <c r="AO108" s="420"/>
      <c r="AP108" s="420"/>
      <c r="AQ108" s="420"/>
      <c r="AR108" s="420"/>
      <c r="AS108" s="420"/>
      <c r="AT108" s="420"/>
      <c r="AU108" s="420"/>
      <c r="AV108" s="420"/>
      <c r="AW108" s="420"/>
      <c r="AX108" s="420"/>
      <c r="AY108" s="420"/>
      <c r="AZ108" s="420"/>
      <c r="BA108" s="420"/>
      <c r="BB108" s="420"/>
      <c r="BC108" s="420"/>
      <c r="BD108" s="420"/>
      <c r="BE108" s="420"/>
      <c r="BF108" s="420"/>
      <c r="BG108" s="420"/>
      <c r="BH108" s="420"/>
      <c r="BI108" s="420"/>
      <c r="BJ108" s="420"/>
      <c r="BK108" s="420"/>
      <c r="BL108" s="420"/>
      <c r="BM108" s="420"/>
      <c r="BN108" s="420"/>
      <c r="BO108" s="420"/>
      <c r="BP108" s="420"/>
      <c r="BQ108" s="420"/>
      <c r="BR108" s="420"/>
      <c r="BS108" s="420"/>
      <c r="BT108" s="420"/>
      <c r="BU108" s="420"/>
      <c r="BV108" s="420"/>
      <c r="BW108" s="420"/>
      <c r="BX108" s="420"/>
      <c r="BY108" s="420"/>
      <c r="BZ108" s="420"/>
      <c r="CA108" s="420"/>
      <c r="CB108" s="420"/>
      <c r="CC108" s="420"/>
      <c r="CD108" s="420"/>
      <c r="CE108" s="420"/>
      <c r="CF108" s="420"/>
      <c r="CG108" s="420"/>
      <c r="CH108" s="420"/>
      <c r="CI108" s="420"/>
      <c r="CJ108" s="420"/>
      <c r="CK108" s="420"/>
      <c r="CL108" s="420"/>
      <c r="CM108" s="420"/>
      <c r="CN108" s="420"/>
      <c r="CO108" s="420"/>
      <c r="CP108" s="420"/>
      <c r="CQ108" s="420"/>
      <c r="CR108" s="420"/>
      <c r="CS108" s="420"/>
      <c r="CT108" s="420"/>
      <c r="CU108" s="420"/>
      <c r="CV108" s="420"/>
      <c r="CW108" s="420"/>
      <c r="CX108" s="420"/>
      <c r="CY108" s="420"/>
      <c r="CZ108" s="420"/>
      <c r="DA108" s="420"/>
      <c r="DB108" s="420"/>
      <c r="DC108" s="420"/>
      <c r="DD108" s="420"/>
      <c r="DE108" s="420"/>
      <c r="DF108" s="420"/>
      <c r="DG108" s="420"/>
      <c r="DH108" s="420"/>
      <c r="DI108" s="420"/>
      <c r="DJ108" s="420"/>
      <c r="DK108" s="420"/>
      <c r="DL108" s="420"/>
      <c r="DM108" s="420"/>
      <c r="DN108" s="420"/>
      <c r="DO108" s="420"/>
      <c r="DP108" s="420"/>
      <c r="DQ108" s="420"/>
      <c r="DR108" s="420"/>
      <c r="DS108" s="420"/>
      <c r="DT108" s="420"/>
      <c r="DU108" s="420"/>
      <c r="DV108" s="420"/>
      <c r="DW108" s="420"/>
      <c r="DX108" s="420"/>
      <c r="DY108" s="420"/>
      <c r="DZ108" s="420"/>
      <c r="EA108" s="420"/>
      <c r="EB108" s="420"/>
      <c r="EC108" s="420"/>
      <c r="ED108" s="420"/>
      <c r="EE108" s="420"/>
      <c r="EF108" s="420"/>
      <c r="EG108" s="420"/>
      <c r="EH108" s="420"/>
      <c r="EI108" s="420"/>
      <c r="EJ108" s="420"/>
      <c r="EK108" s="420"/>
      <c r="EL108" s="420"/>
      <c r="EM108" s="420"/>
      <c r="EN108" s="420"/>
      <c r="EO108" s="420"/>
      <c r="EP108" s="420"/>
      <c r="EQ108" s="420"/>
      <c r="ER108" s="420"/>
      <c r="ES108" s="420"/>
      <c r="ET108" s="420"/>
      <c r="EU108" s="420"/>
      <c r="EV108" s="420"/>
      <c r="EW108" s="420"/>
      <c r="EX108" s="420"/>
      <c r="EY108" s="420"/>
      <c r="EZ108" s="420"/>
      <c r="FA108" s="420"/>
      <c r="FB108" s="420"/>
      <c r="FC108" s="420"/>
      <c r="FD108" s="420"/>
      <c r="FE108" s="420"/>
      <c r="FF108" s="420"/>
      <c r="FG108" s="420"/>
      <c r="FH108" s="420"/>
      <c r="FI108" s="420"/>
      <c r="FJ108" s="420"/>
      <c r="FK108" s="420"/>
      <c r="FL108" s="420"/>
      <c r="FM108" s="420"/>
      <c r="FN108" s="420"/>
      <c r="FO108" s="420"/>
      <c r="FP108" s="420"/>
      <c r="FQ108" s="420"/>
      <c r="FR108" s="420"/>
      <c r="FS108" s="420"/>
      <c r="FT108" s="420"/>
      <c r="FU108" s="420"/>
      <c r="FV108" s="420"/>
      <c r="FW108" s="420"/>
      <c r="FX108" s="420"/>
      <c r="FY108" s="420"/>
      <c r="FZ108" s="420"/>
      <c r="GA108" s="420"/>
      <c r="GB108" s="420"/>
      <c r="GC108" s="420"/>
      <c r="GD108" s="420"/>
      <c r="GE108" s="420"/>
      <c r="GF108" s="420"/>
      <c r="GG108" s="420"/>
      <c r="GH108" s="420"/>
      <c r="GI108" s="420"/>
      <c r="GJ108" s="420"/>
      <c r="GK108" s="420"/>
      <c r="GL108" s="420"/>
      <c r="GM108" s="420"/>
      <c r="GN108" s="420"/>
      <c r="GO108" s="420"/>
      <c r="GP108" s="420"/>
      <c r="GQ108" s="420"/>
      <c r="GR108" s="420"/>
      <c r="GS108" s="420"/>
      <c r="GT108" s="420"/>
      <c r="GU108" s="420"/>
      <c r="GV108" s="420"/>
      <c r="GW108" s="420"/>
      <c r="GX108" s="420"/>
      <c r="GY108" s="420"/>
      <c r="GZ108" s="420"/>
      <c r="HA108" s="420"/>
      <c r="HB108" s="420"/>
      <c r="HC108" s="420"/>
      <c r="HD108" s="420"/>
      <c r="HE108" s="420"/>
      <c r="HF108" s="420"/>
      <c r="HG108" s="420"/>
      <c r="HH108" s="420"/>
      <c r="HI108" s="420"/>
      <c r="HJ108" s="420"/>
      <c r="HK108" s="420"/>
      <c r="HL108" s="420"/>
      <c r="HM108" s="420"/>
      <c r="HN108" s="420"/>
      <c r="HO108" s="420"/>
      <c r="HP108" s="420"/>
      <c r="HQ108" s="420"/>
      <c r="HR108" s="420"/>
      <c r="HS108" s="420"/>
      <c r="HT108" s="420"/>
      <c r="HU108" s="420"/>
      <c r="HV108" s="420"/>
      <c r="HW108" s="420"/>
      <c r="HX108" s="420"/>
      <c r="HY108" s="420"/>
      <c r="HZ108" s="420"/>
      <c r="IA108" s="420"/>
      <c r="IB108" s="420"/>
      <c r="IC108" s="420"/>
      <c r="ID108" s="420"/>
      <c r="IE108" s="420"/>
      <c r="IF108" s="420"/>
      <c r="IG108" s="420"/>
      <c r="IH108" s="420"/>
      <c r="II108" s="420"/>
      <c r="IJ108" s="420"/>
      <c r="IK108" s="420"/>
      <c r="IL108" s="420"/>
      <c r="IM108" s="420"/>
      <c r="IN108" s="420"/>
      <c r="IO108" s="420"/>
      <c r="IP108" s="420"/>
      <c r="IQ108" s="420"/>
      <c r="IR108" s="420"/>
      <c r="IS108" s="420"/>
      <c r="IT108" s="420"/>
      <c r="IU108" s="420"/>
      <c r="IV108" s="420"/>
      <c r="IW108" s="420"/>
      <c r="IX108" s="420"/>
      <c r="IY108" s="420"/>
      <c r="IZ108" s="420"/>
      <c r="JA108" s="420"/>
    </row>
    <row r="109" spans="1:261" s="768" customFormat="1" ht="18" customHeight="1" x14ac:dyDescent="0.35">
      <c r="A109" s="783">
        <v>99</v>
      </c>
      <c r="B109" s="776"/>
      <c r="C109" s="466"/>
      <c r="D109" s="583" t="s">
        <v>1072</v>
      </c>
      <c r="E109" s="432"/>
      <c r="F109" s="772"/>
      <c r="G109" s="433"/>
      <c r="H109" s="1009"/>
      <c r="I109" s="1027"/>
      <c r="J109" s="1023"/>
      <c r="K109" s="769">
        <v>87</v>
      </c>
      <c r="L109" s="769">
        <v>94075</v>
      </c>
      <c r="M109" s="769">
        <v>0</v>
      </c>
      <c r="N109" s="1023">
        <v>1449925</v>
      </c>
      <c r="O109" s="777">
        <f>SUM(I109:N109)</f>
        <v>1544087</v>
      </c>
      <c r="P109" s="773"/>
      <c r="Q109" s="420"/>
      <c r="R109" s="420"/>
      <c r="S109" s="420"/>
      <c r="T109" s="420"/>
      <c r="U109" s="420"/>
      <c r="V109" s="420"/>
      <c r="W109" s="420"/>
      <c r="X109" s="420"/>
      <c r="Y109" s="420"/>
      <c r="Z109" s="420"/>
      <c r="AA109" s="420"/>
      <c r="AB109" s="420"/>
      <c r="AC109" s="420"/>
      <c r="AD109" s="420"/>
      <c r="AE109" s="420"/>
      <c r="AF109" s="420"/>
      <c r="AG109" s="420"/>
      <c r="AH109" s="420"/>
      <c r="AI109" s="420"/>
      <c r="AJ109" s="420"/>
      <c r="AK109" s="420"/>
      <c r="AL109" s="420"/>
      <c r="AM109" s="420"/>
      <c r="AN109" s="420"/>
      <c r="AO109" s="420"/>
      <c r="AP109" s="420"/>
      <c r="AQ109" s="420"/>
      <c r="AR109" s="420"/>
      <c r="AS109" s="420"/>
      <c r="AT109" s="420"/>
      <c r="AU109" s="420"/>
      <c r="AV109" s="420"/>
      <c r="AW109" s="420"/>
      <c r="AX109" s="420"/>
      <c r="AY109" s="420"/>
      <c r="AZ109" s="420"/>
      <c r="BA109" s="420"/>
      <c r="BB109" s="420"/>
      <c r="BC109" s="420"/>
      <c r="BD109" s="420"/>
      <c r="BE109" s="420"/>
      <c r="BF109" s="420"/>
      <c r="BG109" s="420"/>
      <c r="BH109" s="420"/>
      <c r="BI109" s="420"/>
      <c r="BJ109" s="420"/>
      <c r="BK109" s="420"/>
      <c r="BL109" s="420"/>
      <c r="BM109" s="420"/>
      <c r="BN109" s="420"/>
      <c r="BO109" s="420"/>
      <c r="BP109" s="420"/>
      <c r="BQ109" s="420"/>
      <c r="BR109" s="420"/>
      <c r="BS109" s="420"/>
      <c r="BT109" s="420"/>
      <c r="BU109" s="420"/>
      <c r="BV109" s="420"/>
      <c r="BW109" s="420"/>
      <c r="BX109" s="420"/>
      <c r="BY109" s="420"/>
      <c r="BZ109" s="420"/>
      <c r="CA109" s="420"/>
      <c r="CB109" s="420"/>
      <c r="CC109" s="420"/>
      <c r="CD109" s="420"/>
      <c r="CE109" s="420"/>
      <c r="CF109" s="420"/>
      <c r="CG109" s="420"/>
      <c r="CH109" s="420"/>
      <c r="CI109" s="420"/>
      <c r="CJ109" s="420"/>
      <c r="CK109" s="420"/>
      <c r="CL109" s="420"/>
      <c r="CM109" s="420"/>
      <c r="CN109" s="420"/>
      <c r="CO109" s="420"/>
      <c r="CP109" s="420"/>
      <c r="CQ109" s="420"/>
      <c r="CR109" s="420"/>
      <c r="CS109" s="420"/>
      <c r="CT109" s="420"/>
      <c r="CU109" s="420"/>
      <c r="CV109" s="420"/>
      <c r="CW109" s="420"/>
      <c r="CX109" s="420"/>
      <c r="CY109" s="420"/>
      <c r="CZ109" s="420"/>
      <c r="DA109" s="420"/>
      <c r="DB109" s="420"/>
      <c r="DC109" s="420"/>
      <c r="DD109" s="420"/>
      <c r="DE109" s="420"/>
      <c r="DF109" s="420"/>
      <c r="DG109" s="420"/>
      <c r="DH109" s="420"/>
      <c r="DI109" s="420"/>
      <c r="DJ109" s="420"/>
      <c r="DK109" s="420"/>
      <c r="DL109" s="420"/>
      <c r="DM109" s="420"/>
      <c r="DN109" s="420"/>
      <c r="DO109" s="420"/>
      <c r="DP109" s="420"/>
      <c r="DQ109" s="420"/>
      <c r="DR109" s="420"/>
      <c r="DS109" s="420"/>
      <c r="DT109" s="420"/>
      <c r="DU109" s="420"/>
      <c r="DV109" s="420"/>
      <c r="DW109" s="420"/>
      <c r="DX109" s="420"/>
      <c r="DY109" s="420"/>
      <c r="DZ109" s="420"/>
      <c r="EA109" s="420"/>
      <c r="EB109" s="420"/>
      <c r="EC109" s="420"/>
      <c r="ED109" s="420"/>
      <c r="EE109" s="420"/>
      <c r="EF109" s="420"/>
      <c r="EG109" s="420"/>
      <c r="EH109" s="420"/>
      <c r="EI109" s="420"/>
      <c r="EJ109" s="420"/>
      <c r="EK109" s="420"/>
      <c r="EL109" s="420"/>
      <c r="EM109" s="420"/>
      <c r="EN109" s="420"/>
      <c r="EO109" s="420"/>
      <c r="EP109" s="420"/>
      <c r="EQ109" s="420"/>
      <c r="ER109" s="420"/>
      <c r="ES109" s="420"/>
      <c r="ET109" s="420"/>
      <c r="EU109" s="420"/>
      <c r="EV109" s="420"/>
      <c r="EW109" s="420"/>
      <c r="EX109" s="420"/>
      <c r="EY109" s="420"/>
      <c r="EZ109" s="420"/>
      <c r="FA109" s="420"/>
      <c r="FB109" s="420"/>
      <c r="FC109" s="420"/>
      <c r="FD109" s="420"/>
      <c r="FE109" s="420"/>
      <c r="FF109" s="420"/>
      <c r="FG109" s="420"/>
      <c r="FH109" s="420"/>
      <c r="FI109" s="420"/>
      <c r="FJ109" s="420"/>
      <c r="FK109" s="420"/>
      <c r="FL109" s="420"/>
      <c r="FM109" s="420"/>
      <c r="FN109" s="420"/>
      <c r="FO109" s="420"/>
      <c r="FP109" s="420"/>
      <c r="FQ109" s="420"/>
      <c r="FR109" s="420"/>
      <c r="FS109" s="420"/>
      <c r="FT109" s="420"/>
      <c r="FU109" s="420"/>
      <c r="FV109" s="420"/>
      <c r="FW109" s="420"/>
      <c r="FX109" s="420"/>
      <c r="FY109" s="420"/>
      <c r="FZ109" s="420"/>
      <c r="GA109" s="420"/>
      <c r="GB109" s="420"/>
      <c r="GC109" s="420"/>
      <c r="GD109" s="420"/>
      <c r="GE109" s="420"/>
      <c r="GF109" s="420"/>
      <c r="GG109" s="420"/>
      <c r="GH109" s="420"/>
      <c r="GI109" s="420"/>
      <c r="GJ109" s="420"/>
      <c r="GK109" s="420"/>
      <c r="GL109" s="420"/>
      <c r="GM109" s="420"/>
      <c r="GN109" s="420"/>
      <c r="GO109" s="420"/>
      <c r="GP109" s="420"/>
      <c r="GQ109" s="420"/>
      <c r="GR109" s="420"/>
      <c r="GS109" s="420"/>
      <c r="GT109" s="420"/>
      <c r="GU109" s="420"/>
      <c r="GV109" s="420"/>
      <c r="GW109" s="420"/>
      <c r="GX109" s="420"/>
      <c r="GY109" s="420"/>
      <c r="GZ109" s="420"/>
      <c r="HA109" s="420"/>
      <c r="HB109" s="420"/>
      <c r="HC109" s="420"/>
      <c r="HD109" s="420"/>
      <c r="HE109" s="420"/>
      <c r="HF109" s="420"/>
      <c r="HG109" s="420"/>
      <c r="HH109" s="420"/>
      <c r="HI109" s="420"/>
      <c r="HJ109" s="420"/>
      <c r="HK109" s="420"/>
      <c r="HL109" s="420"/>
      <c r="HM109" s="420"/>
      <c r="HN109" s="420"/>
      <c r="HO109" s="420"/>
      <c r="HP109" s="420"/>
      <c r="HQ109" s="420"/>
      <c r="HR109" s="420"/>
      <c r="HS109" s="420"/>
      <c r="HT109" s="420"/>
      <c r="HU109" s="420"/>
      <c r="HV109" s="420"/>
      <c r="HW109" s="420"/>
      <c r="HX109" s="420"/>
      <c r="HY109" s="420"/>
      <c r="HZ109" s="420"/>
      <c r="IA109" s="420"/>
      <c r="IB109" s="420"/>
      <c r="IC109" s="420"/>
      <c r="ID109" s="420"/>
      <c r="IE109" s="420"/>
      <c r="IF109" s="420"/>
      <c r="IG109" s="420"/>
      <c r="IH109" s="420"/>
      <c r="II109" s="420"/>
      <c r="IJ109" s="420"/>
      <c r="IK109" s="420"/>
      <c r="IL109" s="420"/>
      <c r="IM109" s="420"/>
      <c r="IN109" s="420"/>
      <c r="IO109" s="420"/>
      <c r="IP109" s="420"/>
      <c r="IQ109" s="420"/>
      <c r="IR109" s="420"/>
      <c r="IS109" s="420"/>
      <c r="IT109" s="420"/>
      <c r="IU109" s="420"/>
      <c r="IV109" s="420"/>
      <c r="IW109" s="420"/>
      <c r="IX109" s="420"/>
      <c r="IY109" s="420"/>
      <c r="IZ109" s="420"/>
      <c r="JA109" s="420"/>
    </row>
    <row r="110" spans="1:261" s="768" customFormat="1" ht="18" customHeight="1" x14ac:dyDescent="0.35">
      <c r="A110" s="783">
        <v>100</v>
      </c>
      <c r="B110" s="776"/>
      <c r="C110" s="466"/>
      <c r="D110" s="1338" t="s">
        <v>963</v>
      </c>
      <c r="E110" s="432"/>
      <c r="F110" s="772"/>
      <c r="G110" s="433"/>
      <c r="H110" s="1009"/>
      <c r="I110" s="1005"/>
      <c r="J110" s="769"/>
      <c r="K110" s="769"/>
      <c r="L110" s="769"/>
      <c r="M110" s="769"/>
      <c r="N110" s="769"/>
      <c r="O110" s="1623">
        <f>SUM(I110:N110)</f>
        <v>0</v>
      </c>
      <c r="P110" s="773"/>
      <c r="Q110" s="420"/>
      <c r="R110" s="420"/>
      <c r="S110" s="420"/>
      <c r="T110" s="420"/>
      <c r="U110" s="420"/>
      <c r="V110" s="420"/>
      <c r="W110" s="420"/>
      <c r="X110" s="420"/>
      <c r="Y110" s="420"/>
      <c r="Z110" s="420"/>
      <c r="AA110" s="420"/>
      <c r="AB110" s="420"/>
      <c r="AC110" s="420"/>
      <c r="AD110" s="420"/>
      <c r="AE110" s="420"/>
      <c r="AF110" s="420"/>
      <c r="AG110" s="420"/>
      <c r="AH110" s="420"/>
      <c r="AI110" s="420"/>
      <c r="AJ110" s="420"/>
      <c r="AK110" s="420"/>
      <c r="AL110" s="420"/>
      <c r="AM110" s="420"/>
      <c r="AN110" s="420"/>
      <c r="AO110" s="420"/>
      <c r="AP110" s="420"/>
      <c r="AQ110" s="420"/>
      <c r="AR110" s="420"/>
      <c r="AS110" s="420"/>
      <c r="AT110" s="420"/>
      <c r="AU110" s="420"/>
      <c r="AV110" s="420"/>
      <c r="AW110" s="420"/>
      <c r="AX110" s="420"/>
      <c r="AY110" s="420"/>
      <c r="AZ110" s="420"/>
      <c r="BA110" s="420"/>
      <c r="BB110" s="420"/>
      <c r="BC110" s="420"/>
      <c r="BD110" s="420"/>
      <c r="BE110" s="420"/>
      <c r="BF110" s="420"/>
      <c r="BG110" s="420"/>
      <c r="BH110" s="420"/>
      <c r="BI110" s="420"/>
      <c r="BJ110" s="420"/>
      <c r="BK110" s="420"/>
      <c r="BL110" s="420"/>
      <c r="BM110" s="420"/>
      <c r="BN110" s="420"/>
      <c r="BO110" s="420"/>
      <c r="BP110" s="420"/>
      <c r="BQ110" s="420"/>
      <c r="BR110" s="420"/>
      <c r="BS110" s="420"/>
      <c r="BT110" s="420"/>
      <c r="BU110" s="420"/>
      <c r="BV110" s="420"/>
      <c r="BW110" s="420"/>
      <c r="BX110" s="420"/>
      <c r="BY110" s="420"/>
      <c r="BZ110" s="420"/>
      <c r="CA110" s="420"/>
      <c r="CB110" s="420"/>
      <c r="CC110" s="420"/>
      <c r="CD110" s="420"/>
      <c r="CE110" s="420"/>
      <c r="CF110" s="420"/>
      <c r="CG110" s="420"/>
      <c r="CH110" s="420"/>
      <c r="CI110" s="420"/>
      <c r="CJ110" s="420"/>
      <c r="CK110" s="420"/>
      <c r="CL110" s="420"/>
      <c r="CM110" s="420"/>
      <c r="CN110" s="420"/>
      <c r="CO110" s="420"/>
      <c r="CP110" s="420"/>
      <c r="CQ110" s="420"/>
      <c r="CR110" s="420"/>
      <c r="CS110" s="420"/>
      <c r="CT110" s="420"/>
      <c r="CU110" s="420"/>
      <c r="CV110" s="420"/>
      <c r="CW110" s="420"/>
      <c r="CX110" s="420"/>
      <c r="CY110" s="420"/>
      <c r="CZ110" s="420"/>
      <c r="DA110" s="420"/>
      <c r="DB110" s="420"/>
      <c r="DC110" s="420"/>
      <c r="DD110" s="420"/>
      <c r="DE110" s="420"/>
      <c r="DF110" s="420"/>
      <c r="DG110" s="420"/>
      <c r="DH110" s="420"/>
      <c r="DI110" s="420"/>
      <c r="DJ110" s="420"/>
      <c r="DK110" s="420"/>
      <c r="DL110" s="420"/>
      <c r="DM110" s="420"/>
      <c r="DN110" s="420"/>
      <c r="DO110" s="420"/>
      <c r="DP110" s="420"/>
      <c r="DQ110" s="420"/>
      <c r="DR110" s="420"/>
      <c r="DS110" s="420"/>
      <c r="DT110" s="420"/>
      <c r="DU110" s="420"/>
      <c r="DV110" s="420"/>
      <c r="DW110" s="420"/>
      <c r="DX110" s="420"/>
      <c r="DY110" s="420"/>
      <c r="DZ110" s="420"/>
      <c r="EA110" s="420"/>
      <c r="EB110" s="420"/>
      <c r="EC110" s="420"/>
      <c r="ED110" s="420"/>
      <c r="EE110" s="420"/>
      <c r="EF110" s="420"/>
      <c r="EG110" s="420"/>
      <c r="EH110" s="420"/>
      <c r="EI110" s="420"/>
      <c r="EJ110" s="420"/>
      <c r="EK110" s="420"/>
      <c r="EL110" s="420"/>
      <c r="EM110" s="420"/>
      <c r="EN110" s="420"/>
      <c r="EO110" s="420"/>
      <c r="EP110" s="420"/>
      <c r="EQ110" s="420"/>
      <c r="ER110" s="420"/>
      <c r="ES110" s="420"/>
      <c r="ET110" s="420"/>
      <c r="EU110" s="420"/>
      <c r="EV110" s="420"/>
      <c r="EW110" s="420"/>
      <c r="EX110" s="420"/>
      <c r="EY110" s="420"/>
      <c r="EZ110" s="420"/>
      <c r="FA110" s="420"/>
      <c r="FB110" s="420"/>
      <c r="FC110" s="420"/>
      <c r="FD110" s="420"/>
      <c r="FE110" s="420"/>
      <c r="FF110" s="420"/>
      <c r="FG110" s="420"/>
      <c r="FH110" s="420"/>
      <c r="FI110" s="420"/>
      <c r="FJ110" s="420"/>
      <c r="FK110" s="420"/>
      <c r="FL110" s="420"/>
      <c r="FM110" s="420"/>
      <c r="FN110" s="420"/>
      <c r="FO110" s="420"/>
      <c r="FP110" s="420"/>
      <c r="FQ110" s="420"/>
      <c r="FR110" s="420"/>
      <c r="FS110" s="420"/>
      <c r="FT110" s="420"/>
      <c r="FU110" s="420"/>
      <c r="FV110" s="420"/>
      <c r="FW110" s="420"/>
      <c r="FX110" s="420"/>
      <c r="FY110" s="420"/>
      <c r="FZ110" s="420"/>
      <c r="GA110" s="420"/>
      <c r="GB110" s="420"/>
      <c r="GC110" s="420"/>
      <c r="GD110" s="420"/>
      <c r="GE110" s="420"/>
      <c r="GF110" s="420"/>
      <c r="GG110" s="420"/>
      <c r="GH110" s="420"/>
      <c r="GI110" s="420"/>
      <c r="GJ110" s="420"/>
      <c r="GK110" s="420"/>
      <c r="GL110" s="420"/>
      <c r="GM110" s="420"/>
      <c r="GN110" s="420"/>
      <c r="GO110" s="420"/>
      <c r="GP110" s="420"/>
      <c r="GQ110" s="420"/>
      <c r="GR110" s="420"/>
      <c r="GS110" s="420"/>
      <c r="GT110" s="420"/>
      <c r="GU110" s="420"/>
      <c r="GV110" s="420"/>
      <c r="GW110" s="420"/>
      <c r="GX110" s="420"/>
      <c r="GY110" s="420"/>
      <c r="GZ110" s="420"/>
      <c r="HA110" s="420"/>
      <c r="HB110" s="420"/>
      <c r="HC110" s="420"/>
      <c r="HD110" s="420"/>
      <c r="HE110" s="420"/>
      <c r="HF110" s="420"/>
      <c r="HG110" s="420"/>
      <c r="HH110" s="420"/>
      <c r="HI110" s="420"/>
      <c r="HJ110" s="420"/>
      <c r="HK110" s="420"/>
      <c r="HL110" s="420"/>
      <c r="HM110" s="420"/>
      <c r="HN110" s="420"/>
      <c r="HO110" s="420"/>
      <c r="HP110" s="420"/>
      <c r="HQ110" s="420"/>
      <c r="HR110" s="420"/>
      <c r="HS110" s="420"/>
      <c r="HT110" s="420"/>
      <c r="HU110" s="420"/>
      <c r="HV110" s="420"/>
      <c r="HW110" s="420"/>
      <c r="HX110" s="420"/>
      <c r="HY110" s="420"/>
      <c r="HZ110" s="420"/>
      <c r="IA110" s="420"/>
      <c r="IB110" s="420"/>
      <c r="IC110" s="420"/>
      <c r="ID110" s="420"/>
      <c r="IE110" s="420"/>
      <c r="IF110" s="420"/>
      <c r="IG110" s="420"/>
      <c r="IH110" s="420"/>
      <c r="II110" s="420"/>
      <c r="IJ110" s="420"/>
      <c r="IK110" s="420"/>
      <c r="IL110" s="420"/>
      <c r="IM110" s="420"/>
      <c r="IN110" s="420"/>
      <c r="IO110" s="420"/>
      <c r="IP110" s="420"/>
      <c r="IQ110" s="420"/>
      <c r="IR110" s="420"/>
      <c r="IS110" s="420"/>
      <c r="IT110" s="420"/>
      <c r="IU110" s="420"/>
      <c r="IV110" s="420"/>
      <c r="IW110" s="420"/>
      <c r="IX110" s="420"/>
      <c r="IY110" s="420"/>
      <c r="IZ110" s="420"/>
      <c r="JA110" s="420"/>
    </row>
    <row r="111" spans="1:261" s="768" customFormat="1" ht="18" customHeight="1" x14ac:dyDescent="0.35">
      <c r="A111" s="783">
        <v>101</v>
      </c>
      <c r="B111" s="776"/>
      <c r="C111" s="466"/>
      <c r="D111" s="583" t="s">
        <v>1151</v>
      </c>
      <c r="E111" s="432"/>
      <c r="F111" s="772"/>
      <c r="G111" s="433"/>
      <c r="H111" s="1009"/>
      <c r="I111" s="1005"/>
      <c r="J111" s="769"/>
      <c r="K111" s="769">
        <f>SUM(K109:K110)</f>
        <v>87</v>
      </c>
      <c r="L111" s="769">
        <f>SUM(L109:L110)</f>
        <v>94075</v>
      </c>
      <c r="M111" s="769">
        <f t="shared" ref="M111:N111" si="14">SUM(M109:M110)</f>
        <v>0</v>
      </c>
      <c r="N111" s="769">
        <f t="shared" si="14"/>
        <v>1449925</v>
      </c>
      <c r="O111" s="777">
        <f>SUM(I111:N111)</f>
        <v>1544087</v>
      </c>
      <c r="P111" s="773"/>
      <c r="Q111" s="420"/>
      <c r="R111" s="420"/>
      <c r="S111" s="420"/>
      <c r="T111" s="420"/>
      <c r="U111" s="420"/>
      <c r="V111" s="420"/>
      <c r="W111" s="420"/>
      <c r="X111" s="420"/>
      <c r="Y111" s="420"/>
      <c r="Z111" s="420"/>
      <c r="AA111" s="420"/>
      <c r="AB111" s="420"/>
      <c r="AC111" s="420"/>
      <c r="AD111" s="420"/>
      <c r="AE111" s="420"/>
      <c r="AF111" s="420"/>
      <c r="AG111" s="420"/>
      <c r="AH111" s="420"/>
      <c r="AI111" s="420"/>
      <c r="AJ111" s="420"/>
      <c r="AK111" s="420"/>
      <c r="AL111" s="420"/>
      <c r="AM111" s="420"/>
      <c r="AN111" s="420"/>
      <c r="AO111" s="420"/>
      <c r="AP111" s="420"/>
      <c r="AQ111" s="420"/>
      <c r="AR111" s="420"/>
      <c r="AS111" s="420"/>
      <c r="AT111" s="420"/>
      <c r="AU111" s="420"/>
      <c r="AV111" s="420"/>
      <c r="AW111" s="420"/>
      <c r="AX111" s="420"/>
      <c r="AY111" s="420"/>
      <c r="AZ111" s="420"/>
      <c r="BA111" s="420"/>
      <c r="BB111" s="420"/>
      <c r="BC111" s="420"/>
      <c r="BD111" s="420"/>
      <c r="BE111" s="420"/>
      <c r="BF111" s="420"/>
      <c r="BG111" s="420"/>
      <c r="BH111" s="420"/>
      <c r="BI111" s="420"/>
      <c r="BJ111" s="420"/>
      <c r="BK111" s="420"/>
      <c r="BL111" s="420"/>
      <c r="BM111" s="420"/>
      <c r="BN111" s="420"/>
      <c r="BO111" s="420"/>
      <c r="BP111" s="420"/>
      <c r="BQ111" s="420"/>
      <c r="BR111" s="420"/>
      <c r="BS111" s="420"/>
      <c r="BT111" s="420"/>
      <c r="BU111" s="420"/>
      <c r="BV111" s="420"/>
      <c r="BW111" s="420"/>
      <c r="BX111" s="420"/>
      <c r="BY111" s="420"/>
      <c r="BZ111" s="420"/>
      <c r="CA111" s="420"/>
      <c r="CB111" s="420"/>
      <c r="CC111" s="420"/>
      <c r="CD111" s="420"/>
      <c r="CE111" s="420"/>
      <c r="CF111" s="420"/>
      <c r="CG111" s="420"/>
      <c r="CH111" s="420"/>
      <c r="CI111" s="420"/>
      <c r="CJ111" s="420"/>
      <c r="CK111" s="420"/>
      <c r="CL111" s="420"/>
      <c r="CM111" s="420"/>
      <c r="CN111" s="420"/>
      <c r="CO111" s="420"/>
      <c r="CP111" s="420"/>
      <c r="CQ111" s="420"/>
      <c r="CR111" s="420"/>
      <c r="CS111" s="420"/>
      <c r="CT111" s="420"/>
      <c r="CU111" s="420"/>
      <c r="CV111" s="420"/>
      <c r="CW111" s="420"/>
      <c r="CX111" s="420"/>
      <c r="CY111" s="420"/>
      <c r="CZ111" s="420"/>
      <c r="DA111" s="420"/>
      <c r="DB111" s="420"/>
      <c r="DC111" s="420"/>
      <c r="DD111" s="420"/>
      <c r="DE111" s="420"/>
      <c r="DF111" s="420"/>
      <c r="DG111" s="420"/>
      <c r="DH111" s="420"/>
      <c r="DI111" s="420"/>
      <c r="DJ111" s="420"/>
      <c r="DK111" s="420"/>
      <c r="DL111" s="420"/>
      <c r="DM111" s="420"/>
      <c r="DN111" s="420"/>
      <c r="DO111" s="420"/>
      <c r="DP111" s="420"/>
      <c r="DQ111" s="420"/>
      <c r="DR111" s="420"/>
      <c r="DS111" s="420"/>
      <c r="DT111" s="420"/>
      <c r="DU111" s="420"/>
      <c r="DV111" s="420"/>
      <c r="DW111" s="420"/>
      <c r="DX111" s="420"/>
      <c r="DY111" s="420"/>
      <c r="DZ111" s="420"/>
      <c r="EA111" s="420"/>
      <c r="EB111" s="420"/>
      <c r="EC111" s="420"/>
      <c r="ED111" s="420"/>
      <c r="EE111" s="420"/>
      <c r="EF111" s="420"/>
      <c r="EG111" s="420"/>
      <c r="EH111" s="420"/>
      <c r="EI111" s="420"/>
      <c r="EJ111" s="420"/>
      <c r="EK111" s="420"/>
      <c r="EL111" s="420"/>
      <c r="EM111" s="420"/>
      <c r="EN111" s="420"/>
      <c r="EO111" s="420"/>
      <c r="EP111" s="420"/>
      <c r="EQ111" s="420"/>
      <c r="ER111" s="420"/>
      <c r="ES111" s="420"/>
      <c r="ET111" s="420"/>
      <c r="EU111" s="420"/>
      <c r="EV111" s="420"/>
      <c r="EW111" s="420"/>
      <c r="EX111" s="420"/>
      <c r="EY111" s="420"/>
      <c r="EZ111" s="420"/>
      <c r="FA111" s="420"/>
      <c r="FB111" s="420"/>
      <c r="FC111" s="420"/>
      <c r="FD111" s="420"/>
      <c r="FE111" s="420"/>
      <c r="FF111" s="420"/>
      <c r="FG111" s="420"/>
      <c r="FH111" s="420"/>
      <c r="FI111" s="420"/>
      <c r="FJ111" s="420"/>
      <c r="FK111" s="420"/>
      <c r="FL111" s="420"/>
      <c r="FM111" s="420"/>
      <c r="FN111" s="420"/>
      <c r="FO111" s="420"/>
      <c r="FP111" s="420"/>
      <c r="FQ111" s="420"/>
      <c r="FR111" s="420"/>
      <c r="FS111" s="420"/>
      <c r="FT111" s="420"/>
      <c r="FU111" s="420"/>
      <c r="FV111" s="420"/>
      <c r="FW111" s="420"/>
      <c r="FX111" s="420"/>
      <c r="FY111" s="420"/>
      <c r="FZ111" s="420"/>
      <c r="GA111" s="420"/>
      <c r="GB111" s="420"/>
      <c r="GC111" s="420"/>
      <c r="GD111" s="420"/>
      <c r="GE111" s="420"/>
      <c r="GF111" s="420"/>
      <c r="GG111" s="420"/>
      <c r="GH111" s="420"/>
      <c r="GI111" s="420"/>
      <c r="GJ111" s="420"/>
      <c r="GK111" s="420"/>
      <c r="GL111" s="420"/>
      <c r="GM111" s="420"/>
      <c r="GN111" s="420"/>
      <c r="GO111" s="420"/>
      <c r="GP111" s="420"/>
      <c r="GQ111" s="420"/>
      <c r="GR111" s="420"/>
      <c r="GS111" s="420"/>
      <c r="GT111" s="420"/>
      <c r="GU111" s="420"/>
      <c r="GV111" s="420"/>
      <c r="GW111" s="420"/>
      <c r="GX111" s="420"/>
      <c r="GY111" s="420"/>
      <c r="GZ111" s="420"/>
      <c r="HA111" s="420"/>
      <c r="HB111" s="420"/>
      <c r="HC111" s="420"/>
      <c r="HD111" s="420"/>
      <c r="HE111" s="420"/>
      <c r="HF111" s="420"/>
      <c r="HG111" s="420"/>
      <c r="HH111" s="420"/>
      <c r="HI111" s="420"/>
      <c r="HJ111" s="420"/>
      <c r="HK111" s="420"/>
      <c r="HL111" s="420"/>
      <c r="HM111" s="420"/>
      <c r="HN111" s="420"/>
      <c r="HO111" s="420"/>
      <c r="HP111" s="420"/>
      <c r="HQ111" s="420"/>
      <c r="HR111" s="420"/>
      <c r="HS111" s="420"/>
      <c r="HT111" s="420"/>
      <c r="HU111" s="420"/>
      <c r="HV111" s="420"/>
      <c r="HW111" s="420"/>
      <c r="HX111" s="420"/>
      <c r="HY111" s="420"/>
      <c r="HZ111" s="420"/>
      <c r="IA111" s="420"/>
      <c r="IB111" s="420"/>
      <c r="IC111" s="420"/>
      <c r="ID111" s="420"/>
      <c r="IE111" s="420"/>
      <c r="IF111" s="420"/>
      <c r="IG111" s="420"/>
      <c r="IH111" s="420"/>
      <c r="II111" s="420"/>
      <c r="IJ111" s="420"/>
      <c r="IK111" s="420"/>
      <c r="IL111" s="420"/>
      <c r="IM111" s="420"/>
      <c r="IN111" s="420"/>
      <c r="IO111" s="420"/>
      <c r="IP111" s="420"/>
      <c r="IQ111" s="420"/>
      <c r="IR111" s="420"/>
      <c r="IS111" s="420"/>
      <c r="IT111" s="420"/>
      <c r="IU111" s="420"/>
      <c r="IV111" s="420"/>
      <c r="IW111" s="420"/>
      <c r="IX111" s="420"/>
      <c r="IY111" s="420"/>
      <c r="IZ111" s="420"/>
      <c r="JA111" s="420"/>
    </row>
    <row r="112" spans="1:261" ht="33" x14ac:dyDescent="0.35">
      <c r="A112" s="783">
        <v>102</v>
      </c>
      <c r="B112" s="625"/>
      <c r="C112" s="422">
        <v>21</v>
      </c>
      <c r="D112" s="424" t="s">
        <v>584</v>
      </c>
      <c r="E112" s="432"/>
      <c r="F112" s="772"/>
      <c r="G112" s="433"/>
      <c r="H112" s="1009" t="s">
        <v>24</v>
      </c>
      <c r="I112" s="1027"/>
      <c r="J112" s="1023"/>
      <c r="K112" s="1023"/>
      <c r="L112" s="1023"/>
      <c r="M112" s="1023"/>
      <c r="N112" s="1023"/>
      <c r="O112" s="992"/>
      <c r="P112" s="773"/>
    </row>
    <row r="113" spans="1:261" s="768" customFormat="1" ht="18" customHeight="1" x14ac:dyDescent="0.35">
      <c r="A113" s="783">
        <v>103</v>
      </c>
      <c r="B113" s="776"/>
      <c r="C113" s="422"/>
      <c r="D113" s="1002" t="s">
        <v>311</v>
      </c>
      <c r="E113" s="432">
        <f>F113+G113+O116+P116</f>
        <v>1629330</v>
      </c>
      <c r="F113" s="772">
        <v>28000</v>
      </c>
      <c r="G113" s="433">
        <f>24019+2422</f>
        <v>26441</v>
      </c>
      <c r="H113" s="1009"/>
      <c r="I113" s="1027"/>
      <c r="J113" s="1023"/>
      <c r="K113" s="1023">
        <v>12196</v>
      </c>
      <c r="L113" s="1023"/>
      <c r="M113" s="1023">
        <f>793085+277946+491662</f>
        <v>1562693</v>
      </c>
      <c r="N113" s="1023"/>
      <c r="O113" s="992">
        <f>SUM(I113:N113)</f>
        <v>1574889</v>
      </c>
      <c r="P113" s="773"/>
      <c r="Q113" s="420"/>
      <c r="R113" s="420"/>
      <c r="S113" s="420"/>
      <c r="T113" s="420"/>
      <c r="U113" s="420"/>
      <c r="V113" s="420"/>
      <c r="W113" s="420"/>
      <c r="X113" s="420"/>
      <c r="Y113" s="420"/>
      <c r="Z113" s="420"/>
      <c r="AA113" s="420"/>
      <c r="AB113" s="420"/>
      <c r="AC113" s="420"/>
      <c r="AD113" s="420"/>
      <c r="AE113" s="420"/>
      <c r="AF113" s="420"/>
      <c r="AG113" s="420"/>
      <c r="AH113" s="420"/>
      <c r="AI113" s="420"/>
      <c r="AJ113" s="420"/>
      <c r="AK113" s="420"/>
      <c r="AL113" s="420"/>
      <c r="AM113" s="420"/>
      <c r="AN113" s="420"/>
      <c r="AO113" s="420"/>
      <c r="AP113" s="420"/>
      <c r="AQ113" s="420"/>
      <c r="AR113" s="420"/>
      <c r="AS113" s="420"/>
      <c r="AT113" s="420"/>
      <c r="AU113" s="420"/>
      <c r="AV113" s="420"/>
      <c r="AW113" s="420"/>
      <c r="AX113" s="420"/>
      <c r="AY113" s="420"/>
      <c r="AZ113" s="420"/>
      <c r="BA113" s="420"/>
      <c r="BB113" s="420"/>
      <c r="BC113" s="420"/>
      <c r="BD113" s="420"/>
      <c r="BE113" s="420"/>
      <c r="BF113" s="420"/>
      <c r="BG113" s="420"/>
      <c r="BH113" s="420"/>
      <c r="BI113" s="420"/>
      <c r="BJ113" s="420"/>
      <c r="BK113" s="420"/>
      <c r="BL113" s="420"/>
      <c r="BM113" s="420"/>
      <c r="BN113" s="420"/>
      <c r="BO113" s="420"/>
      <c r="BP113" s="420"/>
      <c r="BQ113" s="420"/>
      <c r="BR113" s="420"/>
      <c r="BS113" s="420"/>
      <c r="BT113" s="420"/>
      <c r="BU113" s="420"/>
      <c r="BV113" s="420"/>
      <c r="BW113" s="420"/>
      <c r="BX113" s="420"/>
      <c r="BY113" s="420"/>
      <c r="BZ113" s="420"/>
      <c r="CA113" s="420"/>
      <c r="CB113" s="420"/>
      <c r="CC113" s="420"/>
      <c r="CD113" s="420"/>
      <c r="CE113" s="420"/>
      <c r="CF113" s="420"/>
      <c r="CG113" s="420"/>
      <c r="CH113" s="420"/>
      <c r="CI113" s="420"/>
      <c r="CJ113" s="420"/>
      <c r="CK113" s="420"/>
      <c r="CL113" s="420"/>
      <c r="CM113" s="420"/>
      <c r="CN113" s="420"/>
      <c r="CO113" s="420"/>
      <c r="CP113" s="420"/>
      <c r="CQ113" s="420"/>
      <c r="CR113" s="420"/>
      <c r="CS113" s="420"/>
      <c r="CT113" s="420"/>
      <c r="CU113" s="420"/>
      <c r="CV113" s="420"/>
      <c r="CW113" s="420"/>
      <c r="CX113" s="420"/>
      <c r="CY113" s="420"/>
      <c r="CZ113" s="420"/>
      <c r="DA113" s="420"/>
      <c r="DB113" s="420"/>
      <c r="DC113" s="420"/>
      <c r="DD113" s="420"/>
      <c r="DE113" s="420"/>
      <c r="DF113" s="420"/>
      <c r="DG113" s="420"/>
      <c r="DH113" s="420"/>
      <c r="DI113" s="420"/>
      <c r="DJ113" s="420"/>
      <c r="DK113" s="420"/>
      <c r="DL113" s="420"/>
      <c r="DM113" s="420"/>
      <c r="DN113" s="420"/>
      <c r="DO113" s="420"/>
      <c r="DP113" s="420"/>
      <c r="DQ113" s="420"/>
      <c r="DR113" s="420"/>
      <c r="DS113" s="420"/>
      <c r="DT113" s="420"/>
      <c r="DU113" s="420"/>
      <c r="DV113" s="420"/>
      <c r="DW113" s="420"/>
      <c r="DX113" s="420"/>
      <c r="DY113" s="420"/>
      <c r="DZ113" s="420"/>
      <c r="EA113" s="420"/>
      <c r="EB113" s="420"/>
      <c r="EC113" s="420"/>
      <c r="ED113" s="420"/>
      <c r="EE113" s="420"/>
      <c r="EF113" s="420"/>
      <c r="EG113" s="420"/>
      <c r="EH113" s="420"/>
      <c r="EI113" s="420"/>
      <c r="EJ113" s="420"/>
      <c r="EK113" s="420"/>
      <c r="EL113" s="420"/>
      <c r="EM113" s="420"/>
      <c r="EN113" s="420"/>
      <c r="EO113" s="420"/>
      <c r="EP113" s="420"/>
      <c r="EQ113" s="420"/>
      <c r="ER113" s="420"/>
      <c r="ES113" s="420"/>
      <c r="ET113" s="420"/>
      <c r="EU113" s="420"/>
      <c r="EV113" s="420"/>
      <c r="EW113" s="420"/>
      <c r="EX113" s="420"/>
      <c r="EY113" s="420"/>
      <c r="EZ113" s="420"/>
      <c r="FA113" s="420"/>
      <c r="FB113" s="420"/>
      <c r="FC113" s="420"/>
      <c r="FD113" s="420"/>
      <c r="FE113" s="420"/>
      <c r="FF113" s="420"/>
      <c r="FG113" s="420"/>
      <c r="FH113" s="420"/>
      <c r="FI113" s="420"/>
      <c r="FJ113" s="420"/>
      <c r="FK113" s="420"/>
      <c r="FL113" s="420"/>
      <c r="FM113" s="420"/>
      <c r="FN113" s="420"/>
      <c r="FO113" s="420"/>
      <c r="FP113" s="420"/>
      <c r="FQ113" s="420"/>
      <c r="FR113" s="420"/>
      <c r="FS113" s="420"/>
      <c r="FT113" s="420"/>
      <c r="FU113" s="420"/>
      <c r="FV113" s="420"/>
      <c r="FW113" s="420"/>
      <c r="FX113" s="420"/>
      <c r="FY113" s="420"/>
      <c r="FZ113" s="420"/>
      <c r="GA113" s="420"/>
      <c r="GB113" s="420"/>
      <c r="GC113" s="420"/>
      <c r="GD113" s="420"/>
      <c r="GE113" s="420"/>
      <c r="GF113" s="420"/>
      <c r="GG113" s="420"/>
      <c r="GH113" s="420"/>
      <c r="GI113" s="420"/>
      <c r="GJ113" s="420"/>
      <c r="GK113" s="420"/>
      <c r="GL113" s="420"/>
      <c r="GM113" s="420"/>
      <c r="GN113" s="420"/>
      <c r="GO113" s="420"/>
      <c r="GP113" s="420"/>
      <c r="GQ113" s="420"/>
      <c r="GR113" s="420"/>
      <c r="GS113" s="420"/>
      <c r="GT113" s="420"/>
      <c r="GU113" s="420"/>
      <c r="GV113" s="420"/>
      <c r="GW113" s="420"/>
      <c r="GX113" s="420"/>
      <c r="GY113" s="420"/>
      <c r="GZ113" s="420"/>
      <c r="HA113" s="420"/>
      <c r="HB113" s="420"/>
      <c r="HC113" s="420"/>
      <c r="HD113" s="420"/>
      <c r="HE113" s="420"/>
      <c r="HF113" s="420"/>
      <c r="HG113" s="420"/>
      <c r="HH113" s="420"/>
      <c r="HI113" s="420"/>
      <c r="HJ113" s="420"/>
      <c r="HK113" s="420"/>
      <c r="HL113" s="420"/>
      <c r="HM113" s="420"/>
      <c r="HN113" s="420"/>
      <c r="HO113" s="420"/>
      <c r="HP113" s="420"/>
      <c r="HQ113" s="420"/>
      <c r="HR113" s="420"/>
      <c r="HS113" s="420"/>
      <c r="HT113" s="420"/>
      <c r="HU113" s="420"/>
      <c r="HV113" s="420"/>
      <c r="HW113" s="420"/>
      <c r="HX113" s="420"/>
      <c r="HY113" s="420"/>
      <c r="HZ113" s="420"/>
      <c r="IA113" s="420"/>
      <c r="IB113" s="420"/>
      <c r="IC113" s="420"/>
      <c r="ID113" s="420"/>
      <c r="IE113" s="420"/>
      <c r="IF113" s="420"/>
      <c r="IG113" s="420"/>
      <c r="IH113" s="420"/>
      <c r="II113" s="420"/>
      <c r="IJ113" s="420"/>
      <c r="IK113" s="420"/>
      <c r="IL113" s="420"/>
      <c r="IM113" s="420"/>
      <c r="IN113" s="420"/>
      <c r="IO113" s="420"/>
      <c r="IP113" s="420"/>
      <c r="IQ113" s="420"/>
      <c r="IR113" s="420"/>
      <c r="IS113" s="420"/>
      <c r="IT113" s="420"/>
      <c r="IU113" s="420"/>
      <c r="IV113" s="420"/>
      <c r="IW113" s="420"/>
      <c r="IX113" s="420"/>
      <c r="IY113" s="420"/>
      <c r="IZ113" s="420"/>
      <c r="JA113" s="420"/>
    </row>
    <row r="114" spans="1:261" s="768" customFormat="1" ht="18" customHeight="1" x14ac:dyDescent="0.35">
      <c r="A114" s="783">
        <v>104</v>
      </c>
      <c r="B114" s="776"/>
      <c r="C114" s="422"/>
      <c r="D114" s="583" t="s">
        <v>1072</v>
      </c>
      <c r="E114" s="432"/>
      <c r="F114" s="772"/>
      <c r="G114" s="433"/>
      <c r="H114" s="1009"/>
      <c r="I114" s="1027"/>
      <c r="J114" s="1023"/>
      <c r="K114" s="769">
        <v>12196</v>
      </c>
      <c r="L114" s="769"/>
      <c r="M114" s="769">
        <v>1562693</v>
      </c>
      <c r="N114" s="1023"/>
      <c r="O114" s="777">
        <f>SUM(I114:N114)</f>
        <v>1574889</v>
      </c>
      <c r="P114" s="773"/>
      <c r="Q114" s="420"/>
      <c r="R114" s="420"/>
      <c r="S114" s="420"/>
      <c r="T114" s="420"/>
      <c r="U114" s="420"/>
      <c r="V114" s="420"/>
      <c r="W114" s="420"/>
      <c r="X114" s="420"/>
      <c r="Y114" s="420"/>
      <c r="Z114" s="420"/>
      <c r="AA114" s="420"/>
      <c r="AB114" s="420"/>
      <c r="AC114" s="420"/>
      <c r="AD114" s="420"/>
      <c r="AE114" s="420"/>
      <c r="AF114" s="420"/>
      <c r="AG114" s="420"/>
      <c r="AH114" s="420"/>
      <c r="AI114" s="420"/>
      <c r="AJ114" s="420"/>
      <c r="AK114" s="420"/>
      <c r="AL114" s="420"/>
      <c r="AM114" s="420"/>
      <c r="AN114" s="420"/>
      <c r="AO114" s="420"/>
      <c r="AP114" s="420"/>
      <c r="AQ114" s="420"/>
      <c r="AR114" s="420"/>
      <c r="AS114" s="420"/>
      <c r="AT114" s="420"/>
      <c r="AU114" s="420"/>
      <c r="AV114" s="420"/>
      <c r="AW114" s="420"/>
      <c r="AX114" s="420"/>
      <c r="AY114" s="420"/>
      <c r="AZ114" s="420"/>
      <c r="BA114" s="420"/>
      <c r="BB114" s="420"/>
      <c r="BC114" s="420"/>
      <c r="BD114" s="420"/>
      <c r="BE114" s="420"/>
      <c r="BF114" s="420"/>
      <c r="BG114" s="420"/>
      <c r="BH114" s="420"/>
      <c r="BI114" s="420"/>
      <c r="BJ114" s="420"/>
      <c r="BK114" s="420"/>
      <c r="BL114" s="420"/>
      <c r="BM114" s="420"/>
      <c r="BN114" s="420"/>
      <c r="BO114" s="420"/>
      <c r="BP114" s="420"/>
      <c r="BQ114" s="420"/>
      <c r="BR114" s="420"/>
      <c r="BS114" s="420"/>
      <c r="BT114" s="420"/>
      <c r="BU114" s="420"/>
      <c r="BV114" s="420"/>
      <c r="BW114" s="420"/>
      <c r="BX114" s="420"/>
      <c r="BY114" s="420"/>
      <c r="BZ114" s="420"/>
      <c r="CA114" s="420"/>
      <c r="CB114" s="420"/>
      <c r="CC114" s="420"/>
      <c r="CD114" s="420"/>
      <c r="CE114" s="420"/>
      <c r="CF114" s="420"/>
      <c r="CG114" s="420"/>
      <c r="CH114" s="420"/>
      <c r="CI114" s="420"/>
      <c r="CJ114" s="420"/>
      <c r="CK114" s="420"/>
      <c r="CL114" s="420"/>
      <c r="CM114" s="420"/>
      <c r="CN114" s="420"/>
      <c r="CO114" s="420"/>
      <c r="CP114" s="420"/>
      <c r="CQ114" s="420"/>
      <c r="CR114" s="420"/>
      <c r="CS114" s="420"/>
      <c r="CT114" s="420"/>
      <c r="CU114" s="420"/>
      <c r="CV114" s="420"/>
      <c r="CW114" s="420"/>
      <c r="CX114" s="420"/>
      <c r="CY114" s="420"/>
      <c r="CZ114" s="420"/>
      <c r="DA114" s="420"/>
      <c r="DB114" s="420"/>
      <c r="DC114" s="420"/>
      <c r="DD114" s="420"/>
      <c r="DE114" s="420"/>
      <c r="DF114" s="420"/>
      <c r="DG114" s="420"/>
      <c r="DH114" s="420"/>
      <c r="DI114" s="420"/>
      <c r="DJ114" s="420"/>
      <c r="DK114" s="420"/>
      <c r="DL114" s="420"/>
      <c r="DM114" s="420"/>
      <c r="DN114" s="420"/>
      <c r="DO114" s="420"/>
      <c r="DP114" s="420"/>
      <c r="DQ114" s="420"/>
      <c r="DR114" s="420"/>
      <c r="DS114" s="420"/>
      <c r="DT114" s="420"/>
      <c r="DU114" s="420"/>
      <c r="DV114" s="420"/>
      <c r="DW114" s="420"/>
      <c r="DX114" s="420"/>
      <c r="DY114" s="420"/>
      <c r="DZ114" s="420"/>
      <c r="EA114" s="420"/>
      <c r="EB114" s="420"/>
      <c r="EC114" s="420"/>
      <c r="ED114" s="420"/>
      <c r="EE114" s="420"/>
      <c r="EF114" s="420"/>
      <c r="EG114" s="420"/>
      <c r="EH114" s="420"/>
      <c r="EI114" s="420"/>
      <c r="EJ114" s="420"/>
      <c r="EK114" s="420"/>
      <c r="EL114" s="420"/>
      <c r="EM114" s="420"/>
      <c r="EN114" s="420"/>
      <c r="EO114" s="420"/>
      <c r="EP114" s="420"/>
      <c r="EQ114" s="420"/>
      <c r="ER114" s="420"/>
      <c r="ES114" s="420"/>
      <c r="ET114" s="420"/>
      <c r="EU114" s="420"/>
      <c r="EV114" s="420"/>
      <c r="EW114" s="420"/>
      <c r="EX114" s="420"/>
      <c r="EY114" s="420"/>
      <c r="EZ114" s="420"/>
      <c r="FA114" s="420"/>
      <c r="FB114" s="420"/>
      <c r="FC114" s="420"/>
      <c r="FD114" s="420"/>
      <c r="FE114" s="420"/>
      <c r="FF114" s="420"/>
      <c r="FG114" s="420"/>
      <c r="FH114" s="420"/>
      <c r="FI114" s="420"/>
      <c r="FJ114" s="420"/>
      <c r="FK114" s="420"/>
      <c r="FL114" s="420"/>
      <c r="FM114" s="420"/>
      <c r="FN114" s="420"/>
      <c r="FO114" s="420"/>
      <c r="FP114" s="420"/>
      <c r="FQ114" s="420"/>
      <c r="FR114" s="420"/>
      <c r="FS114" s="420"/>
      <c r="FT114" s="420"/>
      <c r="FU114" s="420"/>
      <c r="FV114" s="420"/>
      <c r="FW114" s="420"/>
      <c r="FX114" s="420"/>
      <c r="FY114" s="420"/>
      <c r="FZ114" s="420"/>
      <c r="GA114" s="420"/>
      <c r="GB114" s="420"/>
      <c r="GC114" s="420"/>
      <c r="GD114" s="420"/>
      <c r="GE114" s="420"/>
      <c r="GF114" s="420"/>
      <c r="GG114" s="420"/>
      <c r="GH114" s="420"/>
      <c r="GI114" s="420"/>
      <c r="GJ114" s="420"/>
      <c r="GK114" s="420"/>
      <c r="GL114" s="420"/>
      <c r="GM114" s="420"/>
      <c r="GN114" s="420"/>
      <c r="GO114" s="420"/>
      <c r="GP114" s="420"/>
      <c r="GQ114" s="420"/>
      <c r="GR114" s="420"/>
      <c r="GS114" s="420"/>
      <c r="GT114" s="420"/>
      <c r="GU114" s="420"/>
      <c r="GV114" s="420"/>
      <c r="GW114" s="420"/>
      <c r="GX114" s="420"/>
      <c r="GY114" s="420"/>
      <c r="GZ114" s="420"/>
      <c r="HA114" s="420"/>
      <c r="HB114" s="420"/>
      <c r="HC114" s="420"/>
      <c r="HD114" s="420"/>
      <c r="HE114" s="420"/>
      <c r="HF114" s="420"/>
      <c r="HG114" s="420"/>
      <c r="HH114" s="420"/>
      <c r="HI114" s="420"/>
      <c r="HJ114" s="420"/>
      <c r="HK114" s="420"/>
      <c r="HL114" s="420"/>
      <c r="HM114" s="420"/>
      <c r="HN114" s="420"/>
      <c r="HO114" s="420"/>
      <c r="HP114" s="420"/>
      <c r="HQ114" s="420"/>
      <c r="HR114" s="420"/>
      <c r="HS114" s="420"/>
      <c r="HT114" s="420"/>
      <c r="HU114" s="420"/>
      <c r="HV114" s="420"/>
      <c r="HW114" s="420"/>
      <c r="HX114" s="420"/>
      <c r="HY114" s="420"/>
      <c r="HZ114" s="420"/>
      <c r="IA114" s="420"/>
      <c r="IB114" s="420"/>
      <c r="IC114" s="420"/>
      <c r="ID114" s="420"/>
      <c r="IE114" s="420"/>
      <c r="IF114" s="420"/>
      <c r="IG114" s="420"/>
      <c r="IH114" s="420"/>
      <c r="II114" s="420"/>
      <c r="IJ114" s="420"/>
      <c r="IK114" s="420"/>
      <c r="IL114" s="420"/>
      <c r="IM114" s="420"/>
      <c r="IN114" s="420"/>
      <c r="IO114" s="420"/>
      <c r="IP114" s="420"/>
      <c r="IQ114" s="420"/>
      <c r="IR114" s="420"/>
      <c r="IS114" s="420"/>
      <c r="IT114" s="420"/>
      <c r="IU114" s="420"/>
      <c r="IV114" s="420"/>
      <c r="IW114" s="420"/>
      <c r="IX114" s="420"/>
      <c r="IY114" s="420"/>
      <c r="IZ114" s="420"/>
      <c r="JA114" s="420"/>
    </row>
    <row r="115" spans="1:261" s="768" customFormat="1" ht="18" customHeight="1" x14ac:dyDescent="0.35">
      <c r="A115" s="783">
        <v>105</v>
      </c>
      <c r="B115" s="776"/>
      <c r="C115" s="422"/>
      <c r="D115" s="1338" t="s">
        <v>963</v>
      </c>
      <c r="E115" s="432"/>
      <c r="F115" s="772"/>
      <c r="G115" s="433"/>
      <c r="H115" s="1009"/>
      <c r="I115" s="1005"/>
      <c r="J115" s="769"/>
      <c r="K115" s="769"/>
      <c r="L115" s="769"/>
      <c r="M115" s="769"/>
      <c r="N115" s="769"/>
      <c r="O115" s="1623">
        <f>SUM(I115:N115)</f>
        <v>0</v>
      </c>
      <c r="P115" s="773"/>
      <c r="Q115" s="420"/>
      <c r="R115" s="420"/>
      <c r="S115" s="420"/>
      <c r="T115" s="420"/>
      <c r="U115" s="420"/>
      <c r="V115" s="420"/>
      <c r="W115" s="420"/>
      <c r="X115" s="420"/>
      <c r="Y115" s="420"/>
      <c r="Z115" s="420"/>
      <c r="AA115" s="420"/>
      <c r="AB115" s="420"/>
      <c r="AC115" s="420"/>
      <c r="AD115" s="420"/>
      <c r="AE115" s="420"/>
      <c r="AF115" s="420"/>
      <c r="AG115" s="420"/>
      <c r="AH115" s="420"/>
      <c r="AI115" s="420"/>
      <c r="AJ115" s="420"/>
      <c r="AK115" s="420"/>
      <c r="AL115" s="420"/>
      <c r="AM115" s="420"/>
      <c r="AN115" s="420"/>
      <c r="AO115" s="420"/>
      <c r="AP115" s="420"/>
      <c r="AQ115" s="420"/>
      <c r="AR115" s="420"/>
      <c r="AS115" s="420"/>
      <c r="AT115" s="420"/>
      <c r="AU115" s="420"/>
      <c r="AV115" s="420"/>
      <c r="AW115" s="420"/>
      <c r="AX115" s="420"/>
      <c r="AY115" s="420"/>
      <c r="AZ115" s="420"/>
      <c r="BA115" s="420"/>
      <c r="BB115" s="420"/>
      <c r="BC115" s="420"/>
      <c r="BD115" s="420"/>
      <c r="BE115" s="420"/>
      <c r="BF115" s="420"/>
      <c r="BG115" s="420"/>
      <c r="BH115" s="420"/>
      <c r="BI115" s="420"/>
      <c r="BJ115" s="420"/>
      <c r="BK115" s="420"/>
      <c r="BL115" s="420"/>
      <c r="BM115" s="420"/>
      <c r="BN115" s="420"/>
      <c r="BO115" s="420"/>
      <c r="BP115" s="420"/>
      <c r="BQ115" s="420"/>
      <c r="BR115" s="420"/>
      <c r="BS115" s="420"/>
      <c r="BT115" s="420"/>
      <c r="BU115" s="420"/>
      <c r="BV115" s="420"/>
      <c r="BW115" s="420"/>
      <c r="BX115" s="420"/>
      <c r="BY115" s="420"/>
      <c r="BZ115" s="420"/>
      <c r="CA115" s="420"/>
      <c r="CB115" s="420"/>
      <c r="CC115" s="420"/>
      <c r="CD115" s="420"/>
      <c r="CE115" s="420"/>
      <c r="CF115" s="420"/>
      <c r="CG115" s="420"/>
      <c r="CH115" s="420"/>
      <c r="CI115" s="420"/>
      <c r="CJ115" s="420"/>
      <c r="CK115" s="420"/>
      <c r="CL115" s="420"/>
      <c r="CM115" s="420"/>
      <c r="CN115" s="420"/>
      <c r="CO115" s="420"/>
      <c r="CP115" s="420"/>
      <c r="CQ115" s="420"/>
      <c r="CR115" s="420"/>
      <c r="CS115" s="420"/>
      <c r="CT115" s="420"/>
      <c r="CU115" s="420"/>
      <c r="CV115" s="420"/>
      <c r="CW115" s="420"/>
      <c r="CX115" s="420"/>
      <c r="CY115" s="420"/>
      <c r="CZ115" s="420"/>
      <c r="DA115" s="420"/>
      <c r="DB115" s="420"/>
      <c r="DC115" s="420"/>
      <c r="DD115" s="420"/>
      <c r="DE115" s="420"/>
      <c r="DF115" s="420"/>
      <c r="DG115" s="420"/>
      <c r="DH115" s="420"/>
      <c r="DI115" s="420"/>
      <c r="DJ115" s="420"/>
      <c r="DK115" s="420"/>
      <c r="DL115" s="420"/>
      <c r="DM115" s="420"/>
      <c r="DN115" s="420"/>
      <c r="DO115" s="420"/>
      <c r="DP115" s="420"/>
      <c r="DQ115" s="420"/>
      <c r="DR115" s="420"/>
      <c r="DS115" s="420"/>
      <c r="DT115" s="420"/>
      <c r="DU115" s="420"/>
      <c r="DV115" s="420"/>
      <c r="DW115" s="420"/>
      <c r="DX115" s="420"/>
      <c r="DY115" s="420"/>
      <c r="DZ115" s="420"/>
      <c r="EA115" s="420"/>
      <c r="EB115" s="420"/>
      <c r="EC115" s="420"/>
      <c r="ED115" s="420"/>
      <c r="EE115" s="420"/>
      <c r="EF115" s="420"/>
      <c r="EG115" s="420"/>
      <c r="EH115" s="420"/>
      <c r="EI115" s="420"/>
      <c r="EJ115" s="420"/>
      <c r="EK115" s="420"/>
      <c r="EL115" s="420"/>
      <c r="EM115" s="420"/>
      <c r="EN115" s="420"/>
      <c r="EO115" s="420"/>
      <c r="EP115" s="420"/>
      <c r="EQ115" s="420"/>
      <c r="ER115" s="420"/>
      <c r="ES115" s="420"/>
      <c r="ET115" s="420"/>
      <c r="EU115" s="420"/>
      <c r="EV115" s="420"/>
      <c r="EW115" s="420"/>
      <c r="EX115" s="420"/>
      <c r="EY115" s="420"/>
      <c r="EZ115" s="420"/>
      <c r="FA115" s="420"/>
      <c r="FB115" s="420"/>
      <c r="FC115" s="420"/>
      <c r="FD115" s="420"/>
      <c r="FE115" s="420"/>
      <c r="FF115" s="420"/>
      <c r="FG115" s="420"/>
      <c r="FH115" s="420"/>
      <c r="FI115" s="420"/>
      <c r="FJ115" s="420"/>
      <c r="FK115" s="420"/>
      <c r="FL115" s="420"/>
      <c r="FM115" s="420"/>
      <c r="FN115" s="420"/>
      <c r="FO115" s="420"/>
      <c r="FP115" s="420"/>
      <c r="FQ115" s="420"/>
      <c r="FR115" s="420"/>
      <c r="FS115" s="420"/>
      <c r="FT115" s="420"/>
      <c r="FU115" s="420"/>
      <c r="FV115" s="420"/>
      <c r="FW115" s="420"/>
      <c r="FX115" s="420"/>
      <c r="FY115" s="420"/>
      <c r="FZ115" s="420"/>
      <c r="GA115" s="420"/>
      <c r="GB115" s="420"/>
      <c r="GC115" s="420"/>
      <c r="GD115" s="420"/>
      <c r="GE115" s="420"/>
      <c r="GF115" s="420"/>
      <c r="GG115" s="420"/>
      <c r="GH115" s="420"/>
      <c r="GI115" s="420"/>
      <c r="GJ115" s="420"/>
      <c r="GK115" s="420"/>
      <c r="GL115" s="420"/>
      <c r="GM115" s="420"/>
      <c r="GN115" s="420"/>
      <c r="GO115" s="420"/>
      <c r="GP115" s="420"/>
      <c r="GQ115" s="420"/>
      <c r="GR115" s="420"/>
      <c r="GS115" s="420"/>
      <c r="GT115" s="420"/>
      <c r="GU115" s="420"/>
      <c r="GV115" s="420"/>
      <c r="GW115" s="420"/>
      <c r="GX115" s="420"/>
      <c r="GY115" s="420"/>
      <c r="GZ115" s="420"/>
      <c r="HA115" s="420"/>
      <c r="HB115" s="420"/>
      <c r="HC115" s="420"/>
      <c r="HD115" s="420"/>
      <c r="HE115" s="420"/>
      <c r="HF115" s="420"/>
      <c r="HG115" s="420"/>
      <c r="HH115" s="420"/>
      <c r="HI115" s="420"/>
      <c r="HJ115" s="420"/>
      <c r="HK115" s="420"/>
      <c r="HL115" s="420"/>
      <c r="HM115" s="420"/>
      <c r="HN115" s="420"/>
      <c r="HO115" s="420"/>
      <c r="HP115" s="420"/>
      <c r="HQ115" s="420"/>
      <c r="HR115" s="420"/>
      <c r="HS115" s="420"/>
      <c r="HT115" s="420"/>
      <c r="HU115" s="420"/>
      <c r="HV115" s="420"/>
      <c r="HW115" s="420"/>
      <c r="HX115" s="420"/>
      <c r="HY115" s="420"/>
      <c r="HZ115" s="420"/>
      <c r="IA115" s="420"/>
      <c r="IB115" s="420"/>
      <c r="IC115" s="420"/>
      <c r="ID115" s="420"/>
      <c r="IE115" s="420"/>
      <c r="IF115" s="420"/>
      <c r="IG115" s="420"/>
      <c r="IH115" s="420"/>
      <c r="II115" s="420"/>
      <c r="IJ115" s="420"/>
      <c r="IK115" s="420"/>
      <c r="IL115" s="420"/>
      <c r="IM115" s="420"/>
      <c r="IN115" s="420"/>
      <c r="IO115" s="420"/>
      <c r="IP115" s="420"/>
      <c r="IQ115" s="420"/>
      <c r="IR115" s="420"/>
      <c r="IS115" s="420"/>
      <c r="IT115" s="420"/>
      <c r="IU115" s="420"/>
      <c r="IV115" s="420"/>
      <c r="IW115" s="420"/>
      <c r="IX115" s="420"/>
      <c r="IY115" s="420"/>
      <c r="IZ115" s="420"/>
      <c r="JA115" s="420"/>
    </row>
    <row r="116" spans="1:261" s="768" customFormat="1" ht="18" customHeight="1" x14ac:dyDescent="0.35">
      <c r="A116" s="783">
        <v>106</v>
      </c>
      <c r="B116" s="776"/>
      <c r="C116" s="422"/>
      <c r="D116" s="583" t="s">
        <v>1151</v>
      </c>
      <c r="E116" s="432"/>
      <c r="F116" s="772"/>
      <c r="G116" s="433"/>
      <c r="H116" s="1009"/>
      <c r="I116" s="1005"/>
      <c r="J116" s="769"/>
      <c r="K116" s="769">
        <f>SUM(K114:K115)</f>
        <v>12196</v>
      </c>
      <c r="L116" s="769"/>
      <c r="M116" s="769">
        <f t="shared" ref="M116" si="15">SUM(M114:M115)</f>
        <v>1562693</v>
      </c>
      <c r="N116" s="769"/>
      <c r="O116" s="777">
        <f>SUM(I116:N116)</f>
        <v>1574889</v>
      </c>
      <c r="P116" s="773"/>
      <c r="Q116" s="420"/>
      <c r="R116" s="420"/>
      <c r="S116" s="420"/>
      <c r="T116" s="420"/>
      <c r="U116" s="420"/>
      <c r="V116" s="420"/>
      <c r="W116" s="420"/>
      <c r="X116" s="420"/>
      <c r="Y116" s="420"/>
      <c r="Z116" s="420"/>
      <c r="AA116" s="420"/>
      <c r="AB116" s="420"/>
      <c r="AC116" s="420"/>
      <c r="AD116" s="420"/>
      <c r="AE116" s="420"/>
      <c r="AF116" s="420"/>
      <c r="AG116" s="420"/>
      <c r="AH116" s="420"/>
      <c r="AI116" s="420"/>
      <c r="AJ116" s="420"/>
      <c r="AK116" s="420"/>
      <c r="AL116" s="420"/>
      <c r="AM116" s="420"/>
      <c r="AN116" s="420"/>
      <c r="AO116" s="420"/>
      <c r="AP116" s="420"/>
      <c r="AQ116" s="420"/>
      <c r="AR116" s="420"/>
      <c r="AS116" s="420"/>
      <c r="AT116" s="420"/>
      <c r="AU116" s="420"/>
      <c r="AV116" s="420"/>
      <c r="AW116" s="420"/>
      <c r="AX116" s="420"/>
      <c r="AY116" s="420"/>
      <c r="AZ116" s="420"/>
      <c r="BA116" s="420"/>
      <c r="BB116" s="420"/>
      <c r="BC116" s="420"/>
      <c r="BD116" s="420"/>
      <c r="BE116" s="420"/>
      <c r="BF116" s="420"/>
      <c r="BG116" s="420"/>
      <c r="BH116" s="420"/>
      <c r="BI116" s="420"/>
      <c r="BJ116" s="420"/>
      <c r="BK116" s="420"/>
      <c r="BL116" s="420"/>
      <c r="BM116" s="420"/>
      <c r="BN116" s="420"/>
      <c r="BO116" s="420"/>
      <c r="BP116" s="420"/>
      <c r="BQ116" s="420"/>
      <c r="BR116" s="420"/>
      <c r="BS116" s="420"/>
      <c r="BT116" s="420"/>
      <c r="BU116" s="420"/>
      <c r="BV116" s="420"/>
      <c r="BW116" s="420"/>
      <c r="BX116" s="420"/>
      <c r="BY116" s="420"/>
      <c r="BZ116" s="420"/>
      <c r="CA116" s="420"/>
      <c r="CB116" s="420"/>
      <c r="CC116" s="420"/>
      <c r="CD116" s="420"/>
      <c r="CE116" s="420"/>
      <c r="CF116" s="420"/>
      <c r="CG116" s="420"/>
      <c r="CH116" s="420"/>
      <c r="CI116" s="420"/>
      <c r="CJ116" s="420"/>
      <c r="CK116" s="420"/>
      <c r="CL116" s="420"/>
      <c r="CM116" s="420"/>
      <c r="CN116" s="420"/>
      <c r="CO116" s="420"/>
      <c r="CP116" s="420"/>
      <c r="CQ116" s="420"/>
      <c r="CR116" s="420"/>
      <c r="CS116" s="420"/>
      <c r="CT116" s="420"/>
      <c r="CU116" s="420"/>
      <c r="CV116" s="420"/>
      <c r="CW116" s="420"/>
      <c r="CX116" s="420"/>
      <c r="CY116" s="420"/>
      <c r="CZ116" s="420"/>
      <c r="DA116" s="420"/>
      <c r="DB116" s="420"/>
      <c r="DC116" s="420"/>
      <c r="DD116" s="420"/>
      <c r="DE116" s="420"/>
      <c r="DF116" s="420"/>
      <c r="DG116" s="420"/>
      <c r="DH116" s="420"/>
      <c r="DI116" s="420"/>
      <c r="DJ116" s="420"/>
      <c r="DK116" s="420"/>
      <c r="DL116" s="420"/>
      <c r="DM116" s="420"/>
      <c r="DN116" s="420"/>
      <c r="DO116" s="420"/>
      <c r="DP116" s="420"/>
      <c r="DQ116" s="420"/>
      <c r="DR116" s="420"/>
      <c r="DS116" s="420"/>
      <c r="DT116" s="420"/>
      <c r="DU116" s="420"/>
      <c r="DV116" s="420"/>
      <c r="DW116" s="420"/>
      <c r="DX116" s="420"/>
      <c r="DY116" s="420"/>
      <c r="DZ116" s="420"/>
      <c r="EA116" s="420"/>
      <c r="EB116" s="420"/>
      <c r="EC116" s="420"/>
      <c r="ED116" s="420"/>
      <c r="EE116" s="420"/>
      <c r="EF116" s="420"/>
      <c r="EG116" s="420"/>
      <c r="EH116" s="420"/>
      <c r="EI116" s="420"/>
      <c r="EJ116" s="420"/>
      <c r="EK116" s="420"/>
      <c r="EL116" s="420"/>
      <c r="EM116" s="420"/>
      <c r="EN116" s="420"/>
      <c r="EO116" s="420"/>
      <c r="EP116" s="420"/>
      <c r="EQ116" s="420"/>
      <c r="ER116" s="420"/>
      <c r="ES116" s="420"/>
      <c r="ET116" s="420"/>
      <c r="EU116" s="420"/>
      <c r="EV116" s="420"/>
      <c r="EW116" s="420"/>
      <c r="EX116" s="420"/>
      <c r="EY116" s="420"/>
      <c r="EZ116" s="420"/>
      <c r="FA116" s="420"/>
      <c r="FB116" s="420"/>
      <c r="FC116" s="420"/>
      <c r="FD116" s="420"/>
      <c r="FE116" s="420"/>
      <c r="FF116" s="420"/>
      <c r="FG116" s="420"/>
      <c r="FH116" s="420"/>
      <c r="FI116" s="420"/>
      <c r="FJ116" s="420"/>
      <c r="FK116" s="420"/>
      <c r="FL116" s="420"/>
      <c r="FM116" s="420"/>
      <c r="FN116" s="420"/>
      <c r="FO116" s="420"/>
      <c r="FP116" s="420"/>
      <c r="FQ116" s="420"/>
      <c r="FR116" s="420"/>
      <c r="FS116" s="420"/>
      <c r="FT116" s="420"/>
      <c r="FU116" s="420"/>
      <c r="FV116" s="420"/>
      <c r="FW116" s="420"/>
      <c r="FX116" s="420"/>
      <c r="FY116" s="420"/>
      <c r="FZ116" s="420"/>
      <c r="GA116" s="420"/>
      <c r="GB116" s="420"/>
      <c r="GC116" s="420"/>
      <c r="GD116" s="420"/>
      <c r="GE116" s="420"/>
      <c r="GF116" s="420"/>
      <c r="GG116" s="420"/>
      <c r="GH116" s="420"/>
      <c r="GI116" s="420"/>
      <c r="GJ116" s="420"/>
      <c r="GK116" s="420"/>
      <c r="GL116" s="420"/>
      <c r="GM116" s="420"/>
      <c r="GN116" s="420"/>
      <c r="GO116" s="420"/>
      <c r="GP116" s="420"/>
      <c r="GQ116" s="420"/>
      <c r="GR116" s="420"/>
      <c r="GS116" s="420"/>
      <c r="GT116" s="420"/>
      <c r="GU116" s="420"/>
      <c r="GV116" s="420"/>
      <c r="GW116" s="420"/>
      <c r="GX116" s="420"/>
      <c r="GY116" s="420"/>
      <c r="GZ116" s="420"/>
      <c r="HA116" s="420"/>
      <c r="HB116" s="420"/>
      <c r="HC116" s="420"/>
      <c r="HD116" s="420"/>
      <c r="HE116" s="420"/>
      <c r="HF116" s="420"/>
      <c r="HG116" s="420"/>
      <c r="HH116" s="420"/>
      <c r="HI116" s="420"/>
      <c r="HJ116" s="420"/>
      <c r="HK116" s="420"/>
      <c r="HL116" s="420"/>
      <c r="HM116" s="420"/>
      <c r="HN116" s="420"/>
      <c r="HO116" s="420"/>
      <c r="HP116" s="420"/>
      <c r="HQ116" s="420"/>
      <c r="HR116" s="420"/>
      <c r="HS116" s="420"/>
      <c r="HT116" s="420"/>
      <c r="HU116" s="420"/>
      <c r="HV116" s="420"/>
      <c r="HW116" s="420"/>
      <c r="HX116" s="420"/>
      <c r="HY116" s="420"/>
      <c r="HZ116" s="420"/>
      <c r="IA116" s="420"/>
      <c r="IB116" s="420"/>
      <c r="IC116" s="420"/>
      <c r="ID116" s="420"/>
      <c r="IE116" s="420"/>
      <c r="IF116" s="420"/>
      <c r="IG116" s="420"/>
      <c r="IH116" s="420"/>
      <c r="II116" s="420"/>
      <c r="IJ116" s="420"/>
      <c r="IK116" s="420"/>
      <c r="IL116" s="420"/>
      <c r="IM116" s="420"/>
      <c r="IN116" s="420"/>
      <c r="IO116" s="420"/>
      <c r="IP116" s="420"/>
      <c r="IQ116" s="420"/>
      <c r="IR116" s="420"/>
      <c r="IS116" s="420"/>
      <c r="IT116" s="420"/>
      <c r="IU116" s="420"/>
      <c r="IV116" s="420"/>
      <c r="IW116" s="420"/>
      <c r="IX116" s="420"/>
      <c r="IY116" s="420"/>
      <c r="IZ116" s="420"/>
      <c r="JA116" s="420"/>
    </row>
    <row r="117" spans="1:261" ht="22.5" customHeight="1" x14ac:dyDescent="0.35">
      <c r="A117" s="783">
        <v>107</v>
      </c>
      <c r="B117" s="625"/>
      <c r="C117" s="466">
        <v>22</v>
      </c>
      <c r="D117" s="423" t="s">
        <v>686</v>
      </c>
      <c r="E117" s="432"/>
      <c r="F117" s="772"/>
      <c r="G117" s="433"/>
      <c r="H117" s="1009" t="s">
        <v>24</v>
      </c>
      <c r="I117" s="1027"/>
      <c r="J117" s="1023"/>
      <c r="K117" s="1023"/>
      <c r="L117" s="1023"/>
      <c r="M117" s="1023"/>
      <c r="N117" s="1023"/>
      <c r="O117" s="992"/>
      <c r="P117" s="773"/>
    </row>
    <row r="118" spans="1:261" s="768" customFormat="1" ht="18" customHeight="1" x14ac:dyDescent="0.35">
      <c r="A118" s="783">
        <v>108</v>
      </c>
      <c r="B118" s="776"/>
      <c r="C118" s="422"/>
      <c r="D118" s="1002" t="s">
        <v>311</v>
      </c>
      <c r="E118" s="432">
        <f>F118+G118+O121+P121</f>
        <v>565</v>
      </c>
      <c r="F118" s="772"/>
      <c r="G118" s="433"/>
      <c r="H118" s="1009"/>
      <c r="I118" s="1027"/>
      <c r="J118" s="1023"/>
      <c r="K118" s="1023">
        <v>4792</v>
      </c>
      <c r="L118" s="1023"/>
      <c r="M118" s="1023"/>
      <c r="N118" s="1023"/>
      <c r="O118" s="992">
        <f>SUM(I118:N118)</f>
        <v>4792</v>
      </c>
      <c r="P118" s="773"/>
      <c r="Q118" s="420"/>
      <c r="R118" s="420"/>
      <c r="S118" s="420"/>
      <c r="T118" s="420"/>
      <c r="U118" s="420"/>
      <c r="V118" s="420"/>
      <c r="W118" s="420"/>
      <c r="X118" s="420"/>
      <c r="Y118" s="420"/>
      <c r="Z118" s="420"/>
      <c r="AA118" s="420"/>
      <c r="AB118" s="420"/>
      <c r="AC118" s="420"/>
      <c r="AD118" s="420"/>
      <c r="AE118" s="420"/>
      <c r="AF118" s="420"/>
      <c r="AG118" s="420"/>
      <c r="AH118" s="420"/>
      <c r="AI118" s="420"/>
      <c r="AJ118" s="420"/>
      <c r="AK118" s="420"/>
      <c r="AL118" s="420"/>
      <c r="AM118" s="420"/>
      <c r="AN118" s="420"/>
      <c r="AO118" s="420"/>
      <c r="AP118" s="420"/>
      <c r="AQ118" s="420"/>
      <c r="AR118" s="420"/>
      <c r="AS118" s="420"/>
      <c r="AT118" s="420"/>
      <c r="AU118" s="420"/>
      <c r="AV118" s="420"/>
      <c r="AW118" s="420"/>
      <c r="AX118" s="420"/>
      <c r="AY118" s="420"/>
      <c r="AZ118" s="420"/>
      <c r="BA118" s="420"/>
      <c r="BB118" s="420"/>
      <c r="BC118" s="420"/>
      <c r="BD118" s="420"/>
      <c r="BE118" s="420"/>
      <c r="BF118" s="420"/>
      <c r="BG118" s="420"/>
      <c r="BH118" s="420"/>
      <c r="BI118" s="420"/>
      <c r="BJ118" s="420"/>
      <c r="BK118" s="420"/>
      <c r="BL118" s="420"/>
      <c r="BM118" s="420"/>
      <c r="BN118" s="420"/>
      <c r="BO118" s="420"/>
      <c r="BP118" s="420"/>
      <c r="BQ118" s="420"/>
      <c r="BR118" s="420"/>
      <c r="BS118" s="420"/>
      <c r="BT118" s="420"/>
      <c r="BU118" s="420"/>
      <c r="BV118" s="420"/>
      <c r="BW118" s="420"/>
      <c r="BX118" s="420"/>
      <c r="BY118" s="420"/>
      <c r="BZ118" s="420"/>
      <c r="CA118" s="420"/>
      <c r="CB118" s="420"/>
      <c r="CC118" s="420"/>
      <c r="CD118" s="420"/>
      <c r="CE118" s="420"/>
      <c r="CF118" s="420"/>
      <c r="CG118" s="420"/>
      <c r="CH118" s="420"/>
      <c r="CI118" s="420"/>
      <c r="CJ118" s="420"/>
      <c r="CK118" s="420"/>
      <c r="CL118" s="420"/>
      <c r="CM118" s="420"/>
      <c r="CN118" s="420"/>
      <c r="CO118" s="420"/>
      <c r="CP118" s="420"/>
      <c r="CQ118" s="420"/>
      <c r="CR118" s="420"/>
      <c r="CS118" s="420"/>
      <c r="CT118" s="420"/>
      <c r="CU118" s="420"/>
      <c r="CV118" s="420"/>
      <c r="CW118" s="420"/>
      <c r="CX118" s="420"/>
      <c r="CY118" s="420"/>
      <c r="CZ118" s="420"/>
      <c r="DA118" s="420"/>
      <c r="DB118" s="420"/>
      <c r="DC118" s="420"/>
      <c r="DD118" s="420"/>
      <c r="DE118" s="420"/>
      <c r="DF118" s="420"/>
      <c r="DG118" s="420"/>
      <c r="DH118" s="420"/>
      <c r="DI118" s="420"/>
      <c r="DJ118" s="420"/>
      <c r="DK118" s="420"/>
      <c r="DL118" s="420"/>
      <c r="DM118" s="420"/>
      <c r="DN118" s="420"/>
      <c r="DO118" s="420"/>
      <c r="DP118" s="420"/>
      <c r="DQ118" s="420"/>
      <c r="DR118" s="420"/>
      <c r="DS118" s="420"/>
      <c r="DT118" s="420"/>
      <c r="DU118" s="420"/>
      <c r="DV118" s="420"/>
      <c r="DW118" s="420"/>
      <c r="DX118" s="420"/>
      <c r="DY118" s="420"/>
      <c r="DZ118" s="420"/>
      <c r="EA118" s="420"/>
      <c r="EB118" s="420"/>
      <c r="EC118" s="420"/>
      <c r="ED118" s="420"/>
      <c r="EE118" s="420"/>
      <c r="EF118" s="420"/>
      <c r="EG118" s="420"/>
      <c r="EH118" s="420"/>
      <c r="EI118" s="420"/>
      <c r="EJ118" s="420"/>
      <c r="EK118" s="420"/>
      <c r="EL118" s="420"/>
      <c r="EM118" s="420"/>
      <c r="EN118" s="420"/>
      <c r="EO118" s="420"/>
      <c r="EP118" s="420"/>
      <c r="EQ118" s="420"/>
      <c r="ER118" s="420"/>
      <c r="ES118" s="420"/>
      <c r="ET118" s="420"/>
      <c r="EU118" s="420"/>
      <c r="EV118" s="420"/>
      <c r="EW118" s="420"/>
      <c r="EX118" s="420"/>
      <c r="EY118" s="420"/>
      <c r="EZ118" s="420"/>
      <c r="FA118" s="420"/>
      <c r="FB118" s="420"/>
      <c r="FC118" s="420"/>
      <c r="FD118" s="420"/>
      <c r="FE118" s="420"/>
      <c r="FF118" s="420"/>
      <c r="FG118" s="420"/>
      <c r="FH118" s="420"/>
      <c r="FI118" s="420"/>
      <c r="FJ118" s="420"/>
      <c r="FK118" s="420"/>
      <c r="FL118" s="420"/>
      <c r="FM118" s="420"/>
      <c r="FN118" s="420"/>
      <c r="FO118" s="420"/>
      <c r="FP118" s="420"/>
      <c r="FQ118" s="420"/>
      <c r="FR118" s="420"/>
      <c r="FS118" s="420"/>
      <c r="FT118" s="420"/>
      <c r="FU118" s="420"/>
      <c r="FV118" s="420"/>
      <c r="FW118" s="420"/>
      <c r="FX118" s="420"/>
      <c r="FY118" s="420"/>
      <c r="FZ118" s="420"/>
      <c r="GA118" s="420"/>
      <c r="GB118" s="420"/>
      <c r="GC118" s="420"/>
      <c r="GD118" s="420"/>
      <c r="GE118" s="420"/>
      <c r="GF118" s="420"/>
      <c r="GG118" s="420"/>
      <c r="GH118" s="420"/>
      <c r="GI118" s="420"/>
      <c r="GJ118" s="420"/>
      <c r="GK118" s="420"/>
      <c r="GL118" s="420"/>
      <c r="GM118" s="420"/>
      <c r="GN118" s="420"/>
      <c r="GO118" s="420"/>
      <c r="GP118" s="420"/>
      <c r="GQ118" s="420"/>
      <c r="GR118" s="420"/>
      <c r="GS118" s="420"/>
      <c r="GT118" s="420"/>
      <c r="GU118" s="420"/>
      <c r="GV118" s="420"/>
      <c r="GW118" s="420"/>
      <c r="GX118" s="420"/>
      <c r="GY118" s="420"/>
      <c r="GZ118" s="420"/>
      <c r="HA118" s="420"/>
      <c r="HB118" s="420"/>
      <c r="HC118" s="420"/>
      <c r="HD118" s="420"/>
      <c r="HE118" s="420"/>
      <c r="HF118" s="420"/>
      <c r="HG118" s="420"/>
      <c r="HH118" s="420"/>
      <c r="HI118" s="420"/>
      <c r="HJ118" s="420"/>
      <c r="HK118" s="420"/>
      <c r="HL118" s="420"/>
      <c r="HM118" s="420"/>
      <c r="HN118" s="420"/>
      <c r="HO118" s="420"/>
      <c r="HP118" s="420"/>
      <c r="HQ118" s="420"/>
      <c r="HR118" s="420"/>
      <c r="HS118" s="420"/>
      <c r="HT118" s="420"/>
      <c r="HU118" s="420"/>
      <c r="HV118" s="420"/>
      <c r="HW118" s="420"/>
      <c r="HX118" s="420"/>
      <c r="HY118" s="420"/>
      <c r="HZ118" s="420"/>
      <c r="IA118" s="420"/>
      <c r="IB118" s="420"/>
      <c r="IC118" s="420"/>
      <c r="ID118" s="420"/>
      <c r="IE118" s="420"/>
      <c r="IF118" s="420"/>
      <c r="IG118" s="420"/>
      <c r="IH118" s="420"/>
      <c r="II118" s="420"/>
      <c r="IJ118" s="420"/>
      <c r="IK118" s="420"/>
      <c r="IL118" s="420"/>
      <c r="IM118" s="420"/>
      <c r="IN118" s="420"/>
      <c r="IO118" s="420"/>
      <c r="IP118" s="420"/>
      <c r="IQ118" s="420"/>
      <c r="IR118" s="420"/>
      <c r="IS118" s="420"/>
      <c r="IT118" s="420"/>
      <c r="IU118" s="420"/>
      <c r="IV118" s="420"/>
      <c r="IW118" s="420"/>
      <c r="IX118" s="420"/>
      <c r="IY118" s="420"/>
      <c r="IZ118" s="420"/>
      <c r="JA118" s="420"/>
    </row>
    <row r="119" spans="1:261" s="768" customFormat="1" ht="18" customHeight="1" x14ac:dyDescent="0.35">
      <c r="A119" s="783">
        <v>109</v>
      </c>
      <c r="B119" s="776"/>
      <c r="C119" s="422"/>
      <c r="D119" s="583" t="s">
        <v>1072</v>
      </c>
      <c r="E119" s="432"/>
      <c r="F119" s="772"/>
      <c r="G119" s="433"/>
      <c r="H119" s="1009"/>
      <c r="I119" s="1027"/>
      <c r="J119" s="1023"/>
      <c r="K119" s="1023">
        <v>565</v>
      </c>
      <c r="L119" s="1023"/>
      <c r="M119" s="1023"/>
      <c r="N119" s="1023"/>
      <c r="O119" s="777">
        <f>SUM(I119:N119)</f>
        <v>565</v>
      </c>
      <c r="P119" s="773"/>
      <c r="Q119" s="420"/>
      <c r="R119" s="420"/>
      <c r="S119" s="420"/>
      <c r="T119" s="420"/>
      <c r="U119" s="420"/>
      <c r="V119" s="420"/>
      <c r="W119" s="420"/>
      <c r="X119" s="420"/>
      <c r="Y119" s="420"/>
      <c r="Z119" s="420"/>
      <c r="AA119" s="420"/>
      <c r="AB119" s="420"/>
      <c r="AC119" s="420"/>
      <c r="AD119" s="420"/>
      <c r="AE119" s="420"/>
      <c r="AF119" s="420"/>
      <c r="AG119" s="420"/>
      <c r="AH119" s="420"/>
      <c r="AI119" s="420"/>
      <c r="AJ119" s="420"/>
      <c r="AK119" s="420"/>
      <c r="AL119" s="420"/>
      <c r="AM119" s="420"/>
      <c r="AN119" s="420"/>
      <c r="AO119" s="420"/>
      <c r="AP119" s="420"/>
      <c r="AQ119" s="420"/>
      <c r="AR119" s="420"/>
      <c r="AS119" s="420"/>
      <c r="AT119" s="420"/>
      <c r="AU119" s="420"/>
      <c r="AV119" s="420"/>
      <c r="AW119" s="420"/>
      <c r="AX119" s="420"/>
      <c r="AY119" s="420"/>
      <c r="AZ119" s="420"/>
      <c r="BA119" s="420"/>
      <c r="BB119" s="420"/>
      <c r="BC119" s="420"/>
      <c r="BD119" s="420"/>
      <c r="BE119" s="420"/>
      <c r="BF119" s="420"/>
      <c r="BG119" s="420"/>
      <c r="BH119" s="420"/>
      <c r="BI119" s="420"/>
      <c r="BJ119" s="420"/>
      <c r="BK119" s="420"/>
      <c r="BL119" s="420"/>
      <c r="BM119" s="420"/>
      <c r="BN119" s="420"/>
      <c r="BO119" s="420"/>
      <c r="BP119" s="420"/>
      <c r="BQ119" s="420"/>
      <c r="BR119" s="420"/>
      <c r="BS119" s="420"/>
      <c r="BT119" s="420"/>
      <c r="BU119" s="420"/>
      <c r="BV119" s="420"/>
      <c r="BW119" s="420"/>
      <c r="BX119" s="420"/>
      <c r="BY119" s="420"/>
      <c r="BZ119" s="420"/>
      <c r="CA119" s="420"/>
      <c r="CB119" s="420"/>
      <c r="CC119" s="420"/>
      <c r="CD119" s="420"/>
      <c r="CE119" s="420"/>
      <c r="CF119" s="420"/>
      <c r="CG119" s="420"/>
      <c r="CH119" s="420"/>
      <c r="CI119" s="420"/>
      <c r="CJ119" s="420"/>
      <c r="CK119" s="420"/>
      <c r="CL119" s="420"/>
      <c r="CM119" s="420"/>
      <c r="CN119" s="420"/>
      <c r="CO119" s="420"/>
      <c r="CP119" s="420"/>
      <c r="CQ119" s="420"/>
      <c r="CR119" s="420"/>
      <c r="CS119" s="420"/>
      <c r="CT119" s="420"/>
      <c r="CU119" s="420"/>
      <c r="CV119" s="420"/>
      <c r="CW119" s="420"/>
      <c r="CX119" s="420"/>
      <c r="CY119" s="420"/>
      <c r="CZ119" s="420"/>
      <c r="DA119" s="420"/>
      <c r="DB119" s="420"/>
      <c r="DC119" s="420"/>
      <c r="DD119" s="420"/>
      <c r="DE119" s="420"/>
      <c r="DF119" s="420"/>
      <c r="DG119" s="420"/>
      <c r="DH119" s="420"/>
      <c r="DI119" s="420"/>
      <c r="DJ119" s="420"/>
      <c r="DK119" s="420"/>
      <c r="DL119" s="420"/>
      <c r="DM119" s="420"/>
      <c r="DN119" s="420"/>
      <c r="DO119" s="420"/>
      <c r="DP119" s="420"/>
      <c r="DQ119" s="420"/>
      <c r="DR119" s="420"/>
      <c r="DS119" s="420"/>
      <c r="DT119" s="420"/>
      <c r="DU119" s="420"/>
      <c r="DV119" s="420"/>
      <c r="DW119" s="420"/>
      <c r="DX119" s="420"/>
      <c r="DY119" s="420"/>
      <c r="DZ119" s="420"/>
      <c r="EA119" s="420"/>
      <c r="EB119" s="420"/>
      <c r="EC119" s="420"/>
      <c r="ED119" s="420"/>
      <c r="EE119" s="420"/>
      <c r="EF119" s="420"/>
      <c r="EG119" s="420"/>
      <c r="EH119" s="420"/>
      <c r="EI119" s="420"/>
      <c r="EJ119" s="420"/>
      <c r="EK119" s="420"/>
      <c r="EL119" s="420"/>
      <c r="EM119" s="420"/>
      <c r="EN119" s="420"/>
      <c r="EO119" s="420"/>
      <c r="EP119" s="420"/>
      <c r="EQ119" s="420"/>
      <c r="ER119" s="420"/>
      <c r="ES119" s="420"/>
      <c r="ET119" s="420"/>
      <c r="EU119" s="420"/>
      <c r="EV119" s="420"/>
      <c r="EW119" s="420"/>
      <c r="EX119" s="420"/>
      <c r="EY119" s="420"/>
      <c r="EZ119" s="420"/>
      <c r="FA119" s="420"/>
      <c r="FB119" s="420"/>
      <c r="FC119" s="420"/>
      <c r="FD119" s="420"/>
      <c r="FE119" s="420"/>
      <c r="FF119" s="420"/>
      <c r="FG119" s="420"/>
      <c r="FH119" s="420"/>
      <c r="FI119" s="420"/>
      <c r="FJ119" s="420"/>
      <c r="FK119" s="420"/>
      <c r="FL119" s="420"/>
      <c r="FM119" s="420"/>
      <c r="FN119" s="420"/>
      <c r="FO119" s="420"/>
      <c r="FP119" s="420"/>
      <c r="FQ119" s="420"/>
      <c r="FR119" s="420"/>
      <c r="FS119" s="420"/>
      <c r="FT119" s="420"/>
      <c r="FU119" s="420"/>
      <c r="FV119" s="420"/>
      <c r="FW119" s="420"/>
      <c r="FX119" s="420"/>
      <c r="FY119" s="420"/>
      <c r="FZ119" s="420"/>
      <c r="GA119" s="420"/>
      <c r="GB119" s="420"/>
      <c r="GC119" s="420"/>
      <c r="GD119" s="420"/>
      <c r="GE119" s="420"/>
      <c r="GF119" s="420"/>
      <c r="GG119" s="420"/>
      <c r="GH119" s="420"/>
      <c r="GI119" s="420"/>
      <c r="GJ119" s="420"/>
      <c r="GK119" s="420"/>
      <c r="GL119" s="420"/>
      <c r="GM119" s="420"/>
      <c r="GN119" s="420"/>
      <c r="GO119" s="420"/>
      <c r="GP119" s="420"/>
      <c r="GQ119" s="420"/>
      <c r="GR119" s="420"/>
      <c r="GS119" s="420"/>
      <c r="GT119" s="420"/>
      <c r="GU119" s="420"/>
      <c r="GV119" s="420"/>
      <c r="GW119" s="420"/>
      <c r="GX119" s="420"/>
      <c r="GY119" s="420"/>
      <c r="GZ119" s="420"/>
      <c r="HA119" s="420"/>
      <c r="HB119" s="420"/>
      <c r="HC119" s="420"/>
      <c r="HD119" s="420"/>
      <c r="HE119" s="420"/>
      <c r="HF119" s="420"/>
      <c r="HG119" s="420"/>
      <c r="HH119" s="420"/>
      <c r="HI119" s="420"/>
      <c r="HJ119" s="420"/>
      <c r="HK119" s="420"/>
      <c r="HL119" s="420"/>
      <c r="HM119" s="420"/>
      <c r="HN119" s="420"/>
      <c r="HO119" s="420"/>
      <c r="HP119" s="420"/>
      <c r="HQ119" s="420"/>
      <c r="HR119" s="420"/>
      <c r="HS119" s="420"/>
      <c r="HT119" s="420"/>
      <c r="HU119" s="420"/>
      <c r="HV119" s="420"/>
      <c r="HW119" s="420"/>
      <c r="HX119" s="420"/>
      <c r="HY119" s="420"/>
      <c r="HZ119" s="420"/>
      <c r="IA119" s="420"/>
      <c r="IB119" s="420"/>
      <c r="IC119" s="420"/>
      <c r="ID119" s="420"/>
      <c r="IE119" s="420"/>
      <c r="IF119" s="420"/>
      <c r="IG119" s="420"/>
      <c r="IH119" s="420"/>
      <c r="II119" s="420"/>
      <c r="IJ119" s="420"/>
      <c r="IK119" s="420"/>
      <c r="IL119" s="420"/>
      <c r="IM119" s="420"/>
      <c r="IN119" s="420"/>
      <c r="IO119" s="420"/>
      <c r="IP119" s="420"/>
      <c r="IQ119" s="420"/>
      <c r="IR119" s="420"/>
      <c r="IS119" s="420"/>
      <c r="IT119" s="420"/>
      <c r="IU119" s="420"/>
      <c r="IV119" s="420"/>
      <c r="IW119" s="420"/>
      <c r="IX119" s="420"/>
      <c r="IY119" s="420"/>
      <c r="IZ119" s="420"/>
      <c r="JA119" s="420"/>
    </row>
    <row r="120" spans="1:261" s="768" customFormat="1" ht="20.100000000000001" customHeight="1" x14ac:dyDescent="0.35">
      <c r="A120" s="783">
        <v>110</v>
      </c>
      <c r="B120" s="776"/>
      <c r="C120" s="422"/>
      <c r="D120" s="1338" t="s">
        <v>986</v>
      </c>
      <c r="E120" s="432"/>
      <c r="F120" s="772"/>
      <c r="G120" s="433"/>
      <c r="H120" s="1009"/>
      <c r="I120" s="1005"/>
      <c r="J120" s="769"/>
      <c r="K120" s="769"/>
      <c r="L120" s="769"/>
      <c r="M120" s="769"/>
      <c r="N120" s="769"/>
      <c r="O120" s="1623">
        <f>SUM(I120:N120)</f>
        <v>0</v>
      </c>
      <c r="P120" s="773"/>
      <c r="Q120" s="420"/>
      <c r="R120" s="420"/>
      <c r="S120" s="420"/>
      <c r="T120" s="420"/>
      <c r="U120" s="420"/>
      <c r="V120" s="420"/>
      <c r="W120" s="420"/>
      <c r="X120" s="420"/>
      <c r="Y120" s="420"/>
      <c r="Z120" s="420"/>
      <c r="AA120" s="420"/>
      <c r="AB120" s="420"/>
      <c r="AC120" s="420"/>
      <c r="AD120" s="420"/>
      <c r="AE120" s="420"/>
      <c r="AF120" s="420"/>
      <c r="AG120" s="420"/>
      <c r="AH120" s="420"/>
      <c r="AI120" s="420"/>
      <c r="AJ120" s="420"/>
      <c r="AK120" s="420"/>
      <c r="AL120" s="420"/>
      <c r="AM120" s="420"/>
      <c r="AN120" s="420"/>
      <c r="AO120" s="420"/>
      <c r="AP120" s="420"/>
      <c r="AQ120" s="420"/>
      <c r="AR120" s="420"/>
      <c r="AS120" s="420"/>
      <c r="AT120" s="420"/>
      <c r="AU120" s="420"/>
      <c r="AV120" s="420"/>
      <c r="AW120" s="420"/>
      <c r="AX120" s="420"/>
      <c r="AY120" s="420"/>
      <c r="AZ120" s="420"/>
      <c r="BA120" s="420"/>
      <c r="BB120" s="420"/>
      <c r="BC120" s="420"/>
      <c r="BD120" s="420"/>
      <c r="BE120" s="420"/>
      <c r="BF120" s="420"/>
      <c r="BG120" s="420"/>
      <c r="BH120" s="420"/>
      <c r="BI120" s="420"/>
      <c r="BJ120" s="420"/>
      <c r="BK120" s="420"/>
      <c r="BL120" s="420"/>
      <c r="BM120" s="420"/>
      <c r="BN120" s="420"/>
      <c r="BO120" s="420"/>
      <c r="BP120" s="420"/>
      <c r="BQ120" s="420"/>
      <c r="BR120" s="420"/>
      <c r="BS120" s="420"/>
      <c r="BT120" s="420"/>
      <c r="BU120" s="420"/>
      <c r="BV120" s="420"/>
      <c r="BW120" s="420"/>
      <c r="BX120" s="420"/>
      <c r="BY120" s="420"/>
      <c r="BZ120" s="420"/>
      <c r="CA120" s="420"/>
      <c r="CB120" s="420"/>
      <c r="CC120" s="420"/>
      <c r="CD120" s="420"/>
      <c r="CE120" s="420"/>
      <c r="CF120" s="420"/>
      <c r="CG120" s="420"/>
      <c r="CH120" s="420"/>
      <c r="CI120" s="420"/>
      <c r="CJ120" s="420"/>
      <c r="CK120" s="420"/>
      <c r="CL120" s="420"/>
      <c r="CM120" s="420"/>
      <c r="CN120" s="420"/>
      <c r="CO120" s="420"/>
      <c r="CP120" s="420"/>
      <c r="CQ120" s="420"/>
      <c r="CR120" s="420"/>
      <c r="CS120" s="420"/>
      <c r="CT120" s="420"/>
      <c r="CU120" s="420"/>
      <c r="CV120" s="420"/>
      <c r="CW120" s="420"/>
      <c r="CX120" s="420"/>
      <c r="CY120" s="420"/>
      <c r="CZ120" s="420"/>
      <c r="DA120" s="420"/>
      <c r="DB120" s="420"/>
      <c r="DC120" s="420"/>
      <c r="DD120" s="420"/>
      <c r="DE120" s="420"/>
      <c r="DF120" s="420"/>
      <c r="DG120" s="420"/>
      <c r="DH120" s="420"/>
      <c r="DI120" s="420"/>
      <c r="DJ120" s="420"/>
      <c r="DK120" s="420"/>
      <c r="DL120" s="420"/>
      <c r="DM120" s="420"/>
      <c r="DN120" s="420"/>
      <c r="DO120" s="420"/>
      <c r="DP120" s="420"/>
      <c r="DQ120" s="420"/>
      <c r="DR120" s="420"/>
      <c r="DS120" s="420"/>
      <c r="DT120" s="420"/>
      <c r="DU120" s="420"/>
      <c r="DV120" s="420"/>
      <c r="DW120" s="420"/>
      <c r="DX120" s="420"/>
      <c r="DY120" s="420"/>
      <c r="DZ120" s="420"/>
      <c r="EA120" s="420"/>
      <c r="EB120" s="420"/>
      <c r="EC120" s="420"/>
      <c r="ED120" s="420"/>
      <c r="EE120" s="420"/>
      <c r="EF120" s="420"/>
      <c r="EG120" s="420"/>
      <c r="EH120" s="420"/>
      <c r="EI120" s="420"/>
      <c r="EJ120" s="420"/>
      <c r="EK120" s="420"/>
      <c r="EL120" s="420"/>
      <c r="EM120" s="420"/>
      <c r="EN120" s="420"/>
      <c r="EO120" s="420"/>
      <c r="EP120" s="420"/>
      <c r="EQ120" s="420"/>
      <c r="ER120" s="420"/>
      <c r="ES120" s="420"/>
      <c r="ET120" s="420"/>
      <c r="EU120" s="420"/>
      <c r="EV120" s="420"/>
      <c r="EW120" s="420"/>
      <c r="EX120" s="420"/>
      <c r="EY120" s="420"/>
      <c r="EZ120" s="420"/>
      <c r="FA120" s="420"/>
      <c r="FB120" s="420"/>
      <c r="FC120" s="420"/>
      <c r="FD120" s="420"/>
      <c r="FE120" s="420"/>
      <c r="FF120" s="420"/>
      <c r="FG120" s="420"/>
      <c r="FH120" s="420"/>
      <c r="FI120" s="420"/>
      <c r="FJ120" s="420"/>
      <c r="FK120" s="420"/>
      <c r="FL120" s="420"/>
      <c r="FM120" s="420"/>
      <c r="FN120" s="420"/>
      <c r="FO120" s="420"/>
      <c r="FP120" s="420"/>
      <c r="FQ120" s="420"/>
      <c r="FR120" s="420"/>
      <c r="FS120" s="420"/>
      <c r="FT120" s="420"/>
      <c r="FU120" s="420"/>
      <c r="FV120" s="420"/>
      <c r="FW120" s="420"/>
      <c r="FX120" s="420"/>
      <c r="FY120" s="420"/>
      <c r="FZ120" s="420"/>
      <c r="GA120" s="420"/>
      <c r="GB120" s="420"/>
      <c r="GC120" s="420"/>
      <c r="GD120" s="420"/>
      <c r="GE120" s="420"/>
      <c r="GF120" s="420"/>
      <c r="GG120" s="420"/>
      <c r="GH120" s="420"/>
      <c r="GI120" s="420"/>
      <c r="GJ120" s="420"/>
      <c r="GK120" s="420"/>
      <c r="GL120" s="420"/>
      <c r="GM120" s="420"/>
      <c r="GN120" s="420"/>
      <c r="GO120" s="420"/>
      <c r="GP120" s="420"/>
      <c r="GQ120" s="420"/>
      <c r="GR120" s="420"/>
      <c r="GS120" s="420"/>
      <c r="GT120" s="420"/>
      <c r="GU120" s="420"/>
      <c r="GV120" s="420"/>
      <c r="GW120" s="420"/>
      <c r="GX120" s="420"/>
      <c r="GY120" s="420"/>
      <c r="GZ120" s="420"/>
      <c r="HA120" s="420"/>
      <c r="HB120" s="420"/>
      <c r="HC120" s="420"/>
      <c r="HD120" s="420"/>
      <c r="HE120" s="420"/>
      <c r="HF120" s="420"/>
      <c r="HG120" s="420"/>
      <c r="HH120" s="420"/>
      <c r="HI120" s="420"/>
      <c r="HJ120" s="420"/>
      <c r="HK120" s="420"/>
      <c r="HL120" s="420"/>
      <c r="HM120" s="420"/>
      <c r="HN120" s="420"/>
      <c r="HO120" s="420"/>
      <c r="HP120" s="420"/>
      <c r="HQ120" s="420"/>
      <c r="HR120" s="420"/>
      <c r="HS120" s="420"/>
      <c r="HT120" s="420"/>
      <c r="HU120" s="420"/>
      <c r="HV120" s="420"/>
      <c r="HW120" s="420"/>
      <c r="HX120" s="420"/>
      <c r="HY120" s="420"/>
      <c r="HZ120" s="420"/>
      <c r="IA120" s="420"/>
      <c r="IB120" s="420"/>
      <c r="IC120" s="420"/>
      <c r="ID120" s="420"/>
      <c r="IE120" s="420"/>
      <c r="IF120" s="420"/>
      <c r="IG120" s="420"/>
      <c r="IH120" s="420"/>
      <c r="II120" s="420"/>
      <c r="IJ120" s="420"/>
      <c r="IK120" s="420"/>
      <c r="IL120" s="420"/>
      <c r="IM120" s="420"/>
      <c r="IN120" s="420"/>
      <c r="IO120" s="420"/>
      <c r="IP120" s="420"/>
      <c r="IQ120" s="420"/>
      <c r="IR120" s="420"/>
      <c r="IS120" s="420"/>
      <c r="IT120" s="420"/>
      <c r="IU120" s="420"/>
      <c r="IV120" s="420"/>
      <c r="IW120" s="420"/>
      <c r="IX120" s="420"/>
      <c r="IY120" s="420"/>
      <c r="IZ120" s="420"/>
      <c r="JA120" s="420"/>
    </row>
    <row r="121" spans="1:261" s="768" customFormat="1" ht="18" customHeight="1" x14ac:dyDescent="0.35">
      <c r="A121" s="783">
        <v>111</v>
      </c>
      <c r="B121" s="776"/>
      <c r="C121" s="422"/>
      <c r="D121" s="583" t="s">
        <v>1151</v>
      </c>
      <c r="E121" s="432"/>
      <c r="F121" s="772"/>
      <c r="G121" s="433"/>
      <c r="H121" s="1009"/>
      <c r="I121" s="1005"/>
      <c r="J121" s="769"/>
      <c r="K121" s="769">
        <f>SUM(K119:K120)</f>
        <v>565</v>
      </c>
      <c r="L121" s="769"/>
      <c r="M121" s="769"/>
      <c r="N121" s="769"/>
      <c r="O121" s="777">
        <f>SUM(I121:N121)</f>
        <v>565</v>
      </c>
      <c r="P121" s="773"/>
      <c r="Q121" s="420"/>
      <c r="R121" s="420"/>
      <c r="S121" s="420"/>
      <c r="T121" s="420"/>
      <c r="U121" s="420"/>
      <c r="V121" s="420"/>
      <c r="W121" s="420"/>
      <c r="X121" s="420"/>
      <c r="Y121" s="420"/>
      <c r="Z121" s="420"/>
      <c r="AA121" s="420"/>
      <c r="AB121" s="420"/>
      <c r="AC121" s="420"/>
      <c r="AD121" s="420"/>
      <c r="AE121" s="420"/>
      <c r="AF121" s="420"/>
      <c r="AG121" s="420"/>
      <c r="AH121" s="420"/>
      <c r="AI121" s="420"/>
      <c r="AJ121" s="420"/>
      <c r="AK121" s="420"/>
      <c r="AL121" s="420"/>
      <c r="AM121" s="420"/>
      <c r="AN121" s="420"/>
      <c r="AO121" s="420"/>
      <c r="AP121" s="420"/>
      <c r="AQ121" s="420"/>
      <c r="AR121" s="420"/>
      <c r="AS121" s="420"/>
      <c r="AT121" s="420"/>
      <c r="AU121" s="420"/>
      <c r="AV121" s="420"/>
      <c r="AW121" s="420"/>
      <c r="AX121" s="420"/>
      <c r="AY121" s="420"/>
      <c r="AZ121" s="420"/>
      <c r="BA121" s="420"/>
      <c r="BB121" s="420"/>
      <c r="BC121" s="420"/>
      <c r="BD121" s="420"/>
      <c r="BE121" s="420"/>
      <c r="BF121" s="420"/>
      <c r="BG121" s="420"/>
      <c r="BH121" s="420"/>
      <c r="BI121" s="420"/>
      <c r="BJ121" s="420"/>
      <c r="BK121" s="420"/>
      <c r="BL121" s="420"/>
      <c r="BM121" s="420"/>
      <c r="BN121" s="420"/>
      <c r="BO121" s="420"/>
      <c r="BP121" s="420"/>
      <c r="BQ121" s="420"/>
      <c r="BR121" s="420"/>
      <c r="BS121" s="420"/>
      <c r="BT121" s="420"/>
      <c r="BU121" s="420"/>
      <c r="BV121" s="420"/>
      <c r="BW121" s="420"/>
      <c r="BX121" s="420"/>
      <c r="BY121" s="420"/>
      <c r="BZ121" s="420"/>
      <c r="CA121" s="420"/>
      <c r="CB121" s="420"/>
      <c r="CC121" s="420"/>
      <c r="CD121" s="420"/>
      <c r="CE121" s="420"/>
      <c r="CF121" s="420"/>
      <c r="CG121" s="420"/>
      <c r="CH121" s="420"/>
      <c r="CI121" s="420"/>
      <c r="CJ121" s="420"/>
      <c r="CK121" s="420"/>
      <c r="CL121" s="420"/>
      <c r="CM121" s="420"/>
      <c r="CN121" s="420"/>
      <c r="CO121" s="420"/>
      <c r="CP121" s="420"/>
      <c r="CQ121" s="420"/>
      <c r="CR121" s="420"/>
      <c r="CS121" s="420"/>
      <c r="CT121" s="420"/>
      <c r="CU121" s="420"/>
      <c r="CV121" s="420"/>
      <c r="CW121" s="420"/>
      <c r="CX121" s="420"/>
      <c r="CY121" s="420"/>
      <c r="CZ121" s="420"/>
      <c r="DA121" s="420"/>
      <c r="DB121" s="420"/>
      <c r="DC121" s="420"/>
      <c r="DD121" s="420"/>
      <c r="DE121" s="420"/>
      <c r="DF121" s="420"/>
      <c r="DG121" s="420"/>
      <c r="DH121" s="420"/>
      <c r="DI121" s="420"/>
      <c r="DJ121" s="420"/>
      <c r="DK121" s="420"/>
      <c r="DL121" s="420"/>
      <c r="DM121" s="420"/>
      <c r="DN121" s="420"/>
      <c r="DO121" s="420"/>
      <c r="DP121" s="420"/>
      <c r="DQ121" s="420"/>
      <c r="DR121" s="420"/>
      <c r="DS121" s="420"/>
      <c r="DT121" s="420"/>
      <c r="DU121" s="420"/>
      <c r="DV121" s="420"/>
      <c r="DW121" s="420"/>
      <c r="DX121" s="420"/>
      <c r="DY121" s="420"/>
      <c r="DZ121" s="420"/>
      <c r="EA121" s="420"/>
      <c r="EB121" s="420"/>
      <c r="EC121" s="420"/>
      <c r="ED121" s="420"/>
      <c r="EE121" s="420"/>
      <c r="EF121" s="420"/>
      <c r="EG121" s="420"/>
      <c r="EH121" s="420"/>
      <c r="EI121" s="420"/>
      <c r="EJ121" s="420"/>
      <c r="EK121" s="420"/>
      <c r="EL121" s="420"/>
      <c r="EM121" s="420"/>
      <c r="EN121" s="420"/>
      <c r="EO121" s="420"/>
      <c r="EP121" s="420"/>
      <c r="EQ121" s="420"/>
      <c r="ER121" s="420"/>
      <c r="ES121" s="420"/>
      <c r="ET121" s="420"/>
      <c r="EU121" s="420"/>
      <c r="EV121" s="420"/>
      <c r="EW121" s="420"/>
      <c r="EX121" s="420"/>
      <c r="EY121" s="420"/>
      <c r="EZ121" s="420"/>
      <c r="FA121" s="420"/>
      <c r="FB121" s="420"/>
      <c r="FC121" s="420"/>
      <c r="FD121" s="420"/>
      <c r="FE121" s="420"/>
      <c r="FF121" s="420"/>
      <c r="FG121" s="420"/>
      <c r="FH121" s="420"/>
      <c r="FI121" s="420"/>
      <c r="FJ121" s="420"/>
      <c r="FK121" s="420"/>
      <c r="FL121" s="420"/>
      <c r="FM121" s="420"/>
      <c r="FN121" s="420"/>
      <c r="FO121" s="420"/>
      <c r="FP121" s="420"/>
      <c r="FQ121" s="420"/>
      <c r="FR121" s="420"/>
      <c r="FS121" s="420"/>
      <c r="FT121" s="420"/>
      <c r="FU121" s="420"/>
      <c r="FV121" s="420"/>
      <c r="FW121" s="420"/>
      <c r="FX121" s="420"/>
      <c r="FY121" s="420"/>
      <c r="FZ121" s="420"/>
      <c r="GA121" s="420"/>
      <c r="GB121" s="420"/>
      <c r="GC121" s="420"/>
      <c r="GD121" s="420"/>
      <c r="GE121" s="420"/>
      <c r="GF121" s="420"/>
      <c r="GG121" s="420"/>
      <c r="GH121" s="420"/>
      <c r="GI121" s="420"/>
      <c r="GJ121" s="420"/>
      <c r="GK121" s="420"/>
      <c r="GL121" s="420"/>
      <c r="GM121" s="420"/>
      <c r="GN121" s="420"/>
      <c r="GO121" s="420"/>
      <c r="GP121" s="420"/>
      <c r="GQ121" s="420"/>
      <c r="GR121" s="420"/>
      <c r="GS121" s="420"/>
      <c r="GT121" s="420"/>
      <c r="GU121" s="420"/>
      <c r="GV121" s="420"/>
      <c r="GW121" s="420"/>
      <c r="GX121" s="420"/>
      <c r="GY121" s="420"/>
      <c r="GZ121" s="420"/>
      <c r="HA121" s="420"/>
      <c r="HB121" s="420"/>
      <c r="HC121" s="420"/>
      <c r="HD121" s="420"/>
      <c r="HE121" s="420"/>
      <c r="HF121" s="420"/>
      <c r="HG121" s="420"/>
      <c r="HH121" s="420"/>
      <c r="HI121" s="420"/>
      <c r="HJ121" s="420"/>
      <c r="HK121" s="420"/>
      <c r="HL121" s="420"/>
      <c r="HM121" s="420"/>
      <c r="HN121" s="420"/>
      <c r="HO121" s="420"/>
      <c r="HP121" s="420"/>
      <c r="HQ121" s="420"/>
      <c r="HR121" s="420"/>
      <c r="HS121" s="420"/>
      <c r="HT121" s="420"/>
      <c r="HU121" s="420"/>
      <c r="HV121" s="420"/>
      <c r="HW121" s="420"/>
      <c r="HX121" s="420"/>
      <c r="HY121" s="420"/>
      <c r="HZ121" s="420"/>
      <c r="IA121" s="420"/>
      <c r="IB121" s="420"/>
      <c r="IC121" s="420"/>
      <c r="ID121" s="420"/>
      <c r="IE121" s="420"/>
      <c r="IF121" s="420"/>
      <c r="IG121" s="420"/>
      <c r="IH121" s="420"/>
      <c r="II121" s="420"/>
      <c r="IJ121" s="420"/>
      <c r="IK121" s="420"/>
      <c r="IL121" s="420"/>
      <c r="IM121" s="420"/>
      <c r="IN121" s="420"/>
      <c r="IO121" s="420"/>
      <c r="IP121" s="420"/>
      <c r="IQ121" s="420"/>
      <c r="IR121" s="420"/>
      <c r="IS121" s="420"/>
      <c r="IT121" s="420"/>
      <c r="IU121" s="420"/>
      <c r="IV121" s="420"/>
      <c r="IW121" s="420"/>
      <c r="IX121" s="420"/>
      <c r="IY121" s="420"/>
      <c r="IZ121" s="420"/>
      <c r="JA121" s="420"/>
    </row>
    <row r="122" spans="1:261" ht="45.75" customHeight="1" x14ac:dyDescent="0.35">
      <c r="A122" s="783">
        <v>112</v>
      </c>
      <c r="B122" s="625"/>
      <c r="C122" s="422">
        <v>23</v>
      </c>
      <c r="D122" s="424" t="s">
        <v>687</v>
      </c>
      <c r="E122" s="432"/>
      <c r="F122" s="772"/>
      <c r="G122" s="433"/>
      <c r="H122" s="1009" t="s">
        <v>24</v>
      </c>
      <c r="I122" s="1027"/>
      <c r="J122" s="1023"/>
      <c r="K122" s="1023"/>
      <c r="L122" s="1023"/>
      <c r="M122" s="1023"/>
      <c r="N122" s="1023"/>
      <c r="O122" s="992"/>
      <c r="P122" s="773"/>
    </row>
    <row r="123" spans="1:261" s="768" customFormat="1" ht="18" customHeight="1" x14ac:dyDescent="0.35">
      <c r="A123" s="783">
        <v>113</v>
      </c>
      <c r="B123" s="776"/>
      <c r="C123" s="466"/>
      <c r="D123" s="1002" t="s">
        <v>311</v>
      </c>
      <c r="E123" s="432">
        <f>F123+G123+O126+P126</f>
        <v>267126</v>
      </c>
      <c r="F123" s="772">
        <v>4379</v>
      </c>
      <c r="G123" s="433">
        <f>7747+5080</f>
        <v>12827</v>
      </c>
      <c r="H123" s="1009"/>
      <c r="I123" s="1027"/>
      <c r="J123" s="1023"/>
      <c r="K123" s="1023">
        <v>3667</v>
      </c>
      <c r="L123" s="1023"/>
      <c r="M123" s="1023">
        <v>246253</v>
      </c>
      <c r="N123" s="1023"/>
      <c r="O123" s="992">
        <f>SUM(I123:N123)</f>
        <v>249920</v>
      </c>
      <c r="P123" s="773"/>
      <c r="Q123" s="420"/>
      <c r="R123" s="420"/>
      <c r="S123" s="420"/>
      <c r="T123" s="420"/>
      <c r="U123" s="420"/>
      <c r="V123" s="420"/>
      <c r="W123" s="420"/>
      <c r="X123" s="420"/>
      <c r="Y123" s="420"/>
      <c r="Z123" s="420"/>
      <c r="AA123" s="420"/>
      <c r="AB123" s="420"/>
      <c r="AC123" s="420"/>
      <c r="AD123" s="420"/>
      <c r="AE123" s="420"/>
      <c r="AF123" s="420"/>
      <c r="AG123" s="420"/>
      <c r="AH123" s="420"/>
      <c r="AI123" s="420"/>
      <c r="AJ123" s="420"/>
      <c r="AK123" s="420"/>
      <c r="AL123" s="420"/>
      <c r="AM123" s="420"/>
      <c r="AN123" s="420"/>
      <c r="AO123" s="420"/>
      <c r="AP123" s="420"/>
      <c r="AQ123" s="420"/>
      <c r="AR123" s="420"/>
      <c r="AS123" s="420"/>
      <c r="AT123" s="420"/>
      <c r="AU123" s="420"/>
      <c r="AV123" s="420"/>
      <c r="AW123" s="420"/>
      <c r="AX123" s="420"/>
      <c r="AY123" s="420"/>
      <c r="AZ123" s="420"/>
      <c r="BA123" s="420"/>
      <c r="BB123" s="420"/>
      <c r="BC123" s="420"/>
      <c r="BD123" s="420"/>
      <c r="BE123" s="420"/>
      <c r="BF123" s="420"/>
      <c r="BG123" s="420"/>
      <c r="BH123" s="420"/>
      <c r="BI123" s="420"/>
      <c r="BJ123" s="420"/>
      <c r="BK123" s="420"/>
      <c r="BL123" s="420"/>
      <c r="BM123" s="420"/>
      <c r="BN123" s="420"/>
      <c r="BO123" s="420"/>
      <c r="BP123" s="420"/>
      <c r="BQ123" s="420"/>
      <c r="BR123" s="420"/>
      <c r="BS123" s="420"/>
      <c r="BT123" s="420"/>
      <c r="BU123" s="420"/>
      <c r="BV123" s="420"/>
      <c r="BW123" s="420"/>
      <c r="BX123" s="420"/>
      <c r="BY123" s="420"/>
      <c r="BZ123" s="420"/>
      <c r="CA123" s="420"/>
      <c r="CB123" s="420"/>
      <c r="CC123" s="420"/>
      <c r="CD123" s="420"/>
      <c r="CE123" s="420"/>
      <c r="CF123" s="420"/>
      <c r="CG123" s="420"/>
      <c r="CH123" s="420"/>
      <c r="CI123" s="420"/>
      <c r="CJ123" s="420"/>
      <c r="CK123" s="420"/>
      <c r="CL123" s="420"/>
      <c r="CM123" s="420"/>
      <c r="CN123" s="420"/>
      <c r="CO123" s="420"/>
      <c r="CP123" s="420"/>
      <c r="CQ123" s="420"/>
      <c r="CR123" s="420"/>
      <c r="CS123" s="420"/>
      <c r="CT123" s="420"/>
      <c r="CU123" s="420"/>
      <c r="CV123" s="420"/>
      <c r="CW123" s="420"/>
      <c r="CX123" s="420"/>
      <c r="CY123" s="420"/>
      <c r="CZ123" s="420"/>
      <c r="DA123" s="420"/>
      <c r="DB123" s="420"/>
      <c r="DC123" s="420"/>
      <c r="DD123" s="420"/>
      <c r="DE123" s="420"/>
      <c r="DF123" s="420"/>
      <c r="DG123" s="420"/>
      <c r="DH123" s="420"/>
      <c r="DI123" s="420"/>
      <c r="DJ123" s="420"/>
      <c r="DK123" s="420"/>
      <c r="DL123" s="420"/>
      <c r="DM123" s="420"/>
      <c r="DN123" s="420"/>
      <c r="DO123" s="420"/>
      <c r="DP123" s="420"/>
      <c r="DQ123" s="420"/>
      <c r="DR123" s="420"/>
      <c r="DS123" s="420"/>
      <c r="DT123" s="420"/>
      <c r="DU123" s="420"/>
      <c r="DV123" s="420"/>
      <c r="DW123" s="420"/>
      <c r="DX123" s="420"/>
      <c r="DY123" s="420"/>
      <c r="DZ123" s="420"/>
      <c r="EA123" s="420"/>
      <c r="EB123" s="420"/>
      <c r="EC123" s="420"/>
      <c r="ED123" s="420"/>
      <c r="EE123" s="420"/>
      <c r="EF123" s="420"/>
      <c r="EG123" s="420"/>
      <c r="EH123" s="420"/>
      <c r="EI123" s="420"/>
      <c r="EJ123" s="420"/>
      <c r="EK123" s="420"/>
      <c r="EL123" s="420"/>
      <c r="EM123" s="420"/>
      <c r="EN123" s="420"/>
      <c r="EO123" s="420"/>
      <c r="EP123" s="420"/>
      <c r="EQ123" s="420"/>
      <c r="ER123" s="420"/>
      <c r="ES123" s="420"/>
      <c r="ET123" s="420"/>
      <c r="EU123" s="420"/>
      <c r="EV123" s="420"/>
      <c r="EW123" s="420"/>
      <c r="EX123" s="420"/>
      <c r="EY123" s="420"/>
      <c r="EZ123" s="420"/>
      <c r="FA123" s="420"/>
      <c r="FB123" s="420"/>
      <c r="FC123" s="420"/>
      <c r="FD123" s="420"/>
      <c r="FE123" s="420"/>
      <c r="FF123" s="420"/>
      <c r="FG123" s="420"/>
      <c r="FH123" s="420"/>
      <c r="FI123" s="420"/>
      <c r="FJ123" s="420"/>
      <c r="FK123" s="420"/>
      <c r="FL123" s="420"/>
      <c r="FM123" s="420"/>
      <c r="FN123" s="420"/>
      <c r="FO123" s="420"/>
      <c r="FP123" s="420"/>
      <c r="FQ123" s="420"/>
      <c r="FR123" s="420"/>
      <c r="FS123" s="420"/>
      <c r="FT123" s="420"/>
      <c r="FU123" s="420"/>
      <c r="FV123" s="420"/>
      <c r="FW123" s="420"/>
      <c r="FX123" s="420"/>
      <c r="FY123" s="420"/>
      <c r="FZ123" s="420"/>
      <c r="GA123" s="420"/>
      <c r="GB123" s="420"/>
      <c r="GC123" s="420"/>
      <c r="GD123" s="420"/>
      <c r="GE123" s="420"/>
      <c r="GF123" s="420"/>
      <c r="GG123" s="420"/>
      <c r="GH123" s="420"/>
      <c r="GI123" s="420"/>
      <c r="GJ123" s="420"/>
      <c r="GK123" s="420"/>
      <c r="GL123" s="420"/>
      <c r="GM123" s="420"/>
      <c r="GN123" s="420"/>
      <c r="GO123" s="420"/>
      <c r="GP123" s="420"/>
      <c r="GQ123" s="420"/>
      <c r="GR123" s="420"/>
      <c r="GS123" s="420"/>
      <c r="GT123" s="420"/>
      <c r="GU123" s="420"/>
      <c r="GV123" s="420"/>
      <c r="GW123" s="420"/>
      <c r="GX123" s="420"/>
      <c r="GY123" s="420"/>
      <c r="GZ123" s="420"/>
      <c r="HA123" s="420"/>
      <c r="HB123" s="420"/>
      <c r="HC123" s="420"/>
      <c r="HD123" s="420"/>
      <c r="HE123" s="420"/>
      <c r="HF123" s="420"/>
      <c r="HG123" s="420"/>
      <c r="HH123" s="420"/>
      <c r="HI123" s="420"/>
      <c r="HJ123" s="420"/>
      <c r="HK123" s="420"/>
      <c r="HL123" s="420"/>
      <c r="HM123" s="420"/>
      <c r="HN123" s="420"/>
      <c r="HO123" s="420"/>
      <c r="HP123" s="420"/>
      <c r="HQ123" s="420"/>
      <c r="HR123" s="420"/>
      <c r="HS123" s="420"/>
      <c r="HT123" s="420"/>
      <c r="HU123" s="420"/>
      <c r="HV123" s="420"/>
      <c r="HW123" s="420"/>
      <c r="HX123" s="420"/>
      <c r="HY123" s="420"/>
      <c r="HZ123" s="420"/>
      <c r="IA123" s="420"/>
      <c r="IB123" s="420"/>
      <c r="IC123" s="420"/>
      <c r="ID123" s="420"/>
      <c r="IE123" s="420"/>
      <c r="IF123" s="420"/>
      <c r="IG123" s="420"/>
      <c r="IH123" s="420"/>
      <c r="II123" s="420"/>
      <c r="IJ123" s="420"/>
      <c r="IK123" s="420"/>
      <c r="IL123" s="420"/>
      <c r="IM123" s="420"/>
      <c r="IN123" s="420"/>
      <c r="IO123" s="420"/>
      <c r="IP123" s="420"/>
      <c r="IQ123" s="420"/>
      <c r="IR123" s="420"/>
      <c r="IS123" s="420"/>
      <c r="IT123" s="420"/>
      <c r="IU123" s="420"/>
      <c r="IV123" s="420"/>
      <c r="IW123" s="420"/>
      <c r="IX123" s="420"/>
      <c r="IY123" s="420"/>
      <c r="IZ123" s="420"/>
      <c r="JA123" s="420"/>
    </row>
    <row r="124" spans="1:261" s="768" customFormat="1" ht="18" customHeight="1" x14ac:dyDescent="0.35">
      <c r="A124" s="783">
        <v>114</v>
      </c>
      <c r="B124" s="776"/>
      <c r="C124" s="466"/>
      <c r="D124" s="583" t="s">
        <v>1072</v>
      </c>
      <c r="E124" s="432"/>
      <c r="F124" s="772"/>
      <c r="G124" s="433"/>
      <c r="H124" s="1009"/>
      <c r="I124" s="1027"/>
      <c r="J124" s="1023"/>
      <c r="K124" s="769">
        <v>3667</v>
      </c>
      <c r="L124" s="769"/>
      <c r="M124" s="769">
        <v>246253</v>
      </c>
      <c r="N124" s="1023"/>
      <c r="O124" s="777">
        <f>SUM(I124:N124)</f>
        <v>249920</v>
      </c>
      <c r="P124" s="773"/>
      <c r="Q124" s="420"/>
      <c r="R124" s="420"/>
      <c r="S124" s="420"/>
      <c r="T124" s="420"/>
      <c r="U124" s="420"/>
      <c r="V124" s="420"/>
      <c r="W124" s="420"/>
      <c r="X124" s="420"/>
      <c r="Y124" s="420"/>
      <c r="Z124" s="420"/>
      <c r="AA124" s="420"/>
      <c r="AB124" s="420"/>
      <c r="AC124" s="420"/>
      <c r="AD124" s="420"/>
      <c r="AE124" s="420"/>
      <c r="AF124" s="420"/>
      <c r="AG124" s="420"/>
      <c r="AH124" s="420"/>
      <c r="AI124" s="420"/>
      <c r="AJ124" s="420"/>
      <c r="AK124" s="420"/>
      <c r="AL124" s="420"/>
      <c r="AM124" s="420"/>
      <c r="AN124" s="420"/>
      <c r="AO124" s="420"/>
      <c r="AP124" s="420"/>
      <c r="AQ124" s="420"/>
      <c r="AR124" s="420"/>
      <c r="AS124" s="420"/>
      <c r="AT124" s="420"/>
      <c r="AU124" s="420"/>
      <c r="AV124" s="420"/>
      <c r="AW124" s="420"/>
      <c r="AX124" s="420"/>
      <c r="AY124" s="420"/>
      <c r="AZ124" s="420"/>
      <c r="BA124" s="420"/>
      <c r="BB124" s="420"/>
      <c r="BC124" s="420"/>
      <c r="BD124" s="420"/>
      <c r="BE124" s="420"/>
      <c r="BF124" s="420"/>
      <c r="BG124" s="420"/>
      <c r="BH124" s="420"/>
      <c r="BI124" s="420"/>
      <c r="BJ124" s="420"/>
      <c r="BK124" s="420"/>
      <c r="BL124" s="420"/>
      <c r="BM124" s="420"/>
      <c r="BN124" s="420"/>
      <c r="BO124" s="420"/>
      <c r="BP124" s="420"/>
      <c r="BQ124" s="420"/>
      <c r="BR124" s="420"/>
      <c r="BS124" s="420"/>
      <c r="BT124" s="420"/>
      <c r="BU124" s="420"/>
      <c r="BV124" s="420"/>
      <c r="BW124" s="420"/>
      <c r="BX124" s="420"/>
      <c r="BY124" s="420"/>
      <c r="BZ124" s="420"/>
      <c r="CA124" s="420"/>
      <c r="CB124" s="420"/>
      <c r="CC124" s="420"/>
      <c r="CD124" s="420"/>
      <c r="CE124" s="420"/>
      <c r="CF124" s="420"/>
      <c r="CG124" s="420"/>
      <c r="CH124" s="420"/>
      <c r="CI124" s="420"/>
      <c r="CJ124" s="420"/>
      <c r="CK124" s="420"/>
      <c r="CL124" s="420"/>
      <c r="CM124" s="420"/>
      <c r="CN124" s="420"/>
      <c r="CO124" s="420"/>
      <c r="CP124" s="420"/>
      <c r="CQ124" s="420"/>
      <c r="CR124" s="420"/>
      <c r="CS124" s="420"/>
      <c r="CT124" s="420"/>
      <c r="CU124" s="420"/>
      <c r="CV124" s="420"/>
      <c r="CW124" s="420"/>
      <c r="CX124" s="420"/>
      <c r="CY124" s="420"/>
      <c r="CZ124" s="420"/>
      <c r="DA124" s="420"/>
      <c r="DB124" s="420"/>
      <c r="DC124" s="420"/>
      <c r="DD124" s="420"/>
      <c r="DE124" s="420"/>
      <c r="DF124" s="420"/>
      <c r="DG124" s="420"/>
      <c r="DH124" s="420"/>
      <c r="DI124" s="420"/>
      <c r="DJ124" s="420"/>
      <c r="DK124" s="420"/>
      <c r="DL124" s="420"/>
      <c r="DM124" s="420"/>
      <c r="DN124" s="420"/>
      <c r="DO124" s="420"/>
      <c r="DP124" s="420"/>
      <c r="DQ124" s="420"/>
      <c r="DR124" s="420"/>
      <c r="DS124" s="420"/>
      <c r="DT124" s="420"/>
      <c r="DU124" s="420"/>
      <c r="DV124" s="420"/>
      <c r="DW124" s="420"/>
      <c r="DX124" s="420"/>
      <c r="DY124" s="420"/>
      <c r="DZ124" s="420"/>
      <c r="EA124" s="420"/>
      <c r="EB124" s="420"/>
      <c r="EC124" s="420"/>
      <c r="ED124" s="420"/>
      <c r="EE124" s="420"/>
      <c r="EF124" s="420"/>
      <c r="EG124" s="420"/>
      <c r="EH124" s="420"/>
      <c r="EI124" s="420"/>
      <c r="EJ124" s="420"/>
      <c r="EK124" s="420"/>
      <c r="EL124" s="420"/>
      <c r="EM124" s="420"/>
      <c r="EN124" s="420"/>
      <c r="EO124" s="420"/>
      <c r="EP124" s="420"/>
      <c r="EQ124" s="420"/>
      <c r="ER124" s="420"/>
      <c r="ES124" s="420"/>
      <c r="ET124" s="420"/>
      <c r="EU124" s="420"/>
      <c r="EV124" s="420"/>
      <c r="EW124" s="420"/>
      <c r="EX124" s="420"/>
      <c r="EY124" s="420"/>
      <c r="EZ124" s="420"/>
      <c r="FA124" s="420"/>
      <c r="FB124" s="420"/>
      <c r="FC124" s="420"/>
      <c r="FD124" s="420"/>
      <c r="FE124" s="420"/>
      <c r="FF124" s="420"/>
      <c r="FG124" s="420"/>
      <c r="FH124" s="420"/>
      <c r="FI124" s="420"/>
      <c r="FJ124" s="420"/>
      <c r="FK124" s="420"/>
      <c r="FL124" s="420"/>
      <c r="FM124" s="420"/>
      <c r="FN124" s="420"/>
      <c r="FO124" s="420"/>
      <c r="FP124" s="420"/>
      <c r="FQ124" s="420"/>
      <c r="FR124" s="420"/>
      <c r="FS124" s="420"/>
      <c r="FT124" s="420"/>
      <c r="FU124" s="420"/>
      <c r="FV124" s="420"/>
      <c r="FW124" s="420"/>
      <c r="FX124" s="420"/>
      <c r="FY124" s="420"/>
      <c r="FZ124" s="420"/>
      <c r="GA124" s="420"/>
      <c r="GB124" s="420"/>
      <c r="GC124" s="420"/>
      <c r="GD124" s="420"/>
      <c r="GE124" s="420"/>
      <c r="GF124" s="420"/>
      <c r="GG124" s="420"/>
      <c r="GH124" s="420"/>
      <c r="GI124" s="420"/>
      <c r="GJ124" s="420"/>
      <c r="GK124" s="420"/>
      <c r="GL124" s="420"/>
      <c r="GM124" s="420"/>
      <c r="GN124" s="420"/>
      <c r="GO124" s="420"/>
      <c r="GP124" s="420"/>
      <c r="GQ124" s="420"/>
      <c r="GR124" s="420"/>
      <c r="GS124" s="420"/>
      <c r="GT124" s="420"/>
      <c r="GU124" s="420"/>
      <c r="GV124" s="420"/>
      <c r="GW124" s="420"/>
      <c r="GX124" s="420"/>
      <c r="GY124" s="420"/>
      <c r="GZ124" s="420"/>
      <c r="HA124" s="420"/>
      <c r="HB124" s="420"/>
      <c r="HC124" s="420"/>
      <c r="HD124" s="420"/>
      <c r="HE124" s="420"/>
      <c r="HF124" s="420"/>
      <c r="HG124" s="420"/>
      <c r="HH124" s="420"/>
      <c r="HI124" s="420"/>
      <c r="HJ124" s="420"/>
      <c r="HK124" s="420"/>
      <c r="HL124" s="420"/>
      <c r="HM124" s="420"/>
      <c r="HN124" s="420"/>
      <c r="HO124" s="420"/>
      <c r="HP124" s="420"/>
      <c r="HQ124" s="420"/>
      <c r="HR124" s="420"/>
      <c r="HS124" s="420"/>
      <c r="HT124" s="420"/>
      <c r="HU124" s="420"/>
      <c r="HV124" s="420"/>
      <c r="HW124" s="420"/>
      <c r="HX124" s="420"/>
      <c r="HY124" s="420"/>
      <c r="HZ124" s="420"/>
      <c r="IA124" s="420"/>
      <c r="IB124" s="420"/>
      <c r="IC124" s="420"/>
      <c r="ID124" s="420"/>
      <c r="IE124" s="420"/>
      <c r="IF124" s="420"/>
      <c r="IG124" s="420"/>
      <c r="IH124" s="420"/>
      <c r="II124" s="420"/>
      <c r="IJ124" s="420"/>
      <c r="IK124" s="420"/>
      <c r="IL124" s="420"/>
      <c r="IM124" s="420"/>
      <c r="IN124" s="420"/>
      <c r="IO124" s="420"/>
      <c r="IP124" s="420"/>
      <c r="IQ124" s="420"/>
      <c r="IR124" s="420"/>
      <c r="IS124" s="420"/>
      <c r="IT124" s="420"/>
      <c r="IU124" s="420"/>
      <c r="IV124" s="420"/>
      <c r="IW124" s="420"/>
      <c r="IX124" s="420"/>
      <c r="IY124" s="420"/>
      <c r="IZ124" s="420"/>
      <c r="JA124" s="420"/>
    </row>
    <row r="125" spans="1:261" s="768" customFormat="1" ht="18" customHeight="1" x14ac:dyDescent="0.35">
      <c r="A125" s="783">
        <v>115</v>
      </c>
      <c r="B125" s="776"/>
      <c r="C125" s="466"/>
      <c r="D125" s="1338" t="s">
        <v>963</v>
      </c>
      <c r="E125" s="432"/>
      <c r="F125" s="772"/>
      <c r="G125" s="433"/>
      <c r="H125" s="1009"/>
      <c r="I125" s="1005"/>
      <c r="J125" s="769"/>
      <c r="K125" s="769"/>
      <c r="L125" s="769"/>
      <c r="M125" s="769"/>
      <c r="N125" s="769"/>
      <c r="O125" s="1623">
        <f>SUM(I125:N125)</f>
        <v>0</v>
      </c>
      <c r="P125" s="773"/>
      <c r="Q125" s="420"/>
      <c r="R125" s="420"/>
      <c r="S125" s="420"/>
      <c r="T125" s="420"/>
      <c r="U125" s="420"/>
      <c r="V125" s="420"/>
      <c r="W125" s="420"/>
      <c r="X125" s="420"/>
      <c r="Y125" s="420"/>
      <c r="Z125" s="420"/>
      <c r="AA125" s="420"/>
      <c r="AB125" s="420"/>
      <c r="AC125" s="420"/>
      <c r="AD125" s="420"/>
      <c r="AE125" s="420"/>
      <c r="AF125" s="420"/>
      <c r="AG125" s="420"/>
      <c r="AH125" s="420"/>
      <c r="AI125" s="420"/>
      <c r="AJ125" s="420"/>
      <c r="AK125" s="420"/>
      <c r="AL125" s="420"/>
      <c r="AM125" s="420"/>
      <c r="AN125" s="420"/>
      <c r="AO125" s="420"/>
      <c r="AP125" s="420"/>
      <c r="AQ125" s="420"/>
      <c r="AR125" s="420"/>
      <c r="AS125" s="420"/>
      <c r="AT125" s="420"/>
      <c r="AU125" s="420"/>
      <c r="AV125" s="420"/>
      <c r="AW125" s="420"/>
      <c r="AX125" s="420"/>
      <c r="AY125" s="420"/>
      <c r="AZ125" s="420"/>
      <c r="BA125" s="420"/>
      <c r="BB125" s="420"/>
      <c r="BC125" s="420"/>
      <c r="BD125" s="420"/>
      <c r="BE125" s="420"/>
      <c r="BF125" s="420"/>
      <c r="BG125" s="420"/>
      <c r="BH125" s="420"/>
      <c r="BI125" s="420"/>
      <c r="BJ125" s="420"/>
      <c r="BK125" s="420"/>
      <c r="BL125" s="420"/>
      <c r="BM125" s="420"/>
      <c r="BN125" s="420"/>
      <c r="BO125" s="420"/>
      <c r="BP125" s="420"/>
      <c r="BQ125" s="420"/>
      <c r="BR125" s="420"/>
      <c r="BS125" s="420"/>
      <c r="BT125" s="420"/>
      <c r="BU125" s="420"/>
      <c r="BV125" s="420"/>
      <c r="BW125" s="420"/>
      <c r="BX125" s="420"/>
      <c r="BY125" s="420"/>
      <c r="BZ125" s="420"/>
      <c r="CA125" s="420"/>
      <c r="CB125" s="420"/>
      <c r="CC125" s="420"/>
      <c r="CD125" s="420"/>
      <c r="CE125" s="420"/>
      <c r="CF125" s="420"/>
      <c r="CG125" s="420"/>
      <c r="CH125" s="420"/>
      <c r="CI125" s="420"/>
      <c r="CJ125" s="420"/>
      <c r="CK125" s="420"/>
      <c r="CL125" s="420"/>
      <c r="CM125" s="420"/>
      <c r="CN125" s="420"/>
      <c r="CO125" s="420"/>
      <c r="CP125" s="420"/>
      <c r="CQ125" s="420"/>
      <c r="CR125" s="420"/>
      <c r="CS125" s="420"/>
      <c r="CT125" s="420"/>
      <c r="CU125" s="420"/>
      <c r="CV125" s="420"/>
      <c r="CW125" s="420"/>
      <c r="CX125" s="420"/>
      <c r="CY125" s="420"/>
      <c r="CZ125" s="420"/>
      <c r="DA125" s="420"/>
      <c r="DB125" s="420"/>
      <c r="DC125" s="420"/>
      <c r="DD125" s="420"/>
      <c r="DE125" s="420"/>
      <c r="DF125" s="420"/>
      <c r="DG125" s="420"/>
      <c r="DH125" s="420"/>
      <c r="DI125" s="420"/>
      <c r="DJ125" s="420"/>
      <c r="DK125" s="420"/>
      <c r="DL125" s="420"/>
      <c r="DM125" s="420"/>
      <c r="DN125" s="420"/>
      <c r="DO125" s="420"/>
      <c r="DP125" s="420"/>
      <c r="DQ125" s="420"/>
      <c r="DR125" s="420"/>
      <c r="DS125" s="420"/>
      <c r="DT125" s="420"/>
      <c r="DU125" s="420"/>
      <c r="DV125" s="420"/>
      <c r="DW125" s="420"/>
      <c r="DX125" s="420"/>
      <c r="DY125" s="420"/>
      <c r="DZ125" s="420"/>
      <c r="EA125" s="420"/>
      <c r="EB125" s="420"/>
      <c r="EC125" s="420"/>
      <c r="ED125" s="420"/>
      <c r="EE125" s="420"/>
      <c r="EF125" s="420"/>
      <c r="EG125" s="420"/>
      <c r="EH125" s="420"/>
      <c r="EI125" s="420"/>
      <c r="EJ125" s="420"/>
      <c r="EK125" s="420"/>
      <c r="EL125" s="420"/>
      <c r="EM125" s="420"/>
      <c r="EN125" s="420"/>
      <c r="EO125" s="420"/>
      <c r="EP125" s="420"/>
      <c r="EQ125" s="420"/>
      <c r="ER125" s="420"/>
      <c r="ES125" s="420"/>
      <c r="ET125" s="420"/>
      <c r="EU125" s="420"/>
      <c r="EV125" s="420"/>
      <c r="EW125" s="420"/>
      <c r="EX125" s="420"/>
      <c r="EY125" s="420"/>
      <c r="EZ125" s="420"/>
      <c r="FA125" s="420"/>
      <c r="FB125" s="420"/>
      <c r="FC125" s="420"/>
      <c r="FD125" s="420"/>
      <c r="FE125" s="420"/>
      <c r="FF125" s="420"/>
      <c r="FG125" s="420"/>
      <c r="FH125" s="420"/>
      <c r="FI125" s="420"/>
      <c r="FJ125" s="420"/>
      <c r="FK125" s="420"/>
      <c r="FL125" s="420"/>
      <c r="FM125" s="420"/>
      <c r="FN125" s="420"/>
      <c r="FO125" s="420"/>
      <c r="FP125" s="420"/>
      <c r="FQ125" s="420"/>
      <c r="FR125" s="420"/>
      <c r="FS125" s="420"/>
      <c r="FT125" s="420"/>
      <c r="FU125" s="420"/>
      <c r="FV125" s="420"/>
      <c r="FW125" s="420"/>
      <c r="FX125" s="420"/>
      <c r="FY125" s="420"/>
      <c r="FZ125" s="420"/>
      <c r="GA125" s="420"/>
      <c r="GB125" s="420"/>
      <c r="GC125" s="420"/>
      <c r="GD125" s="420"/>
      <c r="GE125" s="420"/>
      <c r="GF125" s="420"/>
      <c r="GG125" s="420"/>
      <c r="GH125" s="420"/>
      <c r="GI125" s="420"/>
      <c r="GJ125" s="420"/>
      <c r="GK125" s="420"/>
      <c r="GL125" s="420"/>
      <c r="GM125" s="420"/>
      <c r="GN125" s="420"/>
      <c r="GO125" s="420"/>
      <c r="GP125" s="420"/>
      <c r="GQ125" s="420"/>
      <c r="GR125" s="420"/>
      <c r="GS125" s="420"/>
      <c r="GT125" s="420"/>
      <c r="GU125" s="420"/>
      <c r="GV125" s="420"/>
      <c r="GW125" s="420"/>
      <c r="GX125" s="420"/>
      <c r="GY125" s="420"/>
      <c r="GZ125" s="420"/>
      <c r="HA125" s="420"/>
      <c r="HB125" s="420"/>
      <c r="HC125" s="420"/>
      <c r="HD125" s="420"/>
      <c r="HE125" s="420"/>
      <c r="HF125" s="420"/>
      <c r="HG125" s="420"/>
      <c r="HH125" s="420"/>
      <c r="HI125" s="420"/>
      <c r="HJ125" s="420"/>
      <c r="HK125" s="420"/>
      <c r="HL125" s="420"/>
      <c r="HM125" s="420"/>
      <c r="HN125" s="420"/>
      <c r="HO125" s="420"/>
      <c r="HP125" s="420"/>
      <c r="HQ125" s="420"/>
      <c r="HR125" s="420"/>
      <c r="HS125" s="420"/>
      <c r="HT125" s="420"/>
      <c r="HU125" s="420"/>
      <c r="HV125" s="420"/>
      <c r="HW125" s="420"/>
      <c r="HX125" s="420"/>
      <c r="HY125" s="420"/>
      <c r="HZ125" s="420"/>
      <c r="IA125" s="420"/>
      <c r="IB125" s="420"/>
      <c r="IC125" s="420"/>
      <c r="ID125" s="420"/>
      <c r="IE125" s="420"/>
      <c r="IF125" s="420"/>
      <c r="IG125" s="420"/>
      <c r="IH125" s="420"/>
      <c r="II125" s="420"/>
      <c r="IJ125" s="420"/>
      <c r="IK125" s="420"/>
      <c r="IL125" s="420"/>
      <c r="IM125" s="420"/>
      <c r="IN125" s="420"/>
      <c r="IO125" s="420"/>
      <c r="IP125" s="420"/>
      <c r="IQ125" s="420"/>
      <c r="IR125" s="420"/>
      <c r="IS125" s="420"/>
      <c r="IT125" s="420"/>
      <c r="IU125" s="420"/>
      <c r="IV125" s="420"/>
      <c r="IW125" s="420"/>
      <c r="IX125" s="420"/>
      <c r="IY125" s="420"/>
      <c r="IZ125" s="420"/>
      <c r="JA125" s="420"/>
    </row>
    <row r="126" spans="1:261" s="768" customFormat="1" ht="18" customHeight="1" x14ac:dyDescent="0.35">
      <c r="A126" s="783">
        <v>116</v>
      </c>
      <c r="B126" s="776"/>
      <c r="C126" s="466"/>
      <c r="D126" s="583" t="s">
        <v>1151</v>
      </c>
      <c r="E126" s="432"/>
      <c r="F126" s="772"/>
      <c r="G126" s="433"/>
      <c r="H126" s="1009"/>
      <c r="I126" s="1005"/>
      <c r="J126" s="769"/>
      <c r="K126" s="769">
        <f>SUM(K124:K125)</f>
        <v>3667</v>
      </c>
      <c r="L126" s="769"/>
      <c r="M126" s="769">
        <f>SUM(M124:M125)</f>
        <v>246253</v>
      </c>
      <c r="N126" s="769"/>
      <c r="O126" s="777">
        <f>SUM(I126:N126)</f>
        <v>249920</v>
      </c>
      <c r="P126" s="773"/>
      <c r="Q126" s="420"/>
      <c r="R126" s="420"/>
      <c r="S126" s="420"/>
      <c r="T126" s="420"/>
      <c r="U126" s="420"/>
      <c r="V126" s="420"/>
      <c r="W126" s="420"/>
      <c r="X126" s="420"/>
      <c r="Y126" s="420"/>
      <c r="Z126" s="420"/>
      <c r="AA126" s="420"/>
      <c r="AB126" s="420"/>
      <c r="AC126" s="420"/>
      <c r="AD126" s="420"/>
      <c r="AE126" s="420"/>
      <c r="AF126" s="420"/>
      <c r="AG126" s="420"/>
      <c r="AH126" s="420"/>
      <c r="AI126" s="420"/>
      <c r="AJ126" s="420"/>
      <c r="AK126" s="420"/>
      <c r="AL126" s="420"/>
      <c r="AM126" s="420"/>
      <c r="AN126" s="420"/>
      <c r="AO126" s="420"/>
      <c r="AP126" s="420"/>
      <c r="AQ126" s="420"/>
      <c r="AR126" s="420"/>
      <c r="AS126" s="420"/>
      <c r="AT126" s="420"/>
      <c r="AU126" s="420"/>
      <c r="AV126" s="420"/>
      <c r="AW126" s="420"/>
      <c r="AX126" s="420"/>
      <c r="AY126" s="420"/>
      <c r="AZ126" s="420"/>
      <c r="BA126" s="420"/>
      <c r="BB126" s="420"/>
      <c r="BC126" s="420"/>
      <c r="BD126" s="420"/>
      <c r="BE126" s="420"/>
      <c r="BF126" s="420"/>
      <c r="BG126" s="420"/>
      <c r="BH126" s="420"/>
      <c r="BI126" s="420"/>
      <c r="BJ126" s="420"/>
      <c r="BK126" s="420"/>
      <c r="BL126" s="420"/>
      <c r="BM126" s="420"/>
      <c r="BN126" s="420"/>
      <c r="BO126" s="420"/>
      <c r="BP126" s="420"/>
      <c r="BQ126" s="420"/>
      <c r="BR126" s="420"/>
      <c r="BS126" s="420"/>
      <c r="BT126" s="420"/>
      <c r="BU126" s="420"/>
      <c r="BV126" s="420"/>
      <c r="BW126" s="420"/>
      <c r="BX126" s="420"/>
      <c r="BY126" s="420"/>
      <c r="BZ126" s="420"/>
      <c r="CA126" s="420"/>
      <c r="CB126" s="420"/>
      <c r="CC126" s="420"/>
      <c r="CD126" s="420"/>
      <c r="CE126" s="420"/>
      <c r="CF126" s="420"/>
      <c r="CG126" s="420"/>
      <c r="CH126" s="420"/>
      <c r="CI126" s="420"/>
      <c r="CJ126" s="420"/>
      <c r="CK126" s="420"/>
      <c r="CL126" s="420"/>
      <c r="CM126" s="420"/>
      <c r="CN126" s="420"/>
      <c r="CO126" s="420"/>
      <c r="CP126" s="420"/>
      <c r="CQ126" s="420"/>
      <c r="CR126" s="420"/>
      <c r="CS126" s="420"/>
      <c r="CT126" s="420"/>
      <c r="CU126" s="420"/>
      <c r="CV126" s="420"/>
      <c r="CW126" s="420"/>
      <c r="CX126" s="420"/>
      <c r="CY126" s="420"/>
      <c r="CZ126" s="420"/>
      <c r="DA126" s="420"/>
      <c r="DB126" s="420"/>
      <c r="DC126" s="420"/>
      <c r="DD126" s="420"/>
      <c r="DE126" s="420"/>
      <c r="DF126" s="420"/>
      <c r="DG126" s="420"/>
      <c r="DH126" s="420"/>
      <c r="DI126" s="420"/>
      <c r="DJ126" s="420"/>
      <c r="DK126" s="420"/>
      <c r="DL126" s="420"/>
      <c r="DM126" s="420"/>
      <c r="DN126" s="420"/>
      <c r="DO126" s="420"/>
      <c r="DP126" s="420"/>
      <c r="DQ126" s="420"/>
      <c r="DR126" s="420"/>
      <c r="DS126" s="420"/>
      <c r="DT126" s="420"/>
      <c r="DU126" s="420"/>
      <c r="DV126" s="420"/>
      <c r="DW126" s="420"/>
      <c r="DX126" s="420"/>
      <c r="DY126" s="420"/>
      <c r="DZ126" s="420"/>
      <c r="EA126" s="420"/>
      <c r="EB126" s="420"/>
      <c r="EC126" s="420"/>
      <c r="ED126" s="420"/>
      <c r="EE126" s="420"/>
      <c r="EF126" s="420"/>
      <c r="EG126" s="420"/>
      <c r="EH126" s="420"/>
      <c r="EI126" s="420"/>
      <c r="EJ126" s="420"/>
      <c r="EK126" s="420"/>
      <c r="EL126" s="420"/>
      <c r="EM126" s="420"/>
      <c r="EN126" s="420"/>
      <c r="EO126" s="420"/>
      <c r="EP126" s="420"/>
      <c r="EQ126" s="420"/>
      <c r="ER126" s="420"/>
      <c r="ES126" s="420"/>
      <c r="ET126" s="420"/>
      <c r="EU126" s="420"/>
      <c r="EV126" s="420"/>
      <c r="EW126" s="420"/>
      <c r="EX126" s="420"/>
      <c r="EY126" s="420"/>
      <c r="EZ126" s="420"/>
      <c r="FA126" s="420"/>
      <c r="FB126" s="420"/>
      <c r="FC126" s="420"/>
      <c r="FD126" s="420"/>
      <c r="FE126" s="420"/>
      <c r="FF126" s="420"/>
      <c r="FG126" s="420"/>
      <c r="FH126" s="420"/>
      <c r="FI126" s="420"/>
      <c r="FJ126" s="420"/>
      <c r="FK126" s="420"/>
      <c r="FL126" s="420"/>
      <c r="FM126" s="420"/>
      <c r="FN126" s="420"/>
      <c r="FO126" s="420"/>
      <c r="FP126" s="420"/>
      <c r="FQ126" s="420"/>
      <c r="FR126" s="420"/>
      <c r="FS126" s="420"/>
      <c r="FT126" s="420"/>
      <c r="FU126" s="420"/>
      <c r="FV126" s="420"/>
      <c r="FW126" s="420"/>
      <c r="FX126" s="420"/>
      <c r="FY126" s="420"/>
      <c r="FZ126" s="420"/>
      <c r="GA126" s="420"/>
      <c r="GB126" s="420"/>
      <c r="GC126" s="420"/>
      <c r="GD126" s="420"/>
      <c r="GE126" s="420"/>
      <c r="GF126" s="420"/>
      <c r="GG126" s="420"/>
      <c r="GH126" s="420"/>
      <c r="GI126" s="420"/>
      <c r="GJ126" s="420"/>
      <c r="GK126" s="420"/>
      <c r="GL126" s="420"/>
      <c r="GM126" s="420"/>
      <c r="GN126" s="420"/>
      <c r="GO126" s="420"/>
      <c r="GP126" s="420"/>
      <c r="GQ126" s="420"/>
      <c r="GR126" s="420"/>
      <c r="GS126" s="420"/>
      <c r="GT126" s="420"/>
      <c r="GU126" s="420"/>
      <c r="GV126" s="420"/>
      <c r="GW126" s="420"/>
      <c r="GX126" s="420"/>
      <c r="GY126" s="420"/>
      <c r="GZ126" s="420"/>
      <c r="HA126" s="420"/>
      <c r="HB126" s="420"/>
      <c r="HC126" s="420"/>
      <c r="HD126" s="420"/>
      <c r="HE126" s="420"/>
      <c r="HF126" s="420"/>
      <c r="HG126" s="420"/>
      <c r="HH126" s="420"/>
      <c r="HI126" s="420"/>
      <c r="HJ126" s="420"/>
      <c r="HK126" s="420"/>
      <c r="HL126" s="420"/>
      <c r="HM126" s="420"/>
      <c r="HN126" s="420"/>
      <c r="HO126" s="420"/>
      <c r="HP126" s="420"/>
      <c r="HQ126" s="420"/>
      <c r="HR126" s="420"/>
      <c r="HS126" s="420"/>
      <c r="HT126" s="420"/>
      <c r="HU126" s="420"/>
      <c r="HV126" s="420"/>
      <c r="HW126" s="420"/>
      <c r="HX126" s="420"/>
      <c r="HY126" s="420"/>
      <c r="HZ126" s="420"/>
      <c r="IA126" s="420"/>
      <c r="IB126" s="420"/>
      <c r="IC126" s="420"/>
      <c r="ID126" s="420"/>
      <c r="IE126" s="420"/>
      <c r="IF126" s="420"/>
      <c r="IG126" s="420"/>
      <c r="IH126" s="420"/>
      <c r="II126" s="420"/>
      <c r="IJ126" s="420"/>
      <c r="IK126" s="420"/>
      <c r="IL126" s="420"/>
      <c r="IM126" s="420"/>
      <c r="IN126" s="420"/>
      <c r="IO126" s="420"/>
      <c r="IP126" s="420"/>
      <c r="IQ126" s="420"/>
      <c r="IR126" s="420"/>
      <c r="IS126" s="420"/>
      <c r="IT126" s="420"/>
      <c r="IU126" s="420"/>
      <c r="IV126" s="420"/>
      <c r="IW126" s="420"/>
      <c r="IX126" s="420"/>
      <c r="IY126" s="420"/>
      <c r="IZ126" s="420"/>
      <c r="JA126" s="420"/>
    </row>
    <row r="127" spans="1:261" ht="36.75" customHeight="1" x14ac:dyDescent="0.35">
      <c r="A127" s="783">
        <v>117</v>
      </c>
      <c r="B127" s="625"/>
      <c r="C127" s="422">
        <v>24</v>
      </c>
      <c r="D127" s="424" t="s">
        <v>852</v>
      </c>
      <c r="E127" s="432"/>
      <c r="F127" s="772"/>
      <c r="G127" s="433"/>
      <c r="H127" s="1009" t="s">
        <v>24</v>
      </c>
      <c r="I127" s="1027"/>
      <c r="J127" s="1023"/>
      <c r="K127" s="1023"/>
      <c r="L127" s="1023"/>
      <c r="M127" s="1023"/>
      <c r="N127" s="1023"/>
      <c r="O127" s="992"/>
      <c r="P127" s="773"/>
    </row>
    <row r="128" spans="1:261" s="768" customFormat="1" ht="18" customHeight="1" x14ac:dyDescent="0.35">
      <c r="A128" s="783">
        <v>118</v>
      </c>
      <c r="B128" s="776"/>
      <c r="C128" s="422"/>
      <c r="D128" s="1002" t="s">
        <v>311</v>
      </c>
      <c r="E128" s="432">
        <f>F128+G128+O131+P131+89379+55491</f>
        <v>184000</v>
      </c>
      <c r="F128" s="772">
        <v>9200</v>
      </c>
      <c r="G128" s="433">
        <f>3350+5228+2096+1</f>
        <v>10675</v>
      </c>
      <c r="H128" s="1009"/>
      <c r="I128" s="1027"/>
      <c r="J128" s="1023"/>
      <c r="K128" s="1023">
        <v>19255</v>
      </c>
      <c r="L128" s="1023"/>
      <c r="M128" s="1023"/>
      <c r="N128" s="1023"/>
      <c r="O128" s="992">
        <f>SUM(I128:N128)</f>
        <v>19255</v>
      </c>
      <c r="P128" s="773"/>
      <c r="Q128" s="420"/>
      <c r="R128" s="420"/>
      <c r="S128" s="420"/>
      <c r="T128" s="420"/>
      <c r="U128" s="420"/>
      <c r="V128" s="420"/>
      <c r="W128" s="420"/>
      <c r="X128" s="420"/>
      <c r="Y128" s="420"/>
      <c r="Z128" s="420"/>
      <c r="AA128" s="420"/>
      <c r="AB128" s="420"/>
      <c r="AC128" s="420"/>
      <c r="AD128" s="420"/>
      <c r="AE128" s="420"/>
      <c r="AF128" s="420"/>
      <c r="AG128" s="420"/>
      <c r="AH128" s="420"/>
      <c r="AI128" s="420"/>
      <c r="AJ128" s="420"/>
      <c r="AK128" s="420"/>
      <c r="AL128" s="420"/>
      <c r="AM128" s="420"/>
      <c r="AN128" s="420"/>
      <c r="AO128" s="420"/>
      <c r="AP128" s="420"/>
      <c r="AQ128" s="420"/>
      <c r="AR128" s="420"/>
      <c r="AS128" s="420"/>
      <c r="AT128" s="420"/>
      <c r="AU128" s="420"/>
      <c r="AV128" s="420"/>
      <c r="AW128" s="420"/>
      <c r="AX128" s="420"/>
      <c r="AY128" s="420"/>
      <c r="AZ128" s="420"/>
      <c r="BA128" s="420"/>
      <c r="BB128" s="420"/>
      <c r="BC128" s="420"/>
      <c r="BD128" s="420"/>
      <c r="BE128" s="420"/>
      <c r="BF128" s="420"/>
      <c r="BG128" s="420"/>
      <c r="BH128" s="420"/>
      <c r="BI128" s="420"/>
      <c r="BJ128" s="420"/>
      <c r="BK128" s="420"/>
      <c r="BL128" s="420"/>
      <c r="BM128" s="420"/>
      <c r="BN128" s="420"/>
      <c r="BO128" s="420"/>
      <c r="BP128" s="420"/>
      <c r="BQ128" s="420"/>
      <c r="BR128" s="420"/>
      <c r="BS128" s="420"/>
      <c r="BT128" s="420"/>
      <c r="BU128" s="420"/>
      <c r="BV128" s="420"/>
      <c r="BW128" s="420"/>
      <c r="BX128" s="420"/>
      <c r="BY128" s="420"/>
      <c r="BZ128" s="420"/>
      <c r="CA128" s="420"/>
      <c r="CB128" s="420"/>
      <c r="CC128" s="420"/>
      <c r="CD128" s="420"/>
      <c r="CE128" s="420"/>
      <c r="CF128" s="420"/>
      <c r="CG128" s="420"/>
      <c r="CH128" s="420"/>
      <c r="CI128" s="420"/>
      <c r="CJ128" s="420"/>
      <c r="CK128" s="420"/>
      <c r="CL128" s="420"/>
      <c r="CM128" s="420"/>
      <c r="CN128" s="420"/>
      <c r="CO128" s="420"/>
      <c r="CP128" s="420"/>
      <c r="CQ128" s="420"/>
      <c r="CR128" s="420"/>
      <c r="CS128" s="420"/>
      <c r="CT128" s="420"/>
      <c r="CU128" s="420"/>
      <c r="CV128" s="420"/>
      <c r="CW128" s="420"/>
      <c r="CX128" s="420"/>
      <c r="CY128" s="420"/>
      <c r="CZ128" s="420"/>
      <c r="DA128" s="420"/>
      <c r="DB128" s="420"/>
      <c r="DC128" s="420"/>
      <c r="DD128" s="420"/>
      <c r="DE128" s="420"/>
      <c r="DF128" s="420"/>
      <c r="DG128" s="420"/>
      <c r="DH128" s="420"/>
      <c r="DI128" s="420"/>
      <c r="DJ128" s="420"/>
      <c r="DK128" s="420"/>
      <c r="DL128" s="420"/>
      <c r="DM128" s="420"/>
      <c r="DN128" s="420"/>
      <c r="DO128" s="420"/>
      <c r="DP128" s="420"/>
      <c r="DQ128" s="420"/>
      <c r="DR128" s="420"/>
      <c r="DS128" s="420"/>
      <c r="DT128" s="420"/>
      <c r="DU128" s="420"/>
      <c r="DV128" s="420"/>
      <c r="DW128" s="420"/>
      <c r="DX128" s="420"/>
      <c r="DY128" s="420"/>
      <c r="DZ128" s="420"/>
      <c r="EA128" s="420"/>
      <c r="EB128" s="420"/>
      <c r="EC128" s="420"/>
      <c r="ED128" s="420"/>
      <c r="EE128" s="420"/>
      <c r="EF128" s="420"/>
      <c r="EG128" s="420"/>
      <c r="EH128" s="420"/>
      <c r="EI128" s="420"/>
      <c r="EJ128" s="420"/>
      <c r="EK128" s="420"/>
      <c r="EL128" s="420"/>
      <c r="EM128" s="420"/>
      <c r="EN128" s="420"/>
      <c r="EO128" s="420"/>
      <c r="EP128" s="420"/>
      <c r="EQ128" s="420"/>
      <c r="ER128" s="420"/>
      <c r="ES128" s="420"/>
      <c r="ET128" s="420"/>
      <c r="EU128" s="420"/>
      <c r="EV128" s="420"/>
      <c r="EW128" s="420"/>
      <c r="EX128" s="420"/>
      <c r="EY128" s="420"/>
      <c r="EZ128" s="420"/>
      <c r="FA128" s="420"/>
      <c r="FB128" s="420"/>
      <c r="FC128" s="420"/>
      <c r="FD128" s="420"/>
      <c r="FE128" s="420"/>
      <c r="FF128" s="420"/>
      <c r="FG128" s="420"/>
      <c r="FH128" s="420"/>
      <c r="FI128" s="420"/>
      <c r="FJ128" s="420"/>
      <c r="FK128" s="420"/>
      <c r="FL128" s="420"/>
      <c r="FM128" s="420"/>
      <c r="FN128" s="420"/>
      <c r="FO128" s="420"/>
      <c r="FP128" s="420"/>
      <c r="FQ128" s="420"/>
      <c r="FR128" s="420"/>
      <c r="FS128" s="420"/>
      <c r="FT128" s="420"/>
      <c r="FU128" s="420"/>
      <c r="FV128" s="420"/>
      <c r="FW128" s="420"/>
      <c r="FX128" s="420"/>
      <c r="FY128" s="420"/>
      <c r="FZ128" s="420"/>
      <c r="GA128" s="420"/>
      <c r="GB128" s="420"/>
      <c r="GC128" s="420"/>
      <c r="GD128" s="420"/>
      <c r="GE128" s="420"/>
      <c r="GF128" s="420"/>
      <c r="GG128" s="420"/>
      <c r="GH128" s="420"/>
      <c r="GI128" s="420"/>
      <c r="GJ128" s="420"/>
      <c r="GK128" s="420"/>
      <c r="GL128" s="420"/>
      <c r="GM128" s="420"/>
      <c r="GN128" s="420"/>
      <c r="GO128" s="420"/>
      <c r="GP128" s="420"/>
      <c r="GQ128" s="420"/>
      <c r="GR128" s="420"/>
      <c r="GS128" s="420"/>
      <c r="GT128" s="420"/>
      <c r="GU128" s="420"/>
      <c r="GV128" s="420"/>
      <c r="GW128" s="420"/>
      <c r="GX128" s="420"/>
      <c r="GY128" s="420"/>
      <c r="GZ128" s="420"/>
      <c r="HA128" s="420"/>
      <c r="HB128" s="420"/>
      <c r="HC128" s="420"/>
      <c r="HD128" s="420"/>
      <c r="HE128" s="420"/>
      <c r="HF128" s="420"/>
      <c r="HG128" s="420"/>
      <c r="HH128" s="420"/>
      <c r="HI128" s="420"/>
      <c r="HJ128" s="420"/>
      <c r="HK128" s="420"/>
      <c r="HL128" s="420"/>
      <c r="HM128" s="420"/>
      <c r="HN128" s="420"/>
      <c r="HO128" s="420"/>
      <c r="HP128" s="420"/>
      <c r="HQ128" s="420"/>
      <c r="HR128" s="420"/>
      <c r="HS128" s="420"/>
      <c r="HT128" s="420"/>
      <c r="HU128" s="420"/>
      <c r="HV128" s="420"/>
      <c r="HW128" s="420"/>
      <c r="HX128" s="420"/>
      <c r="HY128" s="420"/>
      <c r="HZ128" s="420"/>
      <c r="IA128" s="420"/>
      <c r="IB128" s="420"/>
      <c r="IC128" s="420"/>
      <c r="ID128" s="420"/>
      <c r="IE128" s="420"/>
      <c r="IF128" s="420"/>
      <c r="IG128" s="420"/>
      <c r="IH128" s="420"/>
      <c r="II128" s="420"/>
      <c r="IJ128" s="420"/>
      <c r="IK128" s="420"/>
      <c r="IL128" s="420"/>
      <c r="IM128" s="420"/>
      <c r="IN128" s="420"/>
      <c r="IO128" s="420"/>
      <c r="IP128" s="420"/>
      <c r="IQ128" s="420"/>
      <c r="IR128" s="420"/>
      <c r="IS128" s="420"/>
      <c r="IT128" s="420"/>
      <c r="IU128" s="420"/>
      <c r="IV128" s="420"/>
      <c r="IW128" s="420"/>
      <c r="IX128" s="420"/>
      <c r="IY128" s="420"/>
      <c r="IZ128" s="420"/>
      <c r="JA128" s="420"/>
    </row>
    <row r="129" spans="1:261" s="768" customFormat="1" ht="18" customHeight="1" x14ac:dyDescent="0.35">
      <c r="A129" s="783">
        <v>119</v>
      </c>
      <c r="B129" s="776"/>
      <c r="C129" s="422"/>
      <c r="D129" s="583" t="s">
        <v>1072</v>
      </c>
      <c r="E129" s="432"/>
      <c r="F129" s="772"/>
      <c r="G129" s="433"/>
      <c r="H129" s="1009"/>
      <c r="I129" s="1027"/>
      <c r="J129" s="1023"/>
      <c r="K129" s="769">
        <v>19255</v>
      </c>
      <c r="L129" s="1023"/>
      <c r="M129" s="1023"/>
      <c r="N129" s="1023"/>
      <c r="O129" s="777">
        <f>SUM(I129:N129)</f>
        <v>19255</v>
      </c>
      <c r="P129" s="773"/>
      <c r="Q129" s="420"/>
      <c r="R129" s="420"/>
      <c r="S129" s="420"/>
      <c r="T129" s="420"/>
      <c r="U129" s="420"/>
      <c r="V129" s="420"/>
      <c r="W129" s="420"/>
      <c r="X129" s="420"/>
      <c r="Y129" s="420"/>
      <c r="Z129" s="420"/>
      <c r="AA129" s="420"/>
      <c r="AB129" s="420"/>
      <c r="AC129" s="420"/>
      <c r="AD129" s="420"/>
      <c r="AE129" s="420"/>
      <c r="AF129" s="420"/>
      <c r="AG129" s="420"/>
      <c r="AH129" s="420"/>
      <c r="AI129" s="420"/>
      <c r="AJ129" s="420"/>
      <c r="AK129" s="420"/>
      <c r="AL129" s="420"/>
      <c r="AM129" s="420"/>
      <c r="AN129" s="420"/>
      <c r="AO129" s="420"/>
      <c r="AP129" s="420"/>
      <c r="AQ129" s="420"/>
      <c r="AR129" s="420"/>
      <c r="AS129" s="420"/>
      <c r="AT129" s="420"/>
      <c r="AU129" s="420"/>
      <c r="AV129" s="420"/>
      <c r="AW129" s="420"/>
      <c r="AX129" s="420"/>
      <c r="AY129" s="420"/>
      <c r="AZ129" s="420"/>
      <c r="BA129" s="420"/>
      <c r="BB129" s="420"/>
      <c r="BC129" s="420"/>
      <c r="BD129" s="420"/>
      <c r="BE129" s="420"/>
      <c r="BF129" s="420"/>
      <c r="BG129" s="420"/>
      <c r="BH129" s="420"/>
      <c r="BI129" s="420"/>
      <c r="BJ129" s="420"/>
      <c r="BK129" s="420"/>
      <c r="BL129" s="420"/>
      <c r="BM129" s="420"/>
      <c r="BN129" s="420"/>
      <c r="BO129" s="420"/>
      <c r="BP129" s="420"/>
      <c r="BQ129" s="420"/>
      <c r="BR129" s="420"/>
      <c r="BS129" s="420"/>
      <c r="BT129" s="420"/>
      <c r="BU129" s="420"/>
      <c r="BV129" s="420"/>
      <c r="BW129" s="420"/>
      <c r="BX129" s="420"/>
      <c r="BY129" s="420"/>
      <c r="BZ129" s="420"/>
      <c r="CA129" s="420"/>
      <c r="CB129" s="420"/>
      <c r="CC129" s="420"/>
      <c r="CD129" s="420"/>
      <c r="CE129" s="420"/>
      <c r="CF129" s="420"/>
      <c r="CG129" s="420"/>
      <c r="CH129" s="420"/>
      <c r="CI129" s="420"/>
      <c r="CJ129" s="420"/>
      <c r="CK129" s="420"/>
      <c r="CL129" s="420"/>
      <c r="CM129" s="420"/>
      <c r="CN129" s="420"/>
      <c r="CO129" s="420"/>
      <c r="CP129" s="420"/>
      <c r="CQ129" s="420"/>
      <c r="CR129" s="420"/>
      <c r="CS129" s="420"/>
      <c r="CT129" s="420"/>
      <c r="CU129" s="420"/>
      <c r="CV129" s="420"/>
      <c r="CW129" s="420"/>
      <c r="CX129" s="420"/>
      <c r="CY129" s="420"/>
      <c r="CZ129" s="420"/>
      <c r="DA129" s="420"/>
      <c r="DB129" s="420"/>
      <c r="DC129" s="420"/>
      <c r="DD129" s="420"/>
      <c r="DE129" s="420"/>
      <c r="DF129" s="420"/>
      <c r="DG129" s="420"/>
      <c r="DH129" s="420"/>
      <c r="DI129" s="420"/>
      <c r="DJ129" s="420"/>
      <c r="DK129" s="420"/>
      <c r="DL129" s="420"/>
      <c r="DM129" s="420"/>
      <c r="DN129" s="420"/>
      <c r="DO129" s="420"/>
      <c r="DP129" s="420"/>
      <c r="DQ129" s="420"/>
      <c r="DR129" s="420"/>
      <c r="DS129" s="420"/>
      <c r="DT129" s="420"/>
      <c r="DU129" s="420"/>
      <c r="DV129" s="420"/>
      <c r="DW129" s="420"/>
      <c r="DX129" s="420"/>
      <c r="DY129" s="420"/>
      <c r="DZ129" s="420"/>
      <c r="EA129" s="420"/>
      <c r="EB129" s="420"/>
      <c r="EC129" s="420"/>
      <c r="ED129" s="420"/>
      <c r="EE129" s="420"/>
      <c r="EF129" s="420"/>
      <c r="EG129" s="420"/>
      <c r="EH129" s="420"/>
      <c r="EI129" s="420"/>
      <c r="EJ129" s="420"/>
      <c r="EK129" s="420"/>
      <c r="EL129" s="420"/>
      <c r="EM129" s="420"/>
      <c r="EN129" s="420"/>
      <c r="EO129" s="420"/>
      <c r="EP129" s="420"/>
      <c r="EQ129" s="420"/>
      <c r="ER129" s="420"/>
      <c r="ES129" s="420"/>
      <c r="ET129" s="420"/>
      <c r="EU129" s="420"/>
      <c r="EV129" s="420"/>
      <c r="EW129" s="420"/>
      <c r="EX129" s="420"/>
      <c r="EY129" s="420"/>
      <c r="EZ129" s="420"/>
      <c r="FA129" s="420"/>
      <c r="FB129" s="420"/>
      <c r="FC129" s="420"/>
      <c r="FD129" s="420"/>
      <c r="FE129" s="420"/>
      <c r="FF129" s="420"/>
      <c r="FG129" s="420"/>
      <c r="FH129" s="420"/>
      <c r="FI129" s="420"/>
      <c r="FJ129" s="420"/>
      <c r="FK129" s="420"/>
      <c r="FL129" s="420"/>
      <c r="FM129" s="420"/>
      <c r="FN129" s="420"/>
      <c r="FO129" s="420"/>
      <c r="FP129" s="420"/>
      <c r="FQ129" s="420"/>
      <c r="FR129" s="420"/>
      <c r="FS129" s="420"/>
      <c r="FT129" s="420"/>
      <c r="FU129" s="420"/>
      <c r="FV129" s="420"/>
      <c r="FW129" s="420"/>
      <c r="FX129" s="420"/>
      <c r="FY129" s="420"/>
      <c r="FZ129" s="420"/>
      <c r="GA129" s="420"/>
      <c r="GB129" s="420"/>
      <c r="GC129" s="420"/>
      <c r="GD129" s="420"/>
      <c r="GE129" s="420"/>
      <c r="GF129" s="420"/>
      <c r="GG129" s="420"/>
      <c r="GH129" s="420"/>
      <c r="GI129" s="420"/>
      <c r="GJ129" s="420"/>
      <c r="GK129" s="420"/>
      <c r="GL129" s="420"/>
      <c r="GM129" s="420"/>
      <c r="GN129" s="420"/>
      <c r="GO129" s="420"/>
      <c r="GP129" s="420"/>
      <c r="GQ129" s="420"/>
      <c r="GR129" s="420"/>
      <c r="GS129" s="420"/>
      <c r="GT129" s="420"/>
      <c r="GU129" s="420"/>
      <c r="GV129" s="420"/>
      <c r="GW129" s="420"/>
      <c r="GX129" s="420"/>
      <c r="GY129" s="420"/>
      <c r="GZ129" s="420"/>
      <c r="HA129" s="420"/>
      <c r="HB129" s="420"/>
      <c r="HC129" s="420"/>
      <c r="HD129" s="420"/>
      <c r="HE129" s="420"/>
      <c r="HF129" s="420"/>
      <c r="HG129" s="420"/>
      <c r="HH129" s="420"/>
      <c r="HI129" s="420"/>
      <c r="HJ129" s="420"/>
      <c r="HK129" s="420"/>
      <c r="HL129" s="420"/>
      <c r="HM129" s="420"/>
      <c r="HN129" s="420"/>
      <c r="HO129" s="420"/>
      <c r="HP129" s="420"/>
      <c r="HQ129" s="420"/>
      <c r="HR129" s="420"/>
      <c r="HS129" s="420"/>
      <c r="HT129" s="420"/>
      <c r="HU129" s="420"/>
      <c r="HV129" s="420"/>
      <c r="HW129" s="420"/>
      <c r="HX129" s="420"/>
      <c r="HY129" s="420"/>
      <c r="HZ129" s="420"/>
      <c r="IA129" s="420"/>
      <c r="IB129" s="420"/>
      <c r="IC129" s="420"/>
      <c r="ID129" s="420"/>
      <c r="IE129" s="420"/>
      <c r="IF129" s="420"/>
      <c r="IG129" s="420"/>
      <c r="IH129" s="420"/>
      <c r="II129" s="420"/>
      <c r="IJ129" s="420"/>
      <c r="IK129" s="420"/>
      <c r="IL129" s="420"/>
      <c r="IM129" s="420"/>
      <c r="IN129" s="420"/>
      <c r="IO129" s="420"/>
      <c r="IP129" s="420"/>
      <c r="IQ129" s="420"/>
      <c r="IR129" s="420"/>
      <c r="IS129" s="420"/>
      <c r="IT129" s="420"/>
      <c r="IU129" s="420"/>
      <c r="IV129" s="420"/>
      <c r="IW129" s="420"/>
      <c r="IX129" s="420"/>
      <c r="IY129" s="420"/>
      <c r="IZ129" s="420"/>
      <c r="JA129" s="420"/>
    </row>
    <row r="130" spans="1:261" s="768" customFormat="1" ht="18" customHeight="1" x14ac:dyDescent="0.35">
      <c r="A130" s="783">
        <v>120</v>
      </c>
      <c r="B130" s="776"/>
      <c r="C130" s="422"/>
      <c r="D130" s="1338" t="s">
        <v>963</v>
      </c>
      <c r="E130" s="432"/>
      <c r="F130" s="772"/>
      <c r="G130" s="433"/>
      <c r="H130" s="1009"/>
      <c r="I130" s="1005"/>
      <c r="J130" s="769"/>
      <c r="K130" s="769"/>
      <c r="L130" s="769"/>
      <c r="M130" s="769"/>
      <c r="N130" s="769"/>
      <c r="O130" s="1623">
        <f>SUM(I130:N130)</f>
        <v>0</v>
      </c>
      <c r="P130" s="773"/>
      <c r="Q130" s="420"/>
      <c r="R130" s="420"/>
      <c r="S130" s="420"/>
      <c r="T130" s="420"/>
      <c r="U130" s="420"/>
      <c r="V130" s="420"/>
      <c r="W130" s="420"/>
      <c r="X130" s="420"/>
      <c r="Y130" s="420"/>
      <c r="Z130" s="420"/>
      <c r="AA130" s="420"/>
      <c r="AB130" s="420"/>
      <c r="AC130" s="420"/>
      <c r="AD130" s="420"/>
      <c r="AE130" s="420"/>
      <c r="AF130" s="420"/>
      <c r="AG130" s="420"/>
      <c r="AH130" s="420"/>
      <c r="AI130" s="420"/>
      <c r="AJ130" s="420"/>
      <c r="AK130" s="420"/>
      <c r="AL130" s="420"/>
      <c r="AM130" s="420"/>
      <c r="AN130" s="420"/>
      <c r="AO130" s="420"/>
      <c r="AP130" s="420"/>
      <c r="AQ130" s="420"/>
      <c r="AR130" s="420"/>
      <c r="AS130" s="420"/>
      <c r="AT130" s="420"/>
      <c r="AU130" s="420"/>
      <c r="AV130" s="420"/>
      <c r="AW130" s="420"/>
      <c r="AX130" s="420"/>
      <c r="AY130" s="420"/>
      <c r="AZ130" s="420"/>
      <c r="BA130" s="420"/>
      <c r="BB130" s="420"/>
      <c r="BC130" s="420"/>
      <c r="BD130" s="420"/>
      <c r="BE130" s="420"/>
      <c r="BF130" s="420"/>
      <c r="BG130" s="420"/>
      <c r="BH130" s="420"/>
      <c r="BI130" s="420"/>
      <c r="BJ130" s="420"/>
      <c r="BK130" s="420"/>
      <c r="BL130" s="420"/>
      <c r="BM130" s="420"/>
      <c r="BN130" s="420"/>
      <c r="BO130" s="420"/>
      <c r="BP130" s="420"/>
      <c r="BQ130" s="420"/>
      <c r="BR130" s="420"/>
      <c r="BS130" s="420"/>
      <c r="BT130" s="420"/>
      <c r="BU130" s="420"/>
      <c r="BV130" s="420"/>
      <c r="BW130" s="420"/>
      <c r="BX130" s="420"/>
      <c r="BY130" s="420"/>
      <c r="BZ130" s="420"/>
      <c r="CA130" s="420"/>
      <c r="CB130" s="420"/>
      <c r="CC130" s="420"/>
      <c r="CD130" s="420"/>
      <c r="CE130" s="420"/>
      <c r="CF130" s="420"/>
      <c r="CG130" s="420"/>
      <c r="CH130" s="420"/>
      <c r="CI130" s="420"/>
      <c r="CJ130" s="420"/>
      <c r="CK130" s="420"/>
      <c r="CL130" s="420"/>
      <c r="CM130" s="420"/>
      <c r="CN130" s="420"/>
      <c r="CO130" s="420"/>
      <c r="CP130" s="420"/>
      <c r="CQ130" s="420"/>
      <c r="CR130" s="420"/>
      <c r="CS130" s="420"/>
      <c r="CT130" s="420"/>
      <c r="CU130" s="420"/>
      <c r="CV130" s="420"/>
      <c r="CW130" s="420"/>
      <c r="CX130" s="420"/>
      <c r="CY130" s="420"/>
      <c r="CZ130" s="420"/>
      <c r="DA130" s="420"/>
      <c r="DB130" s="420"/>
      <c r="DC130" s="420"/>
      <c r="DD130" s="420"/>
      <c r="DE130" s="420"/>
      <c r="DF130" s="420"/>
      <c r="DG130" s="420"/>
      <c r="DH130" s="420"/>
      <c r="DI130" s="420"/>
      <c r="DJ130" s="420"/>
      <c r="DK130" s="420"/>
      <c r="DL130" s="420"/>
      <c r="DM130" s="420"/>
      <c r="DN130" s="420"/>
      <c r="DO130" s="420"/>
      <c r="DP130" s="420"/>
      <c r="DQ130" s="420"/>
      <c r="DR130" s="420"/>
      <c r="DS130" s="420"/>
      <c r="DT130" s="420"/>
      <c r="DU130" s="420"/>
      <c r="DV130" s="420"/>
      <c r="DW130" s="420"/>
      <c r="DX130" s="420"/>
      <c r="DY130" s="420"/>
      <c r="DZ130" s="420"/>
      <c r="EA130" s="420"/>
      <c r="EB130" s="420"/>
      <c r="EC130" s="420"/>
      <c r="ED130" s="420"/>
      <c r="EE130" s="420"/>
      <c r="EF130" s="420"/>
      <c r="EG130" s="420"/>
      <c r="EH130" s="420"/>
      <c r="EI130" s="420"/>
      <c r="EJ130" s="420"/>
      <c r="EK130" s="420"/>
      <c r="EL130" s="420"/>
      <c r="EM130" s="420"/>
      <c r="EN130" s="420"/>
      <c r="EO130" s="420"/>
      <c r="EP130" s="420"/>
      <c r="EQ130" s="420"/>
      <c r="ER130" s="420"/>
      <c r="ES130" s="420"/>
      <c r="ET130" s="420"/>
      <c r="EU130" s="420"/>
      <c r="EV130" s="420"/>
      <c r="EW130" s="420"/>
      <c r="EX130" s="420"/>
      <c r="EY130" s="420"/>
      <c r="EZ130" s="420"/>
      <c r="FA130" s="420"/>
      <c r="FB130" s="420"/>
      <c r="FC130" s="420"/>
      <c r="FD130" s="420"/>
      <c r="FE130" s="420"/>
      <c r="FF130" s="420"/>
      <c r="FG130" s="420"/>
      <c r="FH130" s="420"/>
      <c r="FI130" s="420"/>
      <c r="FJ130" s="420"/>
      <c r="FK130" s="420"/>
      <c r="FL130" s="420"/>
      <c r="FM130" s="420"/>
      <c r="FN130" s="420"/>
      <c r="FO130" s="420"/>
      <c r="FP130" s="420"/>
      <c r="FQ130" s="420"/>
      <c r="FR130" s="420"/>
      <c r="FS130" s="420"/>
      <c r="FT130" s="420"/>
      <c r="FU130" s="420"/>
      <c r="FV130" s="420"/>
      <c r="FW130" s="420"/>
      <c r="FX130" s="420"/>
      <c r="FY130" s="420"/>
      <c r="FZ130" s="420"/>
      <c r="GA130" s="420"/>
      <c r="GB130" s="420"/>
      <c r="GC130" s="420"/>
      <c r="GD130" s="420"/>
      <c r="GE130" s="420"/>
      <c r="GF130" s="420"/>
      <c r="GG130" s="420"/>
      <c r="GH130" s="420"/>
      <c r="GI130" s="420"/>
      <c r="GJ130" s="420"/>
      <c r="GK130" s="420"/>
      <c r="GL130" s="420"/>
      <c r="GM130" s="420"/>
      <c r="GN130" s="420"/>
      <c r="GO130" s="420"/>
      <c r="GP130" s="420"/>
      <c r="GQ130" s="420"/>
      <c r="GR130" s="420"/>
      <c r="GS130" s="420"/>
      <c r="GT130" s="420"/>
      <c r="GU130" s="420"/>
      <c r="GV130" s="420"/>
      <c r="GW130" s="420"/>
      <c r="GX130" s="420"/>
      <c r="GY130" s="420"/>
      <c r="GZ130" s="420"/>
      <c r="HA130" s="420"/>
      <c r="HB130" s="420"/>
      <c r="HC130" s="420"/>
      <c r="HD130" s="420"/>
      <c r="HE130" s="420"/>
      <c r="HF130" s="420"/>
      <c r="HG130" s="420"/>
      <c r="HH130" s="420"/>
      <c r="HI130" s="420"/>
      <c r="HJ130" s="420"/>
      <c r="HK130" s="420"/>
      <c r="HL130" s="420"/>
      <c r="HM130" s="420"/>
      <c r="HN130" s="420"/>
      <c r="HO130" s="420"/>
      <c r="HP130" s="420"/>
      <c r="HQ130" s="420"/>
      <c r="HR130" s="420"/>
      <c r="HS130" s="420"/>
      <c r="HT130" s="420"/>
      <c r="HU130" s="420"/>
      <c r="HV130" s="420"/>
      <c r="HW130" s="420"/>
      <c r="HX130" s="420"/>
      <c r="HY130" s="420"/>
      <c r="HZ130" s="420"/>
      <c r="IA130" s="420"/>
      <c r="IB130" s="420"/>
      <c r="IC130" s="420"/>
      <c r="ID130" s="420"/>
      <c r="IE130" s="420"/>
      <c r="IF130" s="420"/>
      <c r="IG130" s="420"/>
      <c r="IH130" s="420"/>
      <c r="II130" s="420"/>
      <c r="IJ130" s="420"/>
      <c r="IK130" s="420"/>
      <c r="IL130" s="420"/>
      <c r="IM130" s="420"/>
      <c r="IN130" s="420"/>
      <c r="IO130" s="420"/>
      <c r="IP130" s="420"/>
      <c r="IQ130" s="420"/>
      <c r="IR130" s="420"/>
      <c r="IS130" s="420"/>
      <c r="IT130" s="420"/>
      <c r="IU130" s="420"/>
      <c r="IV130" s="420"/>
      <c r="IW130" s="420"/>
      <c r="IX130" s="420"/>
      <c r="IY130" s="420"/>
      <c r="IZ130" s="420"/>
      <c r="JA130" s="420"/>
    </row>
    <row r="131" spans="1:261" s="768" customFormat="1" ht="18" customHeight="1" x14ac:dyDescent="0.35">
      <c r="A131" s="783">
        <v>121</v>
      </c>
      <c r="B131" s="776"/>
      <c r="C131" s="422"/>
      <c r="D131" s="583" t="s">
        <v>1151</v>
      </c>
      <c r="E131" s="432"/>
      <c r="F131" s="772"/>
      <c r="G131" s="433"/>
      <c r="H131" s="1009"/>
      <c r="I131" s="1005"/>
      <c r="J131" s="769"/>
      <c r="K131" s="769">
        <f>SUM(K129:K130)</f>
        <v>19255</v>
      </c>
      <c r="L131" s="769"/>
      <c r="M131" s="769"/>
      <c r="N131" s="769"/>
      <c r="O131" s="777">
        <f>SUM(I131:N131)</f>
        <v>19255</v>
      </c>
      <c r="P131" s="773"/>
      <c r="Q131" s="420"/>
      <c r="R131" s="420"/>
      <c r="S131" s="420"/>
      <c r="T131" s="420"/>
      <c r="U131" s="420"/>
      <c r="V131" s="420"/>
      <c r="W131" s="420"/>
      <c r="X131" s="420"/>
      <c r="Y131" s="420"/>
      <c r="Z131" s="420"/>
      <c r="AA131" s="420"/>
      <c r="AB131" s="420"/>
      <c r="AC131" s="420"/>
      <c r="AD131" s="420"/>
      <c r="AE131" s="420"/>
      <c r="AF131" s="420"/>
      <c r="AG131" s="420"/>
      <c r="AH131" s="420"/>
      <c r="AI131" s="420"/>
      <c r="AJ131" s="420"/>
      <c r="AK131" s="420"/>
      <c r="AL131" s="420"/>
      <c r="AM131" s="420"/>
      <c r="AN131" s="420"/>
      <c r="AO131" s="420"/>
      <c r="AP131" s="420"/>
      <c r="AQ131" s="420"/>
      <c r="AR131" s="420"/>
      <c r="AS131" s="420"/>
      <c r="AT131" s="420"/>
      <c r="AU131" s="420"/>
      <c r="AV131" s="420"/>
      <c r="AW131" s="420"/>
      <c r="AX131" s="420"/>
      <c r="AY131" s="420"/>
      <c r="AZ131" s="420"/>
      <c r="BA131" s="420"/>
      <c r="BB131" s="420"/>
      <c r="BC131" s="420"/>
      <c r="BD131" s="420"/>
      <c r="BE131" s="420"/>
      <c r="BF131" s="420"/>
      <c r="BG131" s="420"/>
      <c r="BH131" s="420"/>
      <c r="BI131" s="420"/>
      <c r="BJ131" s="420"/>
      <c r="BK131" s="420"/>
      <c r="BL131" s="420"/>
      <c r="BM131" s="420"/>
      <c r="BN131" s="420"/>
      <c r="BO131" s="420"/>
      <c r="BP131" s="420"/>
      <c r="BQ131" s="420"/>
      <c r="BR131" s="420"/>
      <c r="BS131" s="420"/>
      <c r="BT131" s="420"/>
      <c r="BU131" s="420"/>
      <c r="BV131" s="420"/>
      <c r="BW131" s="420"/>
      <c r="BX131" s="420"/>
      <c r="BY131" s="420"/>
      <c r="BZ131" s="420"/>
      <c r="CA131" s="420"/>
      <c r="CB131" s="420"/>
      <c r="CC131" s="420"/>
      <c r="CD131" s="420"/>
      <c r="CE131" s="420"/>
      <c r="CF131" s="420"/>
      <c r="CG131" s="420"/>
      <c r="CH131" s="420"/>
      <c r="CI131" s="420"/>
      <c r="CJ131" s="420"/>
      <c r="CK131" s="420"/>
      <c r="CL131" s="420"/>
      <c r="CM131" s="420"/>
      <c r="CN131" s="420"/>
      <c r="CO131" s="420"/>
      <c r="CP131" s="420"/>
      <c r="CQ131" s="420"/>
      <c r="CR131" s="420"/>
      <c r="CS131" s="420"/>
      <c r="CT131" s="420"/>
      <c r="CU131" s="420"/>
      <c r="CV131" s="420"/>
      <c r="CW131" s="420"/>
      <c r="CX131" s="420"/>
      <c r="CY131" s="420"/>
      <c r="CZ131" s="420"/>
      <c r="DA131" s="420"/>
      <c r="DB131" s="420"/>
      <c r="DC131" s="420"/>
      <c r="DD131" s="420"/>
      <c r="DE131" s="420"/>
      <c r="DF131" s="420"/>
      <c r="DG131" s="420"/>
      <c r="DH131" s="420"/>
      <c r="DI131" s="420"/>
      <c r="DJ131" s="420"/>
      <c r="DK131" s="420"/>
      <c r="DL131" s="420"/>
      <c r="DM131" s="420"/>
      <c r="DN131" s="420"/>
      <c r="DO131" s="420"/>
      <c r="DP131" s="420"/>
      <c r="DQ131" s="420"/>
      <c r="DR131" s="420"/>
      <c r="DS131" s="420"/>
      <c r="DT131" s="420"/>
      <c r="DU131" s="420"/>
      <c r="DV131" s="420"/>
      <c r="DW131" s="420"/>
      <c r="DX131" s="420"/>
      <c r="DY131" s="420"/>
      <c r="DZ131" s="420"/>
      <c r="EA131" s="420"/>
      <c r="EB131" s="420"/>
      <c r="EC131" s="420"/>
      <c r="ED131" s="420"/>
      <c r="EE131" s="420"/>
      <c r="EF131" s="420"/>
      <c r="EG131" s="420"/>
      <c r="EH131" s="420"/>
      <c r="EI131" s="420"/>
      <c r="EJ131" s="420"/>
      <c r="EK131" s="420"/>
      <c r="EL131" s="420"/>
      <c r="EM131" s="420"/>
      <c r="EN131" s="420"/>
      <c r="EO131" s="420"/>
      <c r="EP131" s="420"/>
      <c r="EQ131" s="420"/>
      <c r="ER131" s="420"/>
      <c r="ES131" s="420"/>
      <c r="ET131" s="420"/>
      <c r="EU131" s="420"/>
      <c r="EV131" s="420"/>
      <c r="EW131" s="420"/>
      <c r="EX131" s="420"/>
      <c r="EY131" s="420"/>
      <c r="EZ131" s="420"/>
      <c r="FA131" s="420"/>
      <c r="FB131" s="420"/>
      <c r="FC131" s="420"/>
      <c r="FD131" s="420"/>
      <c r="FE131" s="420"/>
      <c r="FF131" s="420"/>
      <c r="FG131" s="420"/>
      <c r="FH131" s="420"/>
      <c r="FI131" s="420"/>
      <c r="FJ131" s="420"/>
      <c r="FK131" s="420"/>
      <c r="FL131" s="420"/>
      <c r="FM131" s="420"/>
      <c r="FN131" s="420"/>
      <c r="FO131" s="420"/>
      <c r="FP131" s="420"/>
      <c r="FQ131" s="420"/>
      <c r="FR131" s="420"/>
      <c r="FS131" s="420"/>
      <c r="FT131" s="420"/>
      <c r="FU131" s="420"/>
      <c r="FV131" s="420"/>
      <c r="FW131" s="420"/>
      <c r="FX131" s="420"/>
      <c r="FY131" s="420"/>
      <c r="FZ131" s="420"/>
      <c r="GA131" s="420"/>
      <c r="GB131" s="420"/>
      <c r="GC131" s="420"/>
      <c r="GD131" s="420"/>
      <c r="GE131" s="420"/>
      <c r="GF131" s="420"/>
      <c r="GG131" s="420"/>
      <c r="GH131" s="420"/>
      <c r="GI131" s="420"/>
      <c r="GJ131" s="420"/>
      <c r="GK131" s="420"/>
      <c r="GL131" s="420"/>
      <c r="GM131" s="420"/>
      <c r="GN131" s="420"/>
      <c r="GO131" s="420"/>
      <c r="GP131" s="420"/>
      <c r="GQ131" s="420"/>
      <c r="GR131" s="420"/>
      <c r="GS131" s="420"/>
      <c r="GT131" s="420"/>
      <c r="GU131" s="420"/>
      <c r="GV131" s="420"/>
      <c r="GW131" s="420"/>
      <c r="GX131" s="420"/>
      <c r="GY131" s="420"/>
      <c r="GZ131" s="420"/>
      <c r="HA131" s="420"/>
      <c r="HB131" s="420"/>
      <c r="HC131" s="420"/>
      <c r="HD131" s="420"/>
      <c r="HE131" s="420"/>
      <c r="HF131" s="420"/>
      <c r="HG131" s="420"/>
      <c r="HH131" s="420"/>
      <c r="HI131" s="420"/>
      <c r="HJ131" s="420"/>
      <c r="HK131" s="420"/>
      <c r="HL131" s="420"/>
      <c r="HM131" s="420"/>
      <c r="HN131" s="420"/>
      <c r="HO131" s="420"/>
      <c r="HP131" s="420"/>
      <c r="HQ131" s="420"/>
      <c r="HR131" s="420"/>
      <c r="HS131" s="420"/>
      <c r="HT131" s="420"/>
      <c r="HU131" s="420"/>
      <c r="HV131" s="420"/>
      <c r="HW131" s="420"/>
      <c r="HX131" s="420"/>
      <c r="HY131" s="420"/>
      <c r="HZ131" s="420"/>
      <c r="IA131" s="420"/>
      <c r="IB131" s="420"/>
      <c r="IC131" s="420"/>
      <c r="ID131" s="420"/>
      <c r="IE131" s="420"/>
      <c r="IF131" s="420"/>
      <c r="IG131" s="420"/>
      <c r="IH131" s="420"/>
      <c r="II131" s="420"/>
      <c r="IJ131" s="420"/>
      <c r="IK131" s="420"/>
      <c r="IL131" s="420"/>
      <c r="IM131" s="420"/>
      <c r="IN131" s="420"/>
      <c r="IO131" s="420"/>
      <c r="IP131" s="420"/>
      <c r="IQ131" s="420"/>
      <c r="IR131" s="420"/>
      <c r="IS131" s="420"/>
      <c r="IT131" s="420"/>
      <c r="IU131" s="420"/>
      <c r="IV131" s="420"/>
      <c r="IW131" s="420"/>
      <c r="IX131" s="420"/>
      <c r="IY131" s="420"/>
      <c r="IZ131" s="420"/>
      <c r="JA131" s="420"/>
    </row>
    <row r="132" spans="1:261" ht="36" customHeight="1" x14ac:dyDescent="0.35">
      <c r="A132" s="783">
        <v>122</v>
      </c>
      <c r="B132" s="625"/>
      <c r="C132" s="422">
        <v>25</v>
      </c>
      <c r="D132" s="424" t="s">
        <v>540</v>
      </c>
      <c r="E132" s="432"/>
      <c r="F132" s="772"/>
      <c r="G132" s="433"/>
      <c r="H132" s="1009" t="s">
        <v>24</v>
      </c>
      <c r="I132" s="1027"/>
      <c r="J132" s="1023"/>
      <c r="K132" s="1023"/>
      <c r="L132" s="1023"/>
      <c r="M132" s="1023"/>
      <c r="N132" s="1023"/>
      <c r="O132" s="992"/>
      <c r="P132" s="773"/>
    </row>
    <row r="133" spans="1:261" s="768" customFormat="1" ht="18" customHeight="1" x14ac:dyDescent="0.35">
      <c r="A133" s="783">
        <v>123</v>
      </c>
      <c r="B133" s="776"/>
      <c r="C133" s="422"/>
      <c r="D133" s="1002" t="s">
        <v>311</v>
      </c>
      <c r="E133" s="432">
        <f>F133+G133+O136+P136+62</f>
        <v>49107</v>
      </c>
      <c r="F133" s="772">
        <v>1176</v>
      </c>
      <c r="G133" s="433">
        <f>23795+13</f>
        <v>23808</v>
      </c>
      <c r="H133" s="1009"/>
      <c r="I133" s="1027"/>
      <c r="J133" s="1023"/>
      <c r="K133" s="1023">
        <f>15925+8079</f>
        <v>24004</v>
      </c>
      <c r="L133" s="1023"/>
      <c r="M133" s="1023"/>
      <c r="N133" s="1023"/>
      <c r="O133" s="992">
        <f>SUM(I133:N133)</f>
        <v>24004</v>
      </c>
      <c r="P133" s="773"/>
      <c r="Q133" s="420"/>
      <c r="R133" s="420"/>
      <c r="S133" s="420"/>
      <c r="T133" s="420"/>
      <c r="U133" s="420"/>
      <c r="V133" s="420"/>
      <c r="W133" s="420"/>
      <c r="X133" s="420"/>
      <c r="Y133" s="420"/>
      <c r="Z133" s="420"/>
      <c r="AA133" s="420"/>
      <c r="AB133" s="420"/>
      <c r="AC133" s="420"/>
      <c r="AD133" s="420"/>
      <c r="AE133" s="420"/>
      <c r="AF133" s="420"/>
      <c r="AG133" s="420"/>
      <c r="AH133" s="420"/>
      <c r="AI133" s="420"/>
      <c r="AJ133" s="420"/>
      <c r="AK133" s="420"/>
      <c r="AL133" s="420"/>
      <c r="AM133" s="420"/>
      <c r="AN133" s="420"/>
      <c r="AO133" s="420"/>
      <c r="AP133" s="420"/>
      <c r="AQ133" s="420"/>
      <c r="AR133" s="420"/>
      <c r="AS133" s="420"/>
      <c r="AT133" s="420"/>
      <c r="AU133" s="420"/>
      <c r="AV133" s="420"/>
      <c r="AW133" s="420"/>
      <c r="AX133" s="420"/>
      <c r="AY133" s="420"/>
      <c r="AZ133" s="420"/>
      <c r="BA133" s="420"/>
      <c r="BB133" s="420"/>
      <c r="BC133" s="420"/>
      <c r="BD133" s="420"/>
      <c r="BE133" s="420"/>
      <c r="BF133" s="420"/>
      <c r="BG133" s="420"/>
      <c r="BH133" s="420"/>
      <c r="BI133" s="420"/>
      <c r="BJ133" s="420"/>
      <c r="BK133" s="420"/>
      <c r="BL133" s="420"/>
      <c r="BM133" s="420"/>
      <c r="BN133" s="420"/>
      <c r="BO133" s="420"/>
      <c r="BP133" s="420"/>
      <c r="BQ133" s="420"/>
      <c r="BR133" s="420"/>
      <c r="BS133" s="420"/>
      <c r="BT133" s="420"/>
      <c r="BU133" s="420"/>
      <c r="BV133" s="420"/>
      <c r="BW133" s="420"/>
      <c r="BX133" s="420"/>
      <c r="BY133" s="420"/>
      <c r="BZ133" s="420"/>
      <c r="CA133" s="420"/>
      <c r="CB133" s="420"/>
      <c r="CC133" s="420"/>
      <c r="CD133" s="420"/>
      <c r="CE133" s="420"/>
      <c r="CF133" s="420"/>
      <c r="CG133" s="420"/>
      <c r="CH133" s="420"/>
      <c r="CI133" s="420"/>
      <c r="CJ133" s="420"/>
      <c r="CK133" s="420"/>
      <c r="CL133" s="420"/>
      <c r="CM133" s="420"/>
      <c r="CN133" s="420"/>
      <c r="CO133" s="420"/>
      <c r="CP133" s="420"/>
      <c r="CQ133" s="420"/>
      <c r="CR133" s="420"/>
      <c r="CS133" s="420"/>
      <c r="CT133" s="420"/>
      <c r="CU133" s="420"/>
      <c r="CV133" s="420"/>
      <c r="CW133" s="420"/>
      <c r="CX133" s="420"/>
      <c r="CY133" s="420"/>
      <c r="CZ133" s="420"/>
      <c r="DA133" s="420"/>
      <c r="DB133" s="420"/>
      <c r="DC133" s="420"/>
      <c r="DD133" s="420"/>
      <c r="DE133" s="420"/>
      <c r="DF133" s="420"/>
      <c r="DG133" s="420"/>
      <c r="DH133" s="420"/>
      <c r="DI133" s="420"/>
      <c r="DJ133" s="420"/>
      <c r="DK133" s="420"/>
      <c r="DL133" s="420"/>
      <c r="DM133" s="420"/>
      <c r="DN133" s="420"/>
      <c r="DO133" s="420"/>
      <c r="DP133" s="420"/>
      <c r="DQ133" s="420"/>
      <c r="DR133" s="420"/>
      <c r="DS133" s="420"/>
      <c r="DT133" s="420"/>
      <c r="DU133" s="420"/>
      <c r="DV133" s="420"/>
      <c r="DW133" s="420"/>
      <c r="DX133" s="420"/>
      <c r="DY133" s="420"/>
      <c r="DZ133" s="420"/>
      <c r="EA133" s="420"/>
      <c r="EB133" s="420"/>
      <c r="EC133" s="420"/>
      <c r="ED133" s="420"/>
      <c r="EE133" s="420"/>
      <c r="EF133" s="420"/>
      <c r="EG133" s="420"/>
      <c r="EH133" s="420"/>
      <c r="EI133" s="420"/>
      <c r="EJ133" s="420"/>
      <c r="EK133" s="420"/>
      <c r="EL133" s="420"/>
      <c r="EM133" s="420"/>
      <c r="EN133" s="420"/>
      <c r="EO133" s="420"/>
      <c r="EP133" s="420"/>
      <c r="EQ133" s="420"/>
      <c r="ER133" s="420"/>
      <c r="ES133" s="420"/>
      <c r="ET133" s="420"/>
      <c r="EU133" s="420"/>
      <c r="EV133" s="420"/>
      <c r="EW133" s="420"/>
      <c r="EX133" s="420"/>
      <c r="EY133" s="420"/>
      <c r="EZ133" s="420"/>
      <c r="FA133" s="420"/>
      <c r="FB133" s="420"/>
      <c r="FC133" s="420"/>
      <c r="FD133" s="420"/>
      <c r="FE133" s="420"/>
      <c r="FF133" s="420"/>
      <c r="FG133" s="420"/>
      <c r="FH133" s="420"/>
      <c r="FI133" s="420"/>
      <c r="FJ133" s="420"/>
      <c r="FK133" s="420"/>
      <c r="FL133" s="420"/>
      <c r="FM133" s="420"/>
      <c r="FN133" s="420"/>
      <c r="FO133" s="420"/>
      <c r="FP133" s="420"/>
      <c r="FQ133" s="420"/>
      <c r="FR133" s="420"/>
      <c r="FS133" s="420"/>
      <c r="FT133" s="420"/>
      <c r="FU133" s="420"/>
      <c r="FV133" s="420"/>
      <c r="FW133" s="420"/>
      <c r="FX133" s="420"/>
      <c r="FY133" s="420"/>
      <c r="FZ133" s="420"/>
      <c r="GA133" s="420"/>
      <c r="GB133" s="420"/>
      <c r="GC133" s="420"/>
      <c r="GD133" s="420"/>
      <c r="GE133" s="420"/>
      <c r="GF133" s="420"/>
      <c r="GG133" s="420"/>
      <c r="GH133" s="420"/>
      <c r="GI133" s="420"/>
      <c r="GJ133" s="420"/>
      <c r="GK133" s="420"/>
      <c r="GL133" s="420"/>
      <c r="GM133" s="420"/>
      <c r="GN133" s="420"/>
      <c r="GO133" s="420"/>
      <c r="GP133" s="420"/>
      <c r="GQ133" s="420"/>
      <c r="GR133" s="420"/>
      <c r="GS133" s="420"/>
      <c r="GT133" s="420"/>
      <c r="GU133" s="420"/>
      <c r="GV133" s="420"/>
      <c r="GW133" s="420"/>
      <c r="GX133" s="420"/>
      <c r="GY133" s="420"/>
      <c r="GZ133" s="420"/>
      <c r="HA133" s="420"/>
      <c r="HB133" s="420"/>
      <c r="HC133" s="420"/>
      <c r="HD133" s="420"/>
      <c r="HE133" s="420"/>
      <c r="HF133" s="420"/>
      <c r="HG133" s="420"/>
      <c r="HH133" s="420"/>
      <c r="HI133" s="420"/>
      <c r="HJ133" s="420"/>
      <c r="HK133" s="420"/>
      <c r="HL133" s="420"/>
      <c r="HM133" s="420"/>
      <c r="HN133" s="420"/>
      <c r="HO133" s="420"/>
      <c r="HP133" s="420"/>
      <c r="HQ133" s="420"/>
      <c r="HR133" s="420"/>
      <c r="HS133" s="420"/>
      <c r="HT133" s="420"/>
      <c r="HU133" s="420"/>
      <c r="HV133" s="420"/>
      <c r="HW133" s="420"/>
      <c r="HX133" s="420"/>
      <c r="HY133" s="420"/>
      <c r="HZ133" s="420"/>
      <c r="IA133" s="420"/>
      <c r="IB133" s="420"/>
      <c r="IC133" s="420"/>
      <c r="ID133" s="420"/>
      <c r="IE133" s="420"/>
      <c r="IF133" s="420"/>
      <c r="IG133" s="420"/>
      <c r="IH133" s="420"/>
      <c r="II133" s="420"/>
      <c r="IJ133" s="420"/>
      <c r="IK133" s="420"/>
      <c r="IL133" s="420"/>
      <c r="IM133" s="420"/>
      <c r="IN133" s="420"/>
      <c r="IO133" s="420"/>
      <c r="IP133" s="420"/>
      <c r="IQ133" s="420"/>
      <c r="IR133" s="420"/>
      <c r="IS133" s="420"/>
      <c r="IT133" s="420"/>
      <c r="IU133" s="420"/>
      <c r="IV133" s="420"/>
      <c r="IW133" s="420"/>
      <c r="IX133" s="420"/>
      <c r="IY133" s="420"/>
      <c r="IZ133" s="420"/>
      <c r="JA133" s="420"/>
    </row>
    <row r="134" spans="1:261" s="768" customFormat="1" ht="18" customHeight="1" x14ac:dyDescent="0.35">
      <c r="A134" s="783">
        <v>124</v>
      </c>
      <c r="B134" s="776"/>
      <c r="C134" s="422"/>
      <c r="D134" s="583" t="s">
        <v>1072</v>
      </c>
      <c r="E134" s="432"/>
      <c r="F134" s="772"/>
      <c r="G134" s="433"/>
      <c r="H134" s="1009"/>
      <c r="I134" s="1005">
        <v>744</v>
      </c>
      <c r="J134" s="769">
        <v>333</v>
      </c>
      <c r="K134" s="769">
        <v>7845</v>
      </c>
      <c r="L134" s="769">
        <v>15139</v>
      </c>
      <c r="M134" s="1023"/>
      <c r="N134" s="1023"/>
      <c r="O134" s="777">
        <f>SUM(I134:N134)</f>
        <v>24061</v>
      </c>
      <c r="P134" s="773"/>
      <c r="Q134" s="420"/>
      <c r="R134" s="420"/>
      <c r="S134" s="420"/>
      <c r="T134" s="420"/>
      <c r="U134" s="420"/>
      <c r="V134" s="420"/>
      <c r="W134" s="420"/>
      <c r="X134" s="420"/>
      <c r="Y134" s="420"/>
      <c r="Z134" s="420"/>
      <c r="AA134" s="420"/>
      <c r="AB134" s="420"/>
      <c r="AC134" s="420"/>
      <c r="AD134" s="420"/>
      <c r="AE134" s="420"/>
      <c r="AF134" s="420"/>
      <c r="AG134" s="420"/>
      <c r="AH134" s="420"/>
      <c r="AI134" s="420"/>
      <c r="AJ134" s="420"/>
      <c r="AK134" s="420"/>
      <c r="AL134" s="420"/>
      <c r="AM134" s="420"/>
      <c r="AN134" s="420"/>
      <c r="AO134" s="420"/>
      <c r="AP134" s="420"/>
      <c r="AQ134" s="420"/>
      <c r="AR134" s="420"/>
      <c r="AS134" s="420"/>
      <c r="AT134" s="420"/>
      <c r="AU134" s="420"/>
      <c r="AV134" s="420"/>
      <c r="AW134" s="420"/>
      <c r="AX134" s="420"/>
      <c r="AY134" s="420"/>
      <c r="AZ134" s="420"/>
      <c r="BA134" s="420"/>
      <c r="BB134" s="420"/>
      <c r="BC134" s="420"/>
      <c r="BD134" s="420"/>
      <c r="BE134" s="420"/>
      <c r="BF134" s="420"/>
      <c r="BG134" s="420"/>
      <c r="BH134" s="420"/>
      <c r="BI134" s="420"/>
      <c r="BJ134" s="420"/>
      <c r="BK134" s="420"/>
      <c r="BL134" s="420"/>
      <c r="BM134" s="420"/>
      <c r="BN134" s="420"/>
      <c r="BO134" s="420"/>
      <c r="BP134" s="420"/>
      <c r="BQ134" s="420"/>
      <c r="BR134" s="420"/>
      <c r="BS134" s="420"/>
      <c r="BT134" s="420"/>
      <c r="BU134" s="420"/>
      <c r="BV134" s="420"/>
      <c r="BW134" s="420"/>
      <c r="BX134" s="420"/>
      <c r="BY134" s="420"/>
      <c r="BZ134" s="420"/>
      <c r="CA134" s="420"/>
      <c r="CB134" s="420"/>
      <c r="CC134" s="420"/>
      <c r="CD134" s="420"/>
      <c r="CE134" s="420"/>
      <c r="CF134" s="420"/>
      <c r="CG134" s="420"/>
      <c r="CH134" s="420"/>
      <c r="CI134" s="420"/>
      <c r="CJ134" s="420"/>
      <c r="CK134" s="420"/>
      <c r="CL134" s="420"/>
      <c r="CM134" s="420"/>
      <c r="CN134" s="420"/>
      <c r="CO134" s="420"/>
      <c r="CP134" s="420"/>
      <c r="CQ134" s="420"/>
      <c r="CR134" s="420"/>
      <c r="CS134" s="420"/>
      <c r="CT134" s="420"/>
      <c r="CU134" s="420"/>
      <c r="CV134" s="420"/>
      <c r="CW134" s="420"/>
      <c r="CX134" s="420"/>
      <c r="CY134" s="420"/>
      <c r="CZ134" s="420"/>
      <c r="DA134" s="420"/>
      <c r="DB134" s="420"/>
      <c r="DC134" s="420"/>
      <c r="DD134" s="420"/>
      <c r="DE134" s="420"/>
      <c r="DF134" s="420"/>
      <c r="DG134" s="420"/>
      <c r="DH134" s="420"/>
      <c r="DI134" s="420"/>
      <c r="DJ134" s="420"/>
      <c r="DK134" s="420"/>
      <c r="DL134" s="420"/>
      <c r="DM134" s="420"/>
      <c r="DN134" s="420"/>
      <c r="DO134" s="420"/>
      <c r="DP134" s="420"/>
      <c r="DQ134" s="420"/>
      <c r="DR134" s="420"/>
      <c r="DS134" s="420"/>
      <c r="DT134" s="420"/>
      <c r="DU134" s="420"/>
      <c r="DV134" s="420"/>
      <c r="DW134" s="420"/>
      <c r="DX134" s="420"/>
      <c r="DY134" s="420"/>
      <c r="DZ134" s="420"/>
      <c r="EA134" s="420"/>
      <c r="EB134" s="420"/>
      <c r="EC134" s="420"/>
      <c r="ED134" s="420"/>
      <c r="EE134" s="420"/>
      <c r="EF134" s="420"/>
      <c r="EG134" s="420"/>
      <c r="EH134" s="420"/>
      <c r="EI134" s="420"/>
      <c r="EJ134" s="420"/>
      <c r="EK134" s="420"/>
      <c r="EL134" s="420"/>
      <c r="EM134" s="420"/>
      <c r="EN134" s="420"/>
      <c r="EO134" s="420"/>
      <c r="EP134" s="420"/>
      <c r="EQ134" s="420"/>
      <c r="ER134" s="420"/>
      <c r="ES134" s="420"/>
      <c r="ET134" s="420"/>
      <c r="EU134" s="420"/>
      <c r="EV134" s="420"/>
      <c r="EW134" s="420"/>
      <c r="EX134" s="420"/>
      <c r="EY134" s="420"/>
      <c r="EZ134" s="420"/>
      <c r="FA134" s="420"/>
      <c r="FB134" s="420"/>
      <c r="FC134" s="420"/>
      <c r="FD134" s="420"/>
      <c r="FE134" s="420"/>
      <c r="FF134" s="420"/>
      <c r="FG134" s="420"/>
      <c r="FH134" s="420"/>
      <c r="FI134" s="420"/>
      <c r="FJ134" s="420"/>
      <c r="FK134" s="420"/>
      <c r="FL134" s="420"/>
      <c r="FM134" s="420"/>
      <c r="FN134" s="420"/>
      <c r="FO134" s="420"/>
      <c r="FP134" s="420"/>
      <c r="FQ134" s="420"/>
      <c r="FR134" s="420"/>
      <c r="FS134" s="420"/>
      <c r="FT134" s="420"/>
      <c r="FU134" s="420"/>
      <c r="FV134" s="420"/>
      <c r="FW134" s="420"/>
      <c r="FX134" s="420"/>
      <c r="FY134" s="420"/>
      <c r="FZ134" s="420"/>
      <c r="GA134" s="420"/>
      <c r="GB134" s="420"/>
      <c r="GC134" s="420"/>
      <c r="GD134" s="420"/>
      <c r="GE134" s="420"/>
      <c r="GF134" s="420"/>
      <c r="GG134" s="420"/>
      <c r="GH134" s="420"/>
      <c r="GI134" s="420"/>
      <c r="GJ134" s="420"/>
      <c r="GK134" s="420"/>
      <c r="GL134" s="420"/>
      <c r="GM134" s="420"/>
      <c r="GN134" s="420"/>
      <c r="GO134" s="420"/>
      <c r="GP134" s="420"/>
      <c r="GQ134" s="420"/>
      <c r="GR134" s="420"/>
      <c r="GS134" s="420"/>
      <c r="GT134" s="420"/>
      <c r="GU134" s="420"/>
      <c r="GV134" s="420"/>
      <c r="GW134" s="420"/>
      <c r="GX134" s="420"/>
      <c r="GY134" s="420"/>
      <c r="GZ134" s="420"/>
      <c r="HA134" s="420"/>
      <c r="HB134" s="420"/>
      <c r="HC134" s="420"/>
      <c r="HD134" s="420"/>
      <c r="HE134" s="420"/>
      <c r="HF134" s="420"/>
      <c r="HG134" s="420"/>
      <c r="HH134" s="420"/>
      <c r="HI134" s="420"/>
      <c r="HJ134" s="420"/>
      <c r="HK134" s="420"/>
      <c r="HL134" s="420"/>
      <c r="HM134" s="420"/>
      <c r="HN134" s="420"/>
      <c r="HO134" s="420"/>
      <c r="HP134" s="420"/>
      <c r="HQ134" s="420"/>
      <c r="HR134" s="420"/>
      <c r="HS134" s="420"/>
      <c r="HT134" s="420"/>
      <c r="HU134" s="420"/>
      <c r="HV134" s="420"/>
      <c r="HW134" s="420"/>
      <c r="HX134" s="420"/>
      <c r="HY134" s="420"/>
      <c r="HZ134" s="420"/>
      <c r="IA134" s="420"/>
      <c r="IB134" s="420"/>
      <c r="IC134" s="420"/>
      <c r="ID134" s="420"/>
      <c r="IE134" s="420"/>
      <c r="IF134" s="420"/>
      <c r="IG134" s="420"/>
      <c r="IH134" s="420"/>
      <c r="II134" s="420"/>
      <c r="IJ134" s="420"/>
      <c r="IK134" s="420"/>
      <c r="IL134" s="420"/>
      <c r="IM134" s="420"/>
      <c r="IN134" s="420"/>
      <c r="IO134" s="420"/>
      <c r="IP134" s="420"/>
      <c r="IQ134" s="420"/>
      <c r="IR134" s="420"/>
      <c r="IS134" s="420"/>
      <c r="IT134" s="420"/>
      <c r="IU134" s="420"/>
      <c r="IV134" s="420"/>
      <c r="IW134" s="420"/>
      <c r="IX134" s="420"/>
      <c r="IY134" s="420"/>
      <c r="IZ134" s="420"/>
      <c r="JA134" s="420"/>
    </row>
    <row r="135" spans="1:261" s="768" customFormat="1" ht="18" customHeight="1" x14ac:dyDescent="0.35">
      <c r="A135" s="783">
        <v>125</v>
      </c>
      <c r="B135" s="776"/>
      <c r="C135" s="422"/>
      <c r="D135" s="1813" t="s">
        <v>987</v>
      </c>
      <c r="E135" s="432"/>
      <c r="F135" s="772"/>
      <c r="G135" s="433"/>
      <c r="H135" s="1009"/>
      <c r="I135" s="1814"/>
      <c r="J135" s="1810"/>
      <c r="K135" s="1810"/>
      <c r="L135" s="769"/>
      <c r="M135" s="769"/>
      <c r="N135" s="769"/>
      <c r="O135" s="1623">
        <f>SUM(I135:N135)</f>
        <v>0</v>
      </c>
      <c r="P135" s="773"/>
      <c r="Q135" s="420"/>
      <c r="R135" s="420"/>
      <c r="S135" s="420"/>
      <c r="T135" s="420"/>
      <c r="U135" s="420"/>
      <c r="V135" s="420"/>
      <c r="W135" s="420"/>
      <c r="X135" s="420"/>
      <c r="Y135" s="420"/>
      <c r="Z135" s="420"/>
      <c r="AA135" s="420"/>
      <c r="AB135" s="420"/>
      <c r="AC135" s="420"/>
      <c r="AD135" s="420"/>
      <c r="AE135" s="420"/>
      <c r="AF135" s="420"/>
      <c r="AG135" s="420"/>
      <c r="AH135" s="420"/>
      <c r="AI135" s="420"/>
      <c r="AJ135" s="420"/>
      <c r="AK135" s="420"/>
      <c r="AL135" s="420"/>
      <c r="AM135" s="420"/>
      <c r="AN135" s="420"/>
      <c r="AO135" s="420"/>
      <c r="AP135" s="420"/>
      <c r="AQ135" s="420"/>
      <c r="AR135" s="420"/>
      <c r="AS135" s="420"/>
      <c r="AT135" s="420"/>
      <c r="AU135" s="420"/>
      <c r="AV135" s="420"/>
      <c r="AW135" s="420"/>
      <c r="AX135" s="420"/>
      <c r="AY135" s="420"/>
      <c r="AZ135" s="420"/>
      <c r="BA135" s="420"/>
      <c r="BB135" s="420"/>
      <c r="BC135" s="420"/>
      <c r="BD135" s="420"/>
      <c r="BE135" s="420"/>
      <c r="BF135" s="420"/>
      <c r="BG135" s="420"/>
      <c r="BH135" s="420"/>
      <c r="BI135" s="420"/>
      <c r="BJ135" s="420"/>
      <c r="BK135" s="420"/>
      <c r="BL135" s="420"/>
      <c r="BM135" s="420"/>
      <c r="BN135" s="420"/>
      <c r="BO135" s="420"/>
      <c r="BP135" s="420"/>
      <c r="BQ135" s="420"/>
      <c r="BR135" s="420"/>
      <c r="BS135" s="420"/>
      <c r="BT135" s="420"/>
      <c r="BU135" s="420"/>
      <c r="BV135" s="420"/>
      <c r="BW135" s="420"/>
      <c r="BX135" s="420"/>
      <c r="BY135" s="420"/>
      <c r="BZ135" s="420"/>
      <c r="CA135" s="420"/>
      <c r="CB135" s="420"/>
      <c r="CC135" s="420"/>
      <c r="CD135" s="420"/>
      <c r="CE135" s="420"/>
      <c r="CF135" s="420"/>
      <c r="CG135" s="420"/>
      <c r="CH135" s="420"/>
      <c r="CI135" s="420"/>
      <c r="CJ135" s="420"/>
      <c r="CK135" s="420"/>
      <c r="CL135" s="420"/>
      <c r="CM135" s="420"/>
      <c r="CN135" s="420"/>
      <c r="CO135" s="420"/>
      <c r="CP135" s="420"/>
      <c r="CQ135" s="420"/>
      <c r="CR135" s="420"/>
      <c r="CS135" s="420"/>
      <c r="CT135" s="420"/>
      <c r="CU135" s="420"/>
      <c r="CV135" s="420"/>
      <c r="CW135" s="420"/>
      <c r="CX135" s="420"/>
      <c r="CY135" s="420"/>
      <c r="CZ135" s="420"/>
      <c r="DA135" s="420"/>
      <c r="DB135" s="420"/>
      <c r="DC135" s="420"/>
      <c r="DD135" s="420"/>
      <c r="DE135" s="420"/>
      <c r="DF135" s="420"/>
      <c r="DG135" s="420"/>
      <c r="DH135" s="420"/>
      <c r="DI135" s="420"/>
      <c r="DJ135" s="420"/>
      <c r="DK135" s="420"/>
      <c r="DL135" s="420"/>
      <c r="DM135" s="420"/>
      <c r="DN135" s="420"/>
      <c r="DO135" s="420"/>
      <c r="DP135" s="420"/>
      <c r="DQ135" s="420"/>
      <c r="DR135" s="420"/>
      <c r="DS135" s="420"/>
      <c r="DT135" s="420"/>
      <c r="DU135" s="420"/>
      <c r="DV135" s="420"/>
      <c r="DW135" s="420"/>
      <c r="DX135" s="420"/>
      <c r="DY135" s="420"/>
      <c r="DZ135" s="420"/>
      <c r="EA135" s="420"/>
      <c r="EB135" s="420"/>
      <c r="EC135" s="420"/>
      <c r="ED135" s="420"/>
      <c r="EE135" s="420"/>
      <c r="EF135" s="420"/>
      <c r="EG135" s="420"/>
      <c r="EH135" s="420"/>
      <c r="EI135" s="420"/>
      <c r="EJ135" s="420"/>
      <c r="EK135" s="420"/>
      <c r="EL135" s="420"/>
      <c r="EM135" s="420"/>
      <c r="EN135" s="420"/>
      <c r="EO135" s="420"/>
      <c r="EP135" s="420"/>
      <c r="EQ135" s="420"/>
      <c r="ER135" s="420"/>
      <c r="ES135" s="420"/>
      <c r="ET135" s="420"/>
      <c r="EU135" s="420"/>
      <c r="EV135" s="420"/>
      <c r="EW135" s="420"/>
      <c r="EX135" s="420"/>
      <c r="EY135" s="420"/>
      <c r="EZ135" s="420"/>
      <c r="FA135" s="420"/>
      <c r="FB135" s="420"/>
      <c r="FC135" s="420"/>
      <c r="FD135" s="420"/>
      <c r="FE135" s="420"/>
      <c r="FF135" s="420"/>
      <c r="FG135" s="420"/>
      <c r="FH135" s="420"/>
      <c r="FI135" s="420"/>
      <c r="FJ135" s="420"/>
      <c r="FK135" s="420"/>
      <c r="FL135" s="420"/>
      <c r="FM135" s="420"/>
      <c r="FN135" s="420"/>
      <c r="FO135" s="420"/>
      <c r="FP135" s="420"/>
      <c r="FQ135" s="420"/>
      <c r="FR135" s="420"/>
      <c r="FS135" s="420"/>
      <c r="FT135" s="420"/>
      <c r="FU135" s="420"/>
      <c r="FV135" s="420"/>
      <c r="FW135" s="420"/>
      <c r="FX135" s="420"/>
      <c r="FY135" s="420"/>
      <c r="FZ135" s="420"/>
      <c r="GA135" s="420"/>
      <c r="GB135" s="420"/>
      <c r="GC135" s="420"/>
      <c r="GD135" s="420"/>
      <c r="GE135" s="420"/>
      <c r="GF135" s="420"/>
      <c r="GG135" s="420"/>
      <c r="GH135" s="420"/>
      <c r="GI135" s="420"/>
      <c r="GJ135" s="420"/>
      <c r="GK135" s="420"/>
      <c r="GL135" s="420"/>
      <c r="GM135" s="420"/>
      <c r="GN135" s="420"/>
      <c r="GO135" s="420"/>
      <c r="GP135" s="420"/>
      <c r="GQ135" s="420"/>
      <c r="GR135" s="420"/>
      <c r="GS135" s="420"/>
      <c r="GT135" s="420"/>
      <c r="GU135" s="420"/>
      <c r="GV135" s="420"/>
      <c r="GW135" s="420"/>
      <c r="GX135" s="420"/>
      <c r="GY135" s="420"/>
      <c r="GZ135" s="420"/>
      <c r="HA135" s="420"/>
      <c r="HB135" s="420"/>
      <c r="HC135" s="420"/>
      <c r="HD135" s="420"/>
      <c r="HE135" s="420"/>
      <c r="HF135" s="420"/>
      <c r="HG135" s="420"/>
      <c r="HH135" s="420"/>
      <c r="HI135" s="420"/>
      <c r="HJ135" s="420"/>
      <c r="HK135" s="420"/>
      <c r="HL135" s="420"/>
      <c r="HM135" s="420"/>
      <c r="HN135" s="420"/>
      <c r="HO135" s="420"/>
      <c r="HP135" s="420"/>
      <c r="HQ135" s="420"/>
      <c r="HR135" s="420"/>
      <c r="HS135" s="420"/>
      <c r="HT135" s="420"/>
      <c r="HU135" s="420"/>
      <c r="HV135" s="420"/>
      <c r="HW135" s="420"/>
      <c r="HX135" s="420"/>
      <c r="HY135" s="420"/>
      <c r="HZ135" s="420"/>
      <c r="IA135" s="420"/>
      <c r="IB135" s="420"/>
      <c r="IC135" s="420"/>
      <c r="ID135" s="420"/>
      <c r="IE135" s="420"/>
      <c r="IF135" s="420"/>
      <c r="IG135" s="420"/>
      <c r="IH135" s="420"/>
      <c r="II135" s="420"/>
      <c r="IJ135" s="420"/>
      <c r="IK135" s="420"/>
      <c r="IL135" s="420"/>
      <c r="IM135" s="420"/>
      <c r="IN135" s="420"/>
      <c r="IO135" s="420"/>
      <c r="IP135" s="420"/>
      <c r="IQ135" s="420"/>
      <c r="IR135" s="420"/>
      <c r="IS135" s="420"/>
      <c r="IT135" s="420"/>
      <c r="IU135" s="420"/>
      <c r="IV135" s="420"/>
      <c r="IW135" s="420"/>
      <c r="IX135" s="420"/>
      <c r="IY135" s="420"/>
      <c r="IZ135" s="420"/>
      <c r="JA135" s="420"/>
    </row>
    <row r="136" spans="1:261" s="768" customFormat="1" ht="18" customHeight="1" x14ac:dyDescent="0.35">
      <c r="A136" s="783">
        <v>126</v>
      </c>
      <c r="B136" s="776"/>
      <c r="C136" s="422"/>
      <c r="D136" s="583" t="s">
        <v>1151</v>
      </c>
      <c r="E136" s="432"/>
      <c r="F136" s="772"/>
      <c r="G136" s="433"/>
      <c r="H136" s="1009"/>
      <c r="I136" s="1005">
        <f>SUM(I134:I135)</f>
        <v>744</v>
      </c>
      <c r="J136" s="1005">
        <f>SUM(J134:J135)</f>
        <v>333</v>
      </c>
      <c r="K136" s="1005">
        <f t="shared" ref="K136:L136" si="16">SUM(K134:K135)</f>
        <v>7845</v>
      </c>
      <c r="L136" s="1005">
        <f t="shared" si="16"/>
        <v>15139</v>
      </c>
      <c r="M136" s="769"/>
      <c r="N136" s="769"/>
      <c r="O136" s="777">
        <f>SUM(I136:N136)</f>
        <v>24061</v>
      </c>
      <c r="P136" s="773"/>
      <c r="Q136" s="420"/>
      <c r="R136" s="420"/>
      <c r="S136" s="420"/>
      <c r="T136" s="420"/>
      <c r="U136" s="420"/>
      <c r="V136" s="420"/>
      <c r="W136" s="420"/>
      <c r="X136" s="420"/>
      <c r="Y136" s="420"/>
      <c r="Z136" s="420"/>
      <c r="AA136" s="420"/>
      <c r="AB136" s="420"/>
      <c r="AC136" s="420"/>
      <c r="AD136" s="420"/>
      <c r="AE136" s="420"/>
      <c r="AF136" s="420"/>
      <c r="AG136" s="420"/>
      <c r="AH136" s="420"/>
      <c r="AI136" s="420"/>
      <c r="AJ136" s="420"/>
      <c r="AK136" s="420"/>
      <c r="AL136" s="420"/>
      <c r="AM136" s="420"/>
      <c r="AN136" s="420"/>
      <c r="AO136" s="420"/>
      <c r="AP136" s="420"/>
      <c r="AQ136" s="420"/>
      <c r="AR136" s="420"/>
      <c r="AS136" s="420"/>
      <c r="AT136" s="420"/>
      <c r="AU136" s="420"/>
      <c r="AV136" s="420"/>
      <c r="AW136" s="420"/>
      <c r="AX136" s="420"/>
      <c r="AY136" s="420"/>
      <c r="AZ136" s="420"/>
      <c r="BA136" s="420"/>
      <c r="BB136" s="420"/>
      <c r="BC136" s="420"/>
      <c r="BD136" s="420"/>
      <c r="BE136" s="420"/>
      <c r="BF136" s="420"/>
      <c r="BG136" s="420"/>
      <c r="BH136" s="420"/>
      <c r="BI136" s="420"/>
      <c r="BJ136" s="420"/>
      <c r="BK136" s="420"/>
      <c r="BL136" s="420"/>
      <c r="BM136" s="420"/>
      <c r="BN136" s="420"/>
      <c r="BO136" s="420"/>
      <c r="BP136" s="420"/>
      <c r="BQ136" s="420"/>
      <c r="BR136" s="420"/>
      <c r="BS136" s="420"/>
      <c r="BT136" s="420"/>
      <c r="BU136" s="420"/>
      <c r="BV136" s="420"/>
      <c r="BW136" s="420"/>
      <c r="BX136" s="420"/>
      <c r="BY136" s="420"/>
      <c r="BZ136" s="420"/>
      <c r="CA136" s="420"/>
      <c r="CB136" s="420"/>
      <c r="CC136" s="420"/>
      <c r="CD136" s="420"/>
      <c r="CE136" s="420"/>
      <c r="CF136" s="420"/>
      <c r="CG136" s="420"/>
      <c r="CH136" s="420"/>
      <c r="CI136" s="420"/>
      <c r="CJ136" s="420"/>
      <c r="CK136" s="420"/>
      <c r="CL136" s="420"/>
      <c r="CM136" s="420"/>
      <c r="CN136" s="420"/>
      <c r="CO136" s="420"/>
      <c r="CP136" s="420"/>
      <c r="CQ136" s="420"/>
      <c r="CR136" s="420"/>
      <c r="CS136" s="420"/>
      <c r="CT136" s="420"/>
      <c r="CU136" s="420"/>
      <c r="CV136" s="420"/>
      <c r="CW136" s="420"/>
      <c r="CX136" s="420"/>
      <c r="CY136" s="420"/>
      <c r="CZ136" s="420"/>
      <c r="DA136" s="420"/>
      <c r="DB136" s="420"/>
      <c r="DC136" s="420"/>
      <c r="DD136" s="420"/>
      <c r="DE136" s="420"/>
      <c r="DF136" s="420"/>
      <c r="DG136" s="420"/>
      <c r="DH136" s="420"/>
      <c r="DI136" s="420"/>
      <c r="DJ136" s="420"/>
      <c r="DK136" s="420"/>
      <c r="DL136" s="420"/>
      <c r="DM136" s="420"/>
      <c r="DN136" s="420"/>
      <c r="DO136" s="420"/>
      <c r="DP136" s="420"/>
      <c r="DQ136" s="420"/>
      <c r="DR136" s="420"/>
      <c r="DS136" s="420"/>
      <c r="DT136" s="420"/>
      <c r="DU136" s="420"/>
      <c r="DV136" s="420"/>
      <c r="DW136" s="420"/>
      <c r="DX136" s="420"/>
      <c r="DY136" s="420"/>
      <c r="DZ136" s="420"/>
      <c r="EA136" s="420"/>
      <c r="EB136" s="420"/>
      <c r="EC136" s="420"/>
      <c r="ED136" s="420"/>
      <c r="EE136" s="420"/>
      <c r="EF136" s="420"/>
      <c r="EG136" s="420"/>
      <c r="EH136" s="420"/>
      <c r="EI136" s="420"/>
      <c r="EJ136" s="420"/>
      <c r="EK136" s="420"/>
      <c r="EL136" s="420"/>
      <c r="EM136" s="420"/>
      <c r="EN136" s="420"/>
      <c r="EO136" s="420"/>
      <c r="EP136" s="420"/>
      <c r="EQ136" s="420"/>
      <c r="ER136" s="420"/>
      <c r="ES136" s="420"/>
      <c r="ET136" s="420"/>
      <c r="EU136" s="420"/>
      <c r="EV136" s="420"/>
      <c r="EW136" s="420"/>
      <c r="EX136" s="420"/>
      <c r="EY136" s="420"/>
      <c r="EZ136" s="420"/>
      <c r="FA136" s="420"/>
      <c r="FB136" s="420"/>
      <c r="FC136" s="420"/>
      <c r="FD136" s="420"/>
      <c r="FE136" s="420"/>
      <c r="FF136" s="420"/>
      <c r="FG136" s="420"/>
      <c r="FH136" s="420"/>
      <c r="FI136" s="420"/>
      <c r="FJ136" s="420"/>
      <c r="FK136" s="420"/>
      <c r="FL136" s="420"/>
      <c r="FM136" s="420"/>
      <c r="FN136" s="420"/>
      <c r="FO136" s="420"/>
      <c r="FP136" s="420"/>
      <c r="FQ136" s="420"/>
      <c r="FR136" s="420"/>
      <c r="FS136" s="420"/>
      <c r="FT136" s="420"/>
      <c r="FU136" s="420"/>
      <c r="FV136" s="420"/>
      <c r="FW136" s="420"/>
      <c r="FX136" s="420"/>
      <c r="FY136" s="420"/>
      <c r="FZ136" s="420"/>
      <c r="GA136" s="420"/>
      <c r="GB136" s="420"/>
      <c r="GC136" s="420"/>
      <c r="GD136" s="420"/>
      <c r="GE136" s="420"/>
      <c r="GF136" s="420"/>
      <c r="GG136" s="420"/>
      <c r="GH136" s="420"/>
      <c r="GI136" s="420"/>
      <c r="GJ136" s="420"/>
      <c r="GK136" s="420"/>
      <c r="GL136" s="420"/>
      <c r="GM136" s="420"/>
      <c r="GN136" s="420"/>
      <c r="GO136" s="420"/>
      <c r="GP136" s="420"/>
      <c r="GQ136" s="420"/>
      <c r="GR136" s="420"/>
      <c r="GS136" s="420"/>
      <c r="GT136" s="420"/>
      <c r="GU136" s="420"/>
      <c r="GV136" s="420"/>
      <c r="GW136" s="420"/>
      <c r="GX136" s="420"/>
      <c r="GY136" s="420"/>
      <c r="GZ136" s="420"/>
      <c r="HA136" s="420"/>
      <c r="HB136" s="420"/>
      <c r="HC136" s="420"/>
      <c r="HD136" s="420"/>
      <c r="HE136" s="420"/>
      <c r="HF136" s="420"/>
      <c r="HG136" s="420"/>
      <c r="HH136" s="420"/>
      <c r="HI136" s="420"/>
      <c r="HJ136" s="420"/>
      <c r="HK136" s="420"/>
      <c r="HL136" s="420"/>
      <c r="HM136" s="420"/>
      <c r="HN136" s="420"/>
      <c r="HO136" s="420"/>
      <c r="HP136" s="420"/>
      <c r="HQ136" s="420"/>
      <c r="HR136" s="420"/>
      <c r="HS136" s="420"/>
      <c r="HT136" s="420"/>
      <c r="HU136" s="420"/>
      <c r="HV136" s="420"/>
      <c r="HW136" s="420"/>
      <c r="HX136" s="420"/>
      <c r="HY136" s="420"/>
      <c r="HZ136" s="420"/>
      <c r="IA136" s="420"/>
      <c r="IB136" s="420"/>
      <c r="IC136" s="420"/>
      <c r="ID136" s="420"/>
      <c r="IE136" s="420"/>
      <c r="IF136" s="420"/>
      <c r="IG136" s="420"/>
      <c r="IH136" s="420"/>
      <c r="II136" s="420"/>
      <c r="IJ136" s="420"/>
      <c r="IK136" s="420"/>
      <c r="IL136" s="420"/>
      <c r="IM136" s="420"/>
      <c r="IN136" s="420"/>
      <c r="IO136" s="420"/>
      <c r="IP136" s="420"/>
      <c r="IQ136" s="420"/>
      <c r="IR136" s="420"/>
      <c r="IS136" s="420"/>
      <c r="IT136" s="420"/>
      <c r="IU136" s="420"/>
      <c r="IV136" s="420"/>
      <c r="IW136" s="420"/>
      <c r="IX136" s="420"/>
      <c r="IY136" s="420"/>
      <c r="IZ136" s="420"/>
      <c r="JA136" s="420"/>
    </row>
    <row r="137" spans="1:261" ht="22.5" customHeight="1" x14ac:dyDescent="0.35">
      <c r="A137" s="783">
        <v>127</v>
      </c>
      <c r="B137" s="625"/>
      <c r="C137" s="466">
        <v>26</v>
      </c>
      <c r="D137" s="771" t="s">
        <v>677</v>
      </c>
      <c r="E137" s="432"/>
      <c r="F137" s="772"/>
      <c r="G137" s="433"/>
      <c r="H137" s="1009" t="s">
        <v>24</v>
      </c>
      <c r="I137" s="1027"/>
      <c r="J137" s="1023"/>
      <c r="K137" s="1023"/>
      <c r="L137" s="1023"/>
      <c r="M137" s="1023"/>
      <c r="N137" s="1023"/>
      <c r="O137" s="992"/>
      <c r="P137" s="773"/>
    </row>
    <row r="138" spans="1:261" s="768" customFormat="1" ht="18" customHeight="1" x14ac:dyDescent="0.35">
      <c r="A138" s="783">
        <v>128</v>
      </c>
      <c r="B138" s="776"/>
      <c r="C138" s="422"/>
      <c r="D138" s="1002" t="s">
        <v>311</v>
      </c>
      <c r="E138" s="432">
        <f>F138+G138+O141+P141</f>
        <v>9039</v>
      </c>
      <c r="F138" s="772">
        <v>7830</v>
      </c>
      <c r="G138" s="433">
        <v>186</v>
      </c>
      <c r="H138" s="1009"/>
      <c r="I138" s="1028"/>
      <c r="J138" s="1022"/>
      <c r="K138" s="1022"/>
      <c r="L138" s="1022">
        <v>1023</v>
      </c>
      <c r="M138" s="1022"/>
      <c r="N138" s="1022"/>
      <c r="O138" s="992">
        <f>SUM(I138:N138)</f>
        <v>1023</v>
      </c>
      <c r="P138" s="773"/>
      <c r="Q138" s="420"/>
      <c r="R138" s="420"/>
      <c r="S138" s="420"/>
      <c r="T138" s="420"/>
      <c r="U138" s="420"/>
      <c r="V138" s="420"/>
      <c r="W138" s="420"/>
      <c r="X138" s="420"/>
      <c r="Y138" s="420"/>
      <c r="Z138" s="420"/>
      <c r="AA138" s="420"/>
      <c r="AB138" s="420"/>
      <c r="AC138" s="420"/>
      <c r="AD138" s="420"/>
      <c r="AE138" s="420"/>
      <c r="AF138" s="420"/>
      <c r="AG138" s="420"/>
      <c r="AH138" s="420"/>
      <c r="AI138" s="420"/>
      <c r="AJ138" s="420"/>
      <c r="AK138" s="420"/>
      <c r="AL138" s="420"/>
      <c r="AM138" s="420"/>
      <c r="AN138" s="420"/>
      <c r="AO138" s="420"/>
      <c r="AP138" s="420"/>
      <c r="AQ138" s="420"/>
      <c r="AR138" s="420"/>
      <c r="AS138" s="420"/>
      <c r="AT138" s="420"/>
      <c r="AU138" s="420"/>
      <c r="AV138" s="420"/>
      <c r="AW138" s="420"/>
      <c r="AX138" s="420"/>
      <c r="AY138" s="420"/>
      <c r="AZ138" s="420"/>
      <c r="BA138" s="420"/>
      <c r="BB138" s="420"/>
      <c r="BC138" s="420"/>
      <c r="BD138" s="420"/>
      <c r="BE138" s="420"/>
      <c r="BF138" s="420"/>
      <c r="BG138" s="420"/>
      <c r="BH138" s="420"/>
      <c r="BI138" s="420"/>
      <c r="BJ138" s="420"/>
      <c r="BK138" s="420"/>
      <c r="BL138" s="420"/>
      <c r="BM138" s="420"/>
      <c r="BN138" s="420"/>
      <c r="BO138" s="420"/>
      <c r="BP138" s="420"/>
      <c r="BQ138" s="420"/>
      <c r="BR138" s="420"/>
      <c r="BS138" s="420"/>
      <c r="BT138" s="420"/>
      <c r="BU138" s="420"/>
      <c r="BV138" s="420"/>
      <c r="BW138" s="420"/>
      <c r="BX138" s="420"/>
      <c r="BY138" s="420"/>
      <c r="BZ138" s="420"/>
      <c r="CA138" s="420"/>
      <c r="CB138" s="420"/>
      <c r="CC138" s="420"/>
      <c r="CD138" s="420"/>
      <c r="CE138" s="420"/>
      <c r="CF138" s="420"/>
      <c r="CG138" s="420"/>
      <c r="CH138" s="420"/>
      <c r="CI138" s="420"/>
      <c r="CJ138" s="420"/>
      <c r="CK138" s="420"/>
      <c r="CL138" s="420"/>
      <c r="CM138" s="420"/>
      <c r="CN138" s="420"/>
      <c r="CO138" s="420"/>
      <c r="CP138" s="420"/>
      <c r="CQ138" s="420"/>
      <c r="CR138" s="420"/>
      <c r="CS138" s="420"/>
      <c r="CT138" s="420"/>
      <c r="CU138" s="420"/>
      <c r="CV138" s="420"/>
      <c r="CW138" s="420"/>
      <c r="CX138" s="420"/>
      <c r="CY138" s="420"/>
      <c r="CZ138" s="420"/>
      <c r="DA138" s="420"/>
      <c r="DB138" s="420"/>
      <c r="DC138" s="420"/>
      <c r="DD138" s="420"/>
      <c r="DE138" s="420"/>
      <c r="DF138" s="420"/>
      <c r="DG138" s="420"/>
      <c r="DH138" s="420"/>
      <c r="DI138" s="420"/>
      <c r="DJ138" s="420"/>
      <c r="DK138" s="420"/>
      <c r="DL138" s="420"/>
      <c r="DM138" s="420"/>
      <c r="DN138" s="420"/>
      <c r="DO138" s="420"/>
      <c r="DP138" s="420"/>
      <c r="DQ138" s="420"/>
      <c r="DR138" s="420"/>
      <c r="DS138" s="420"/>
      <c r="DT138" s="420"/>
      <c r="DU138" s="420"/>
      <c r="DV138" s="420"/>
      <c r="DW138" s="420"/>
      <c r="DX138" s="420"/>
      <c r="DY138" s="420"/>
      <c r="DZ138" s="420"/>
      <c r="EA138" s="420"/>
      <c r="EB138" s="420"/>
      <c r="EC138" s="420"/>
      <c r="ED138" s="420"/>
      <c r="EE138" s="420"/>
      <c r="EF138" s="420"/>
      <c r="EG138" s="420"/>
      <c r="EH138" s="420"/>
      <c r="EI138" s="420"/>
      <c r="EJ138" s="420"/>
      <c r="EK138" s="420"/>
      <c r="EL138" s="420"/>
      <c r="EM138" s="420"/>
      <c r="EN138" s="420"/>
      <c r="EO138" s="420"/>
      <c r="EP138" s="420"/>
      <c r="EQ138" s="420"/>
      <c r="ER138" s="420"/>
      <c r="ES138" s="420"/>
      <c r="ET138" s="420"/>
      <c r="EU138" s="420"/>
      <c r="EV138" s="420"/>
      <c r="EW138" s="420"/>
      <c r="EX138" s="420"/>
      <c r="EY138" s="420"/>
      <c r="EZ138" s="420"/>
      <c r="FA138" s="420"/>
      <c r="FB138" s="420"/>
      <c r="FC138" s="420"/>
      <c r="FD138" s="420"/>
      <c r="FE138" s="420"/>
      <c r="FF138" s="420"/>
      <c r="FG138" s="420"/>
      <c r="FH138" s="420"/>
      <c r="FI138" s="420"/>
      <c r="FJ138" s="420"/>
      <c r="FK138" s="420"/>
      <c r="FL138" s="420"/>
      <c r="FM138" s="420"/>
      <c r="FN138" s="420"/>
      <c r="FO138" s="420"/>
      <c r="FP138" s="420"/>
      <c r="FQ138" s="420"/>
      <c r="FR138" s="420"/>
      <c r="FS138" s="420"/>
      <c r="FT138" s="420"/>
      <c r="FU138" s="420"/>
      <c r="FV138" s="420"/>
      <c r="FW138" s="420"/>
      <c r="FX138" s="420"/>
      <c r="FY138" s="420"/>
      <c r="FZ138" s="420"/>
      <c r="GA138" s="420"/>
      <c r="GB138" s="420"/>
      <c r="GC138" s="420"/>
      <c r="GD138" s="420"/>
      <c r="GE138" s="420"/>
      <c r="GF138" s="420"/>
      <c r="GG138" s="420"/>
      <c r="GH138" s="420"/>
      <c r="GI138" s="420"/>
      <c r="GJ138" s="420"/>
      <c r="GK138" s="420"/>
      <c r="GL138" s="420"/>
      <c r="GM138" s="420"/>
      <c r="GN138" s="420"/>
      <c r="GO138" s="420"/>
      <c r="GP138" s="420"/>
      <c r="GQ138" s="420"/>
      <c r="GR138" s="420"/>
      <c r="GS138" s="420"/>
      <c r="GT138" s="420"/>
      <c r="GU138" s="420"/>
      <c r="GV138" s="420"/>
      <c r="GW138" s="420"/>
      <c r="GX138" s="420"/>
      <c r="GY138" s="420"/>
      <c r="GZ138" s="420"/>
      <c r="HA138" s="420"/>
      <c r="HB138" s="420"/>
      <c r="HC138" s="420"/>
      <c r="HD138" s="420"/>
      <c r="HE138" s="420"/>
      <c r="HF138" s="420"/>
      <c r="HG138" s="420"/>
      <c r="HH138" s="420"/>
      <c r="HI138" s="420"/>
      <c r="HJ138" s="420"/>
      <c r="HK138" s="420"/>
      <c r="HL138" s="420"/>
      <c r="HM138" s="420"/>
      <c r="HN138" s="420"/>
      <c r="HO138" s="420"/>
      <c r="HP138" s="420"/>
      <c r="HQ138" s="420"/>
      <c r="HR138" s="420"/>
      <c r="HS138" s="420"/>
      <c r="HT138" s="420"/>
      <c r="HU138" s="420"/>
      <c r="HV138" s="420"/>
      <c r="HW138" s="420"/>
      <c r="HX138" s="420"/>
      <c r="HY138" s="420"/>
      <c r="HZ138" s="420"/>
      <c r="IA138" s="420"/>
      <c r="IB138" s="420"/>
      <c r="IC138" s="420"/>
      <c r="ID138" s="420"/>
      <c r="IE138" s="420"/>
      <c r="IF138" s="420"/>
      <c r="IG138" s="420"/>
      <c r="IH138" s="420"/>
      <c r="II138" s="420"/>
      <c r="IJ138" s="420"/>
      <c r="IK138" s="420"/>
      <c r="IL138" s="420"/>
      <c r="IM138" s="420"/>
      <c r="IN138" s="420"/>
      <c r="IO138" s="420"/>
      <c r="IP138" s="420"/>
      <c r="IQ138" s="420"/>
      <c r="IR138" s="420"/>
      <c r="IS138" s="420"/>
      <c r="IT138" s="420"/>
      <c r="IU138" s="420"/>
      <c r="IV138" s="420"/>
      <c r="IW138" s="420"/>
      <c r="IX138" s="420"/>
      <c r="IY138" s="420"/>
      <c r="IZ138" s="420"/>
      <c r="JA138" s="420"/>
    </row>
    <row r="139" spans="1:261" s="768" customFormat="1" ht="18" customHeight="1" x14ac:dyDescent="0.35">
      <c r="A139" s="783">
        <v>129</v>
      </c>
      <c r="B139" s="776"/>
      <c r="C139" s="422"/>
      <c r="D139" s="583" t="s">
        <v>1072</v>
      </c>
      <c r="E139" s="432"/>
      <c r="F139" s="772"/>
      <c r="G139" s="433"/>
      <c r="H139" s="1009"/>
      <c r="I139" s="1028"/>
      <c r="J139" s="1022"/>
      <c r="K139" s="1022"/>
      <c r="L139" s="432">
        <v>1023</v>
      </c>
      <c r="M139" s="1022"/>
      <c r="N139" s="1022"/>
      <c r="O139" s="777">
        <f>SUM(I139:N139)</f>
        <v>1023</v>
      </c>
      <c r="P139" s="773"/>
      <c r="Q139" s="420"/>
      <c r="R139" s="420"/>
      <c r="S139" s="420"/>
      <c r="T139" s="420"/>
      <c r="U139" s="420"/>
      <c r="V139" s="420"/>
      <c r="W139" s="420"/>
      <c r="X139" s="420"/>
      <c r="Y139" s="420"/>
      <c r="Z139" s="420"/>
      <c r="AA139" s="420"/>
      <c r="AB139" s="420"/>
      <c r="AC139" s="420"/>
      <c r="AD139" s="420"/>
      <c r="AE139" s="420"/>
      <c r="AF139" s="420"/>
      <c r="AG139" s="420"/>
      <c r="AH139" s="420"/>
      <c r="AI139" s="420"/>
      <c r="AJ139" s="420"/>
      <c r="AK139" s="420"/>
      <c r="AL139" s="420"/>
      <c r="AM139" s="420"/>
      <c r="AN139" s="420"/>
      <c r="AO139" s="420"/>
      <c r="AP139" s="420"/>
      <c r="AQ139" s="420"/>
      <c r="AR139" s="420"/>
      <c r="AS139" s="420"/>
      <c r="AT139" s="420"/>
      <c r="AU139" s="420"/>
      <c r="AV139" s="420"/>
      <c r="AW139" s="420"/>
      <c r="AX139" s="420"/>
      <c r="AY139" s="420"/>
      <c r="AZ139" s="420"/>
      <c r="BA139" s="420"/>
      <c r="BB139" s="420"/>
      <c r="BC139" s="420"/>
      <c r="BD139" s="420"/>
      <c r="BE139" s="420"/>
      <c r="BF139" s="420"/>
      <c r="BG139" s="420"/>
      <c r="BH139" s="420"/>
      <c r="BI139" s="420"/>
      <c r="BJ139" s="420"/>
      <c r="BK139" s="420"/>
      <c r="BL139" s="420"/>
      <c r="BM139" s="420"/>
      <c r="BN139" s="420"/>
      <c r="BO139" s="420"/>
      <c r="BP139" s="420"/>
      <c r="BQ139" s="420"/>
      <c r="BR139" s="420"/>
      <c r="BS139" s="420"/>
      <c r="BT139" s="420"/>
      <c r="BU139" s="420"/>
      <c r="BV139" s="420"/>
      <c r="BW139" s="420"/>
      <c r="BX139" s="420"/>
      <c r="BY139" s="420"/>
      <c r="BZ139" s="420"/>
      <c r="CA139" s="420"/>
      <c r="CB139" s="420"/>
      <c r="CC139" s="420"/>
      <c r="CD139" s="420"/>
      <c r="CE139" s="420"/>
      <c r="CF139" s="420"/>
      <c r="CG139" s="420"/>
      <c r="CH139" s="420"/>
      <c r="CI139" s="420"/>
      <c r="CJ139" s="420"/>
      <c r="CK139" s="420"/>
      <c r="CL139" s="420"/>
      <c r="CM139" s="420"/>
      <c r="CN139" s="420"/>
      <c r="CO139" s="420"/>
      <c r="CP139" s="420"/>
      <c r="CQ139" s="420"/>
      <c r="CR139" s="420"/>
      <c r="CS139" s="420"/>
      <c r="CT139" s="420"/>
      <c r="CU139" s="420"/>
      <c r="CV139" s="420"/>
      <c r="CW139" s="420"/>
      <c r="CX139" s="420"/>
      <c r="CY139" s="420"/>
      <c r="CZ139" s="420"/>
      <c r="DA139" s="420"/>
      <c r="DB139" s="420"/>
      <c r="DC139" s="420"/>
      <c r="DD139" s="420"/>
      <c r="DE139" s="420"/>
      <c r="DF139" s="420"/>
      <c r="DG139" s="420"/>
      <c r="DH139" s="420"/>
      <c r="DI139" s="420"/>
      <c r="DJ139" s="420"/>
      <c r="DK139" s="420"/>
      <c r="DL139" s="420"/>
      <c r="DM139" s="420"/>
      <c r="DN139" s="420"/>
      <c r="DO139" s="420"/>
      <c r="DP139" s="420"/>
      <c r="DQ139" s="420"/>
      <c r="DR139" s="420"/>
      <c r="DS139" s="420"/>
      <c r="DT139" s="420"/>
      <c r="DU139" s="420"/>
      <c r="DV139" s="420"/>
      <c r="DW139" s="420"/>
      <c r="DX139" s="420"/>
      <c r="DY139" s="420"/>
      <c r="DZ139" s="420"/>
      <c r="EA139" s="420"/>
      <c r="EB139" s="420"/>
      <c r="EC139" s="420"/>
      <c r="ED139" s="420"/>
      <c r="EE139" s="420"/>
      <c r="EF139" s="420"/>
      <c r="EG139" s="420"/>
      <c r="EH139" s="420"/>
      <c r="EI139" s="420"/>
      <c r="EJ139" s="420"/>
      <c r="EK139" s="420"/>
      <c r="EL139" s="420"/>
      <c r="EM139" s="420"/>
      <c r="EN139" s="420"/>
      <c r="EO139" s="420"/>
      <c r="EP139" s="420"/>
      <c r="EQ139" s="420"/>
      <c r="ER139" s="420"/>
      <c r="ES139" s="420"/>
      <c r="ET139" s="420"/>
      <c r="EU139" s="420"/>
      <c r="EV139" s="420"/>
      <c r="EW139" s="420"/>
      <c r="EX139" s="420"/>
      <c r="EY139" s="420"/>
      <c r="EZ139" s="420"/>
      <c r="FA139" s="420"/>
      <c r="FB139" s="420"/>
      <c r="FC139" s="420"/>
      <c r="FD139" s="420"/>
      <c r="FE139" s="420"/>
      <c r="FF139" s="420"/>
      <c r="FG139" s="420"/>
      <c r="FH139" s="420"/>
      <c r="FI139" s="420"/>
      <c r="FJ139" s="420"/>
      <c r="FK139" s="420"/>
      <c r="FL139" s="420"/>
      <c r="FM139" s="420"/>
      <c r="FN139" s="420"/>
      <c r="FO139" s="420"/>
      <c r="FP139" s="420"/>
      <c r="FQ139" s="420"/>
      <c r="FR139" s="420"/>
      <c r="FS139" s="420"/>
      <c r="FT139" s="420"/>
      <c r="FU139" s="420"/>
      <c r="FV139" s="420"/>
      <c r="FW139" s="420"/>
      <c r="FX139" s="420"/>
      <c r="FY139" s="420"/>
      <c r="FZ139" s="420"/>
      <c r="GA139" s="420"/>
      <c r="GB139" s="420"/>
      <c r="GC139" s="420"/>
      <c r="GD139" s="420"/>
      <c r="GE139" s="420"/>
      <c r="GF139" s="420"/>
      <c r="GG139" s="420"/>
      <c r="GH139" s="420"/>
      <c r="GI139" s="420"/>
      <c r="GJ139" s="420"/>
      <c r="GK139" s="420"/>
      <c r="GL139" s="420"/>
      <c r="GM139" s="420"/>
      <c r="GN139" s="420"/>
      <c r="GO139" s="420"/>
      <c r="GP139" s="420"/>
      <c r="GQ139" s="420"/>
      <c r="GR139" s="420"/>
      <c r="GS139" s="420"/>
      <c r="GT139" s="420"/>
      <c r="GU139" s="420"/>
      <c r="GV139" s="420"/>
      <c r="GW139" s="420"/>
      <c r="GX139" s="420"/>
      <c r="GY139" s="420"/>
      <c r="GZ139" s="420"/>
      <c r="HA139" s="420"/>
      <c r="HB139" s="420"/>
      <c r="HC139" s="420"/>
      <c r="HD139" s="420"/>
      <c r="HE139" s="420"/>
      <c r="HF139" s="420"/>
      <c r="HG139" s="420"/>
      <c r="HH139" s="420"/>
      <c r="HI139" s="420"/>
      <c r="HJ139" s="420"/>
      <c r="HK139" s="420"/>
      <c r="HL139" s="420"/>
      <c r="HM139" s="420"/>
      <c r="HN139" s="420"/>
      <c r="HO139" s="420"/>
      <c r="HP139" s="420"/>
      <c r="HQ139" s="420"/>
      <c r="HR139" s="420"/>
      <c r="HS139" s="420"/>
      <c r="HT139" s="420"/>
      <c r="HU139" s="420"/>
      <c r="HV139" s="420"/>
      <c r="HW139" s="420"/>
      <c r="HX139" s="420"/>
      <c r="HY139" s="420"/>
      <c r="HZ139" s="420"/>
      <c r="IA139" s="420"/>
      <c r="IB139" s="420"/>
      <c r="IC139" s="420"/>
      <c r="ID139" s="420"/>
      <c r="IE139" s="420"/>
      <c r="IF139" s="420"/>
      <c r="IG139" s="420"/>
      <c r="IH139" s="420"/>
      <c r="II139" s="420"/>
      <c r="IJ139" s="420"/>
      <c r="IK139" s="420"/>
      <c r="IL139" s="420"/>
      <c r="IM139" s="420"/>
      <c r="IN139" s="420"/>
      <c r="IO139" s="420"/>
      <c r="IP139" s="420"/>
      <c r="IQ139" s="420"/>
      <c r="IR139" s="420"/>
      <c r="IS139" s="420"/>
      <c r="IT139" s="420"/>
      <c r="IU139" s="420"/>
      <c r="IV139" s="420"/>
      <c r="IW139" s="420"/>
      <c r="IX139" s="420"/>
      <c r="IY139" s="420"/>
      <c r="IZ139" s="420"/>
      <c r="JA139" s="420"/>
    </row>
    <row r="140" spans="1:261" s="768" customFormat="1" ht="18" customHeight="1" x14ac:dyDescent="0.35">
      <c r="A140" s="783">
        <v>130</v>
      </c>
      <c r="B140" s="776"/>
      <c r="C140" s="422"/>
      <c r="D140" s="1338" t="s">
        <v>963</v>
      </c>
      <c r="E140" s="432"/>
      <c r="F140" s="772"/>
      <c r="G140" s="433"/>
      <c r="H140" s="1009"/>
      <c r="I140" s="1007"/>
      <c r="J140" s="432"/>
      <c r="K140" s="432"/>
      <c r="L140" s="432"/>
      <c r="M140" s="432"/>
      <c r="N140" s="432"/>
      <c r="O140" s="1623">
        <f>SUM(I140:N140)</f>
        <v>0</v>
      </c>
      <c r="P140" s="773"/>
      <c r="Q140" s="420"/>
      <c r="R140" s="420"/>
      <c r="S140" s="420"/>
      <c r="T140" s="420"/>
      <c r="U140" s="420"/>
      <c r="V140" s="420"/>
      <c r="W140" s="420"/>
      <c r="X140" s="420"/>
      <c r="Y140" s="420"/>
      <c r="Z140" s="420"/>
      <c r="AA140" s="420"/>
      <c r="AB140" s="420"/>
      <c r="AC140" s="420"/>
      <c r="AD140" s="420"/>
      <c r="AE140" s="420"/>
      <c r="AF140" s="420"/>
      <c r="AG140" s="420"/>
      <c r="AH140" s="420"/>
      <c r="AI140" s="420"/>
      <c r="AJ140" s="420"/>
      <c r="AK140" s="420"/>
      <c r="AL140" s="420"/>
      <c r="AM140" s="420"/>
      <c r="AN140" s="420"/>
      <c r="AO140" s="420"/>
      <c r="AP140" s="420"/>
      <c r="AQ140" s="420"/>
      <c r="AR140" s="420"/>
      <c r="AS140" s="420"/>
      <c r="AT140" s="420"/>
      <c r="AU140" s="420"/>
      <c r="AV140" s="420"/>
      <c r="AW140" s="420"/>
      <c r="AX140" s="420"/>
      <c r="AY140" s="420"/>
      <c r="AZ140" s="420"/>
      <c r="BA140" s="420"/>
      <c r="BB140" s="420"/>
      <c r="BC140" s="420"/>
      <c r="BD140" s="420"/>
      <c r="BE140" s="420"/>
      <c r="BF140" s="420"/>
      <c r="BG140" s="420"/>
      <c r="BH140" s="420"/>
      <c r="BI140" s="420"/>
      <c r="BJ140" s="420"/>
      <c r="BK140" s="420"/>
      <c r="BL140" s="420"/>
      <c r="BM140" s="420"/>
      <c r="BN140" s="420"/>
      <c r="BO140" s="420"/>
      <c r="BP140" s="420"/>
      <c r="BQ140" s="420"/>
      <c r="BR140" s="420"/>
      <c r="BS140" s="420"/>
      <c r="BT140" s="420"/>
      <c r="BU140" s="420"/>
      <c r="BV140" s="420"/>
      <c r="BW140" s="420"/>
      <c r="BX140" s="420"/>
      <c r="BY140" s="420"/>
      <c r="BZ140" s="420"/>
      <c r="CA140" s="420"/>
      <c r="CB140" s="420"/>
      <c r="CC140" s="420"/>
      <c r="CD140" s="420"/>
      <c r="CE140" s="420"/>
      <c r="CF140" s="420"/>
      <c r="CG140" s="420"/>
      <c r="CH140" s="420"/>
      <c r="CI140" s="420"/>
      <c r="CJ140" s="420"/>
      <c r="CK140" s="420"/>
      <c r="CL140" s="420"/>
      <c r="CM140" s="420"/>
      <c r="CN140" s="420"/>
      <c r="CO140" s="420"/>
      <c r="CP140" s="420"/>
      <c r="CQ140" s="420"/>
      <c r="CR140" s="420"/>
      <c r="CS140" s="420"/>
      <c r="CT140" s="420"/>
      <c r="CU140" s="420"/>
      <c r="CV140" s="420"/>
      <c r="CW140" s="420"/>
      <c r="CX140" s="420"/>
      <c r="CY140" s="420"/>
      <c r="CZ140" s="420"/>
      <c r="DA140" s="420"/>
      <c r="DB140" s="420"/>
      <c r="DC140" s="420"/>
      <c r="DD140" s="420"/>
      <c r="DE140" s="420"/>
      <c r="DF140" s="420"/>
      <c r="DG140" s="420"/>
      <c r="DH140" s="420"/>
      <c r="DI140" s="420"/>
      <c r="DJ140" s="420"/>
      <c r="DK140" s="420"/>
      <c r="DL140" s="420"/>
      <c r="DM140" s="420"/>
      <c r="DN140" s="420"/>
      <c r="DO140" s="420"/>
      <c r="DP140" s="420"/>
      <c r="DQ140" s="420"/>
      <c r="DR140" s="420"/>
      <c r="DS140" s="420"/>
      <c r="DT140" s="420"/>
      <c r="DU140" s="420"/>
      <c r="DV140" s="420"/>
      <c r="DW140" s="420"/>
      <c r="DX140" s="420"/>
      <c r="DY140" s="420"/>
      <c r="DZ140" s="420"/>
      <c r="EA140" s="420"/>
      <c r="EB140" s="420"/>
      <c r="EC140" s="420"/>
      <c r="ED140" s="420"/>
      <c r="EE140" s="420"/>
      <c r="EF140" s="420"/>
      <c r="EG140" s="420"/>
      <c r="EH140" s="420"/>
      <c r="EI140" s="420"/>
      <c r="EJ140" s="420"/>
      <c r="EK140" s="420"/>
      <c r="EL140" s="420"/>
      <c r="EM140" s="420"/>
      <c r="EN140" s="420"/>
      <c r="EO140" s="420"/>
      <c r="EP140" s="420"/>
      <c r="EQ140" s="420"/>
      <c r="ER140" s="420"/>
      <c r="ES140" s="420"/>
      <c r="ET140" s="420"/>
      <c r="EU140" s="420"/>
      <c r="EV140" s="420"/>
      <c r="EW140" s="420"/>
      <c r="EX140" s="420"/>
      <c r="EY140" s="420"/>
      <c r="EZ140" s="420"/>
      <c r="FA140" s="420"/>
      <c r="FB140" s="420"/>
      <c r="FC140" s="420"/>
      <c r="FD140" s="420"/>
      <c r="FE140" s="420"/>
      <c r="FF140" s="420"/>
      <c r="FG140" s="420"/>
      <c r="FH140" s="420"/>
      <c r="FI140" s="420"/>
      <c r="FJ140" s="420"/>
      <c r="FK140" s="420"/>
      <c r="FL140" s="420"/>
      <c r="FM140" s="420"/>
      <c r="FN140" s="420"/>
      <c r="FO140" s="420"/>
      <c r="FP140" s="420"/>
      <c r="FQ140" s="420"/>
      <c r="FR140" s="420"/>
      <c r="FS140" s="420"/>
      <c r="FT140" s="420"/>
      <c r="FU140" s="420"/>
      <c r="FV140" s="420"/>
      <c r="FW140" s="420"/>
      <c r="FX140" s="420"/>
      <c r="FY140" s="420"/>
      <c r="FZ140" s="420"/>
      <c r="GA140" s="420"/>
      <c r="GB140" s="420"/>
      <c r="GC140" s="420"/>
      <c r="GD140" s="420"/>
      <c r="GE140" s="420"/>
      <c r="GF140" s="420"/>
      <c r="GG140" s="420"/>
      <c r="GH140" s="420"/>
      <c r="GI140" s="420"/>
      <c r="GJ140" s="420"/>
      <c r="GK140" s="420"/>
      <c r="GL140" s="420"/>
      <c r="GM140" s="420"/>
      <c r="GN140" s="420"/>
      <c r="GO140" s="420"/>
      <c r="GP140" s="420"/>
      <c r="GQ140" s="420"/>
      <c r="GR140" s="420"/>
      <c r="GS140" s="420"/>
      <c r="GT140" s="420"/>
      <c r="GU140" s="420"/>
      <c r="GV140" s="420"/>
      <c r="GW140" s="420"/>
      <c r="GX140" s="420"/>
      <c r="GY140" s="420"/>
      <c r="GZ140" s="420"/>
      <c r="HA140" s="420"/>
      <c r="HB140" s="420"/>
      <c r="HC140" s="420"/>
      <c r="HD140" s="420"/>
      <c r="HE140" s="420"/>
      <c r="HF140" s="420"/>
      <c r="HG140" s="420"/>
      <c r="HH140" s="420"/>
      <c r="HI140" s="420"/>
      <c r="HJ140" s="420"/>
      <c r="HK140" s="420"/>
      <c r="HL140" s="420"/>
      <c r="HM140" s="420"/>
      <c r="HN140" s="420"/>
      <c r="HO140" s="420"/>
      <c r="HP140" s="420"/>
      <c r="HQ140" s="420"/>
      <c r="HR140" s="420"/>
      <c r="HS140" s="420"/>
      <c r="HT140" s="420"/>
      <c r="HU140" s="420"/>
      <c r="HV140" s="420"/>
      <c r="HW140" s="420"/>
      <c r="HX140" s="420"/>
      <c r="HY140" s="420"/>
      <c r="HZ140" s="420"/>
      <c r="IA140" s="420"/>
      <c r="IB140" s="420"/>
      <c r="IC140" s="420"/>
      <c r="ID140" s="420"/>
      <c r="IE140" s="420"/>
      <c r="IF140" s="420"/>
      <c r="IG140" s="420"/>
      <c r="IH140" s="420"/>
      <c r="II140" s="420"/>
      <c r="IJ140" s="420"/>
      <c r="IK140" s="420"/>
      <c r="IL140" s="420"/>
      <c r="IM140" s="420"/>
      <c r="IN140" s="420"/>
      <c r="IO140" s="420"/>
      <c r="IP140" s="420"/>
      <c r="IQ140" s="420"/>
      <c r="IR140" s="420"/>
      <c r="IS140" s="420"/>
      <c r="IT140" s="420"/>
      <c r="IU140" s="420"/>
      <c r="IV140" s="420"/>
      <c r="IW140" s="420"/>
      <c r="IX140" s="420"/>
      <c r="IY140" s="420"/>
      <c r="IZ140" s="420"/>
      <c r="JA140" s="420"/>
    </row>
    <row r="141" spans="1:261" s="768" customFormat="1" ht="18" customHeight="1" x14ac:dyDescent="0.35">
      <c r="A141" s="783">
        <v>131</v>
      </c>
      <c r="B141" s="776"/>
      <c r="C141" s="422"/>
      <c r="D141" s="583" t="s">
        <v>1151</v>
      </c>
      <c r="E141" s="432"/>
      <c r="F141" s="772"/>
      <c r="G141" s="433"/>
      <c r="H141" s="1009"/>
      <c r="I141" s="1007"/>
      <c r="J141" s="432"/>
      <c r="K141" s="432"/>
      <c r="L141" s="432">
        <f>SUM(L139:L140)</f>
        <v>1023</v>
      </c>
      <c r="M141" s="432"/>
      <c r="N141" s="432"/>
      <c r="O141" s="777">
        <f>SUM(I141:N141)</f>
        <v>1023</v>
      </c>
      <c r="P141" s="773"/>
      <c r="Q141" s="420"/>
      <c r="R141" s="420"/>
      <c r="S141" s="420"/>
      <c r="T141" s="420"/>
      <c r="U141" s="420"/>
      <c r="V141" s="420"/>
      <c r="W141" s="420"/>
      <c r="X141" s="420"/>
      <c r="Y141" s="420"/>
      <c r="Z141" s="420"/>
      <c r="AA141" s="420"/>
      <c r="AB141" s="420"/>
      <c r="AC141" s="420"/>
      <c r="AD141" s="420"/>
      <c r="AE141" s="420"/>
      <c r="AF141" s="420"/>
      <c r="AG141" s="420"/>
      <c r="AH141" s="420"/>
      <c r="AI141" s="420"/>
      <c r="AJ141" s="420"/>
      <c r="AK141" s="420"/>
      <c r="AL141" s="420"/>
      <c r="AM141" s="420"/>
      <c r="AN141" s="420"/>
      <c r="AO141" s="420"/>
      <c r="AP141" s="420"/>
      <c r="AQ141" s="420"/>
      <c r="AR141" s="420"/>
      <c r="AS141" s="420"/>
      <c r="AT141" s="420"/>
      <c r="AU141" s="420"/>
      <c r="AV141" s="420"/>
      <c r="AW141" s="420"/>
      <c r="AX141" s="420"/>
      <c r="AY141" s="420"/>
      <c r="AZ141" s="420"/>
      <c r="BA141" s="420"/>
      <c r="BB141" s="420"/>
      <c r="BC141" s="420"/>
      <c r="BD141" s="420"/>
      <c r="BE141" s="420"/>
      <c r="BF141" s="420"/>
      <c r="BG141" s="420"/>
      <c r="BH141" s="420"/>
      <c r="BI141" s="420"/>
      <c r="BJ141" s="420"/>
      <c r="BK141" s="420"/>
      <c r="BL141" s="420"/>
      <c r="BM141" s="420"/>
      <c r="BN141" s="420"/>
      <c r="BO141" s="420"/>
      <c r="BP141" s="420"/>
      <c r="BQ141" s="420"/>
      <c r="BR141" s="420"/>
      <c r="BS141" s="420"/>
      <c r="BT141" s="420"/>
      <c r="BU141" s="420"/>
      <c r="BV141" s="420"/>
      <c r="BW141" s="420"/>
      <c r="BX141" s="420"/>
      <c r="BY141" s="420"/>
      <c r="BZ141" s="420"/>
      <c r="CA141" s="420"/>
      <c r="CB141" s="420"/>
      <c r="CC141" s="420"/>
      <c r="CD141" s="420"/>
      <c r="CE141" s="420"/>
      <c r="CF141" s="420"/>
      <c r="CG141" s="420"/>
      <c r="CH141" s="420"/>
      <c r="CI141" s="420"/>
      <c r="CJ141" s="420"/>
      <c r="CK141" s="420"/>
      <c r="CL141" s="420"/>
      <c r="CM141" s="420"/>
      <c r="CN141" s="420"/>
      <c r="CO141" s="420"/>
      <c r="CP141" s="420"/>
      <c r="CQ141" s="420"/>
      <c r="CR141" s="420"/>
      <c r="CS141" s="420"/>
      <c r="CT141" s="420"/>
      <c r="CU141" s="420"/>
      <c r="CV141" s="420"/>
      <c r="CW141" s="420"/>
      <c r="CX141" s="420"/>
      <c r="CY141" s="420"/>
      <c r="CZ141" s="420"/>
      <c r="DA141" s="420"/>
      <c r="DB141" s="420"/>
      <c r="DC141" s="420"/>
      <c r="DD141" s="420"/>
      <c r="DE141" s="420"/>
      <c r="DF141" s="420"/>
      <c r="DG141" s="420"/>
      <c r="DH141" s="420"/>
      <c r="DI141" s="420"/>
      <c r="DJ141" s="420"/>
      <c r="DK141" s="420"/>
      <c r="DL141" s="420"/>
      <c r="DM141" s="420"/>
      <c r="DN141" s="420"/>
      <c r="DO141" s="420"/>
      <c r="DP141" s="420"/>
      <c r="DQ141" s="420"/>
      <c r="DR141" s="420"/>
      <c r="DS141" s="420"/>
      <c r="DT141" s="420"/>
      <c r="DU141" s="420"/>
      <c r="DV141" s="420"/>
      <c r="DW141" s="420"/>
      <c r="DX141" s="420"/>
      <c r="DY141" s="420"/>
      <c r="DZ141" s="420"/>
      <c r="EA141" s="420"/>
      <c r="EB141" s="420"/>
      <c r="EC141" s="420"/>
      <c r="ED141" s="420"/>
      <c r="EE141" s="420"/>
      <c r="EF141" s="420"/>
      <c r="EG141" s="420"/>
      <c r="EH141" s="420"/>
      <c r="EI141" s="420"/>
      <c r="EJ141" s="420"/>
      <c r="EK141" s="420"/>
      <c r="EL141" s="420"/>
      <c r="EM141" s="420"/>
      <c r="EN141" s="420"/>
      <c r="EO141" s="420"/>
      <c r="EP141" s="420"/>
      <c r="EQ141" s="420"/>
      <c r="ER141" s="420"/>
      <c r="ES141" s="420"/>
      <c r="ET141" s="420"/>
      <c r="EU141" s="420"/>
      <c r="EV141" s="420"/>
      <c r="EW141" s="420"/>
      <c r="EX141" s="420"/>
      <c r="EY141" s="420"/>
      <c r="EZ141" s="420"/>
      <c r="FA141" s="420"/>
      <c r="FB141" s="420"/>
      <c r="FC141" s="420"/>
      <c r="FD141" s="420"/>
      <c r="FE141" s="420"/>
      <c r="FF141" s="420"/>
      <c r="FG141" s="420"/>
      <c r="FH141" s="420"/>
      <c r="FI141" s="420"/>
      <c r="FJ141" s="420"/>
      <c r="FK141" s="420"/>
      <c r="FL141" s="420"/>
      <c r="FM141" s="420"/>
      <c r="FN141" s="420"/>
      <c r="FO141" s="420"/>
      <c r="FP141" s="420"/>
      <c r="FQ141" s="420"/>
      <c r="FR141" s="420"/>
      <c r="FS141" s="420"/>
      <c r="FT141" s="420"/>
      <c r="FU141" s="420"/>
      <c r="FV141" s="420"/>
      <c r="FW141" s="420"/>
      <c r="FX141" s="420"/>
      <c r="FY141" s="420"/>
      <c r="FZ141" s="420"/>
      <c r="GA141" s="420"/>
      <c r="GB141" s="420"/>
      <c r="GC141" s="420"/>
      <c r="GD141" s="420"/>
      <c r="GE141" s="420"/>
      <c r="GF141" s="420"/>
      <c r="GG141" s="420"/>
      <c r="GH141" s="420"/>
      <c r="GI141" s="420"/>
      <c r="GJ141" s="420"/>
      <c r="GK141" s="420"/>
      <c r="GL141" s="420"/>
      <c r="GM141" s="420"/>
      <c r="GN141" s="420"/>
      <c r="GO141" s="420"/>
      <c r="GP141" s="420"/>
      <c r="GQ141" s="420"/>
      <c r="GR141" s="420"/>
      <c r="GS141" s="420"/>
      <c r="GT141" s="420"/>
      <c r="GU141" s="420"/>
      <c r="GV141" s="420"/>
      <c r="GW141" s="420"/>
      <c r="GX141" s="420"/>
      <c r="GY141" s="420"/>
      <c r="GZ141" s="420"/>
      <c r="HA141" s="420"/>
      <c r="HB141" s="420"/>
      <c r="HC141" s="420"/>
      <c r="HD141" s="420"/>
      <c r="HE141" s="420"/>
      <c r="HF141" s="420"/>
      <c r="HG141" s="420"/>
      <c r="HH141" s="420"/>
      <c r="HI141" s="420"/>
      <c r="HJ141" s="420"/>
      <c r="HK141" s="420"/>
      <c r="HL141" s="420"/>
      <c r="HM141" s="420"/>
      <c r="HN141" s="420"/>
      <c r="HO141" s="420"/>
      <c r="HP141" s="420"/>
      <c r="HQ141" s="420"/>
      <c r="HR141" s="420"/>
      <c r="HS141" s="420"/>
      <c r="HT141" s="420"/>
      <c r="HU141" s="420"/>
      <c r="HV141" s="420"/>
      <c r="HW141" s="420"/>
      <c r="HX141" s="420"/>
      <c r="HY141" s="420"/>
      <c r="HZ141" s="420"/>
      <c r="IA141" s="420"/>
      <c r="IB141" s="420"/>
      <c r="IC141" s="420"/>
      <c r="ID141" s="420"/>
      <c r="IE141" s="420"/>
      <c r="IF141" s="420"/>
      <c r="IG141" s="420"/>
      <c r="IH141" s="420"/>
      <c r="II141" s="420"/>
      <c r="IJ141" s="420"/>
      <c r="IK141" s="420"/>
      <c r="IL141" s="420"/>
      <c r="IM141" s="420"/>
      <c r="IN141" s="420"/>
      <c r="IO141" s="420"/>
      <c r="IP141" s="420"/>
      <c r="IQ141" s="420"/>
      <c r="IR141" s="420"/>
      <c r="IS141" s="420"/>
      <c r="IT141" s="420"/>
      <c r="IU141" s="420"/>
      <c r="IV141" s="420"/>
      <c r="IW141" s="420"/>
      <c r="IX141" s="420"/>
      <c r="IY141" s="420"/>
      <c r="IZ141" s="420"/>
      <c r="JA141" s="420"/>
    </row>
    <row r="142" spans="1:261" ht="22.5" customHeight="1" x14ac:dyDescent="0.35">
      <c r="A142" s="783">
        <v>132</v>
      </c>
      <c r="B142" s="625"/>
      <c r="C142" s="466">
        <v>27</v>
      </c>
      <c r="D142" s="779" t="s">
        <v>688</v>
      </c>
      <c r="E142" s="432"/>
      <c r="F142" s="432"/>
      <c r="G142" s="433"/>
      <c r="H142" s="1009" t="s">
        <v>24</v>
      </c>
      <c r="I142" s="1028"/>
      <c r="J142" s="1022"/>
      <c r="K142" s="1022"/>
      <c r="L142" s="1022"/>
      <c r="M142" s="1022"/>
      <c r="N142" s="1022"/>
      <c r="O142" s="1029"/>
      <c r="P142" s="773"/>
    </row>
    <row r="143" spans="1:261" ht="18" customHeight="1" x14ac:dyDescent="0.35">
      <c r="A143" s="783">
        <v>133</v>
      </c>
      <c r="B143" s="625"/>
      <c r="C143" s="466"/>
      <c r="D143" s="1002" t="s">
        <v>311</v>
      </c>
      <c r="E143" s="432">
        <f>F143+G143+O146+P146+2313</f>
        <v>28307</v>
      </c>
      <c r="F143" s="432"/>
      <c r="G143" s="433">
        <f>6715+1684</f>
        <v>8399</v>
      </c>
      <c r="H143" s="1009"/>
      <c r="I143" s="1028">
        <v>254</v>
      </c>
      <c r="J143" s="1022">
        <v>96</v>
      </c>
      <c r="K143" s="1022">
        <f>18397+834</f>
        <v>19231</v>
      </c>
      <c r="L143" s="1022"/>
      <c r="M143" s="1022"/>
      <c r="N143" s="1022"/>
      <c r="O143" s="992">
        <f>SUM(I143:N143)</f>
        <v>19581</v>
      </c>
      <c r="P143" s="773"/>
    </row>
    <row r="144" spans="1:261" ht="18" customHeight="1" x14ac:dyDescent="0.35">
      <c r="A144" s="783">
        <v>134</v>
      </c>
      <c r="B144" s="625"/>
      <c r="C144" s="466"/>
      <c r="D144" s="583" t="s">
        <v>1072</v>
      </c>
      <c r="E144" s="432"/>
      <c r="F144" s="432"/>
      <c r="G144" s="433"/>
      <c r="H144" s="1009"/>
      <c r="I144" s="1007">
        <v>5052</v>
      </c>
      <c r="J144" s="432">
        <v>888</v>
      </c>
      <c r="K144" s="432">
        <v>11655</v>
      </c>
      <c r="L144" s="1022"/>
      <c r="M144" s="1022"/>
      <c r="N144" s="1022"/>
      <c r="O144" s="777">
        <f>SUM(I144:N144)</f>
        <v>17595</v>
      </c>
      <c r="P144" s="773"/>
    </row>
    <row r="145" spans="1:16" ht="18" customHeight="1" x14ac:dyDescent="0.35">
      <c r="A145" s="783">
        <v>135</v>
      </c>
      <c r="B145" s="625"/>
      <c r="C145" s="466"/>
      <c r="D145" s="1338" t="s">
        <v>986</v>
      </c>
      <c r="E145" s="432"/>
      <c r="F145" s="432"/>
      <c r="G145" s="433"/>
      <c r="H145" s="1009"/>
      <c r="I145" s="1812"/>
      <c r="J145" s="1587"/>
      <c r="K145" s="1587"/>
      <c r="L145" s="432"/>
      <c r="M145" s="432"/>
      <c r="N145" s="432"/>
      <c r="O145" s="1623">
        <f>SUM(I145:N145)</f>
        <v>0</v>
      </c>
      <c r="P145" s="773"/>
    </row>
    <row r="146" spans="1:16" ht="18" customHeight="1" x14ac:dyDescent="0.35">
      <c r="A146" s="783">
        <v>136</v>
      </c>
      <c r="B146" s="625"/>
      <c r="C146" s="466"/>
      <c r="D146" s="583" t="s">
        <v>1151</v>
      </c>
      <c r="E146" s="432"/>
      <c r="F146" s="432"/>
      <c r="G146" s="433"/>
      <c r="H146" s="1009"/>
      <c r="I146" s="1007">
        <f>SUM(I144:I145)</f>
        <v>5052</v>
      </c>
      <c r="J146" s="1007">
        <f t="shared" ref="J146:K146" si="17">SUM(J144:J145)</f>
        <v>888</v>
      </c>
      <c r="K146" s="1007">
        <f t="shared" si="17"/>
        <v>11655</v>
      </c>
      <c r="L146" s="432"/>
      <c r="M146" s="432"/>
      <c r="N146" s="432"/>
      <c r="O146" s="777">
        <f>SUM(I146:N146)</f>
        <v>17595</v>
      </c>
      <c r="P146" s="773"/>
    </row>
    <row r="147" spans="1:16" ht="22.5" customHeight="1" x14ac:dyDescent="0.35">
      <c r="A147" s="783">
        <v>137</v>
      </c>
      <c r="B147" s="625"/>
      <c r="C147" s="466">
        <v>28</v>
      </c>
      <c r="D147" s="779" t="s">
        <v>689</v>
      </c>
      <c r="E147" s="432"/>
      <c r="F147" s="432"/>
      <c r="G147" s="433"/>
      <c r="H147" s="1009" t="s">
        <v>24</v>
      </c>
      <c r="I147" s="1028"/>
      <c r="J147" s="1022"/>
      <c r="K147" s="1022"/>
      <c r="L147" s="1022"/>
      <c r="M147" s="1022"/>
      <c r="N147" s="1022"/>
      <c r="O147" s="1029"/>
      <c r="P147" s="773"/>
    </row>
    <row r="148" spans="1:16" ht="18" customHeight="1" x14ac:dyDescent="0.35">
      <c r="A148" s="783">
        <v>138</v>
      </c>
      <c r="B148" s="625"/>
      <c r="C148" s="466"/>
      <c r="D148" s="1002" t="s">
        <v>311</v>
      </c>
      <c r="E148" s="432">
        <f>F148+G148+O151+P148</f>
        <v>0</v>
      </c>
      <c r="F148" s="432"/>
      <c r="G148" s="433"/>
      <c r="H148" s="1009"/>
      <c r="I148" s="1028"/>
      <c r="J148" s="1022"/>
      <c r="K148" s="1022">
        <v>13749</v>
      </c>
      <c r="L148" s="1022"/>
      <c r="M148" s="1022"/>
      <c r="N148" s="1022"/>
      <c r="O148" s="992">
        <f>SUM(I148:N148)</f>
        <v>13749</v>
      </c>
      <c r="P148" s="773">
        <f>39409-39409</f>
        <v>0</v>
      </c>
    </row>
    <row r="149" spans="1:16" ht="18" customHeight="1" x14ac:dyDescent="0.35">
      <c r="A149" s="783">
        <v>139</v>
      </c>
      <c r="B149" s="625"/>
      <c r="C149" s="466"/>
      <c r="D149" s="583" t="s">
        <v>1072</v>
      </c>
      <c r="E149" s="432"/>
      <c r="F149" s="432"/>
      <c r="G149" s="433"/>
      <c r="H149" s="1009"/>
      <c r="I149" s="1028"/>
      <c r="J149" s="1022"/>
      <c r="K149" s="432">
        <v>0</v>
      </c>
      <c r="L149" s="1022"/>
      <c r="M149" s="1022"/>
      <c r="N149" s="1022"/>
      <c r="O149" s="777">
        <f>SUM(I149:N149)</f>
        <v>0</v>
      </c>
      <c r="P149" s="773"/>
    </row>
    <row r="150" spans="1:16" ht="18" customHeight="1" x14ac:dyDescent="0.35">
      <c r="A150" s="783">
        <v>140</v>
      </c>
      <c r="B150" s="625"/>
      <c r="C150" s="466"/>
      <c r="D150" s="1338" t="s">
        <v>963</v>
      </c>
      <c r="E150" s="432"/>
      <c r="F150" s="432"/>
      <c r="G150" s="433"/>
      <c r="H150" s="1009"/>
      <c r="I150" s="1007"/>
      <c r="J150" s="432"/>
      <c r="K150" s="1587"/>
      <c r="L150" s="432"/>
      <c r="M150" s="432"/>
      <c r="N150" s="432"/>
      <c r="O150" s="1623">
        <f>SUM(I150:N150)</f>
        <v>0</v>
      </c>
      <c r="P150" s="773"/>
    </row>
    <row r="151" spans="1:16" ht="18" customHeight="1" x14ac:dyDescent="0.35">
      <c r="A151" s="783">
        <v>141</v>
      </c>
      <c r="B151" s="625"/>
      <c r="C151" s="466"/>
      <c r="D151" s="583" t="s">
        <v>1151</v>
      </c>
      <c r="E151" s="432"/>
      <c r="F151" s="432"/>
      <c r="G151" s="433"/>
      <c r="H151" s="1009"/>
      <c r="I151" s="1007"/>
      <c r="J151" s="432"/>
      <c r="K151" s="432">
        <f>SUM(K149:K150)</f>
        <v>0</v>
      </c>
      <c r="L151" s="432"/>
      <c r="M151" s="432"/>
      <c r="N151" s="432"/>
      <c r="O151" s="777">
        <f>SUM(I151:N151)</f>
        <v>0</v>
      </c>
      <c r="P151" s="773"/>
    </row>
    <row r="152" spans="1:16" ht="22.5" customHeight="1" x14ac:dyDescent="0.35">
      <c r="A152" s="783">
        <v>142</v>
      </c>
      <c r="B152" s="625"/>
      <c r="C152" s="466">
        <v>29</v>
      </c>
      <c r="D152" s="779" t="s">
        <v>690</v>
      </c>
      <c r="E152" s="432"/>
      <c r="F152" s="432"/>
      <c r="G152" s="433"/>
      <c r="H152" s="1009" t="s">
        <v>24</v>
      </c>
      <c r="I152" s="1028"/>
      <c r="J152" s="1022"/>
      <c r="K152" s="1022"/>
      <c r="L152" s="1022"/>
      <c r="M152" s="1022"/>
      <c r="N152" s="1022"/>
      <c r="O152" s="1029"/>
      <c r="P152" s="773"/>
    </row>
    <row r="153" spans="1:16" ht="18" customHeight="1" x14ac:dyDescent="0.35">
      <c r="A153" s="783">
        <v>143</v>
      </c>
      <c r="B153" s="625"/>
      <c r="C153" s="466"/>
      <c r="D153" s="1002" t="s">
        <v>311</v>
      </c>
      <c r="E153" s="432">
        <f>F153+G153+O156+P153</f>
        <v>3071</v>
      </c>
      <c r="F153" s="432"/>
      <c r="G153" s="433"/>
      <c r="H153" s="1009"/>
      <c r="I153" s="1028"/>
      <c r="J153" s="1022"/>
      <c r="K153" s="1022">
        <v>3071</v>
      </c>
      <c r="L153" s="1022"/>
      <c r="M153" s="1022"/>
      <c r="N153" s="1022"/>
      <c r="O153" s="992">
        <f>SUM(I153:N153)</f>
        <v>3071</v>
      </c>
      <c r="P153" s="773"/>
    </row>
    <row r="154" spans="1:16" ht="18" customHeight="1" x14ac:dyDescent="0.35">
      <c r="A154" s="783">
        <v>144</v>
      </c>
      <c r="B154" s="625"/>
      <c r="C154" s="466"/>
      <c r="D154" s="583" t="s">
        <v>1072</v>
      </c>
      <c r="E154" s="432"/>
      <c r="F154" s="432"/>
      <c r="G154" s="433"/>
      <c r="H154" s="1009"/>
      <c r="I154" s="1028"/>
      <c r="J154" s="1022"/>
      <c r="K154" s="432">
        <v>3071</v>
      </c>
      <c r="L154" s="1022"/>
      <c r="M154" s="1022"/>
      <c r="N154" s="1022"/>
      <c r="O154" s="777">
        <f>SUM(I154:N154)</f>
        <v>3071</v>
      </c>
      <c r="P154" s="773"/>
    </row>
    <row r="155" spans="1:16" ht="18" customHeight="1" x14ac:dyDescent="0.35">
      <c r="A155" s="783">
        <v>145</v>
      </c>
      <c r="B155" s="625"/>
      <c r="C155" s="466"/>
      <c r="D155" s="1338" t="s">
        <v>963</v>
      </c>
      <c r="E155" s="432"/>
      <c r="F155" s="432"/>
      <c r="G155" s="433"/>
      <c r="H155" s="1009"/>
      <c r="I155" s="1007"/>
      <c r="J155" s="432"/>
      <c r="K155" s="432"/>
      <c r="L155" s="432"/>
      <c r="M155" s="432"/>
      <c r="N155" s="432"/>
      <c r="O155" s="1623">
        <f>SUM(I155:N155)</f>
        <v>0</v>
      </c>
      <c r="P155" s="773"/>
    </row>
    <row r="156" spans="1:16" ht="18" customHeight="1" x14ac:dyDescent="0.35">
      <c r="A156" s="783">
        <v>146</v>
      </c>
      <c r="B156" s="625"/>
      <c r="C156" s="466"/>
      <c r="D156" s="583" t="s">
        <v>1151</v>
      </c>
      <c r="E156" s="432"/>
      <c r="F156" s="432"/>
      <c r="G156" s="433"/>
      <c r="H156" s="1009"/>
      <c r="I156" s="1007"/>
      <c r="J156" s="432"/>
      <c r="K156" s="432">
        <f>SUM(K154:K155)</f>
        <v>3071</v>
      </c>
      <c r="L156" s="432"/>
      <c r="M156" s="432"/>
      <c r="N156" s="432"/>
      <c r="O156" s="777">
        <f>SUM(I156:N156)</f>
        <v>3071</v>
      </c>
      <c r="P156" s="773"/>
    </row>
    <row r="157" spans="1:16" ht="22.5" customHeight="1" x14ac:dyDescent="0.35">
      <c r="A157" s="783">
        <v>147</v>
      </c>
      <c r="B157" s="625"/>
      <c r="C157" s="466">
        <v>30</v>
      </c>
      <c r="D157" s="779" t="s">
        <v>691</v>
      </c>
      <c r="E157" s="432"/>
      <c r="F157" s="432"/>
      <c r="G157" s="433"/>
      <c r="H157" s="1009" t="s">
        <v>24</v>
      </c>
      <c r="I157" s="1028"/>
      <c r="J157" s="1022"/>
      <c r="K157" s="1022"/>
      <c r="L157" s="1022"/>
      <c r="M157" s="1022"/>
      <c r="N157" s="1022"/>
      <c r="O157" s="1029"/>
      <c r="P157" s="773"/>
    </row>
    <row r="158" spans="1:16" ht="18" customHeight="1" x14ac:dyDescent="0.35">
      <c r="A158" s="783">
        <v>148</v>
      </c>
      <c r="B158" s="625"/>
      <c r="C158" s="466"/>
      <c r="D158" s="1002" t="s">
        <v>311</v>
      </c>
      <c r="E158" s="432">
        <f>F158+G158+O161+P158+3100</f>
        <v>35920</v>
      </c>
      <c r="F158" s="432"/>
      <c r="G158" s="433"/>
      <c r="H158" s="1009"/>
      <c r="I158" s="1028"/>
      <c r="J158" s="1022"/>
      <c r="K158" s="1022">
        <v>17116</v>
      </c>
      <c r="L158" s="1022"/>
      <c r="M158" s="1022"/>
      <c r="N158" s="1022"/>
      <c r="O158" s="992">
        <f>SUM(I158:N158)</f>
        <v>17116</v>
      </c>
      <c r="P158" s="773">
        <v>28736</v>
      </c>
    </row>
    <row r="159" spans="1:16" ht="18" customHeight="1" x14ac:dyDescent="0.35">
      <c r="A159" s="783">
        <v>149</v>
      </c>
      <c r="B159" s="625"/>
      <c r="C159" s="466"/>
      <c r="D159" s="583" t="s">
        <v>1072</v>
      </c>
      <c r="E159" s="432"/>
      <c r="F159" s="432"/>
      <c r="G159" s="433"/>
      <c r="H159" s="1009"/>
      <c r="I159" s="1028"/>
      <c r="J159" s="1022"/>
      <c r="K159" s="432">
        <v>4084</v>
      </c>
      <c r="L159" s="1022"/>
      <c r="M159" s="1022"/>
      <c r="N159" s="1022"/>
      <c r="O159" s="777">
        <f>SUM(I159:N159)</f>
        <v>4084</v>
      </c>
      <c r="P159" s="773"/>
    </row>
    <row r="160" spans="1:16" ht="18" customHeight="1" x14ac:dyDescent="0.35">
      <c r="A160" s="783">
        <v>150</v>
      </c>
      <c r="B160" s="625"/>
      <c r="C160" s="466"/>
      <c r="D160" s="1338" t="s">
        <v>986</v>
      </c>
      <c r="E160" s="432"/>
      <c r="F160" s="432"/>
      <c r="G160" s="433"/>
      <c r="H160" s="1009"/>
      <c r="I160" s="1007"/>
      <c r="J160" s="432"/>
      <c r="K160" s="1587"/>
      <c r="L160" s="432"/>
      <c r="M160" s="432"/>
      <c r="N160" s="432"/>
      <c r="O160" s="1623">
        <f>SUM(I160:N160)</f>
        <v>0</v>
      </c>
      <c r="P160" s="773"/>
    </row>
    <row r="161" spans="1:16" ht="18" customHeight="1" x14ac:dyDescent="0.35">
      <c r="A161" s="783">
        <v>151</v>
      </c>
      <c r="B161" s="625"/>
      <c r="C161" s="466"/>
      <c r="D161" s="583" t="s">
        <v>1151</v>
      </c>
      <c r="E161" s="432"/>
      <c r="F161" s="432"/>
      <c r="G161" s="433"/>
      <c r="H161" s="1009"/>
      <c r="I161" s="1007"/>
      <c r="J161" s="432"/>
      <c r="K161" s="432">
        <f>SUM(K159:K160)</f>
        <v>4084</v>
      </c>
      <c r="L161" s="432"/>
      <c r="M161" s="432"/>
      <c r="N161" s="432"/>
      <c r="O161" s="777">
        <f>SUM(I161:N161)</f>
        <v>4084</v>
      </c>
      <c r="P161" s="773"/>
    </row>
    <row r="162" spans="1:16" ht="22.5" customHeight="1" x14ac:dyDescent="0.35">
      <c r="A162" s="783">
        <v>152</v>
      </c>
      <c r="B162" s="625"/>
      <c r="C162" s="466">
        <v>31</v>
      </c>
      <c r="D162" s="779" t="s">
        <v>692</v>
      </c>
      <c r="E162" s="432"/>
      <c r="F162" s="432"/>
      <c r="G162" s="433"/>
      <c r="H162" s="1009" t="s">
        <v>24</v>
      </c>
      <c r="I162" s="1028"/>
      <c r="J162" s="1022"/>
      <c r="K162" s="1022"/>
      <c r="L162" s="1022"/>
      <c r="M162" s="1022"/>
      <c r="N162" s="1022"/>
      <c r="O162" s="1029"/>
      <c r="P162" s="773"/>
    </row>
    <row r="163" spans="1:16" ht="18" customHeight="1" x14ac:dyDescent="0.35">
      <c r="A163" s="783">
        <v>153</v>
      </c>
      <c r="B163" s="625"/>
      <c r="C163" s="466"/>
      <c r="D163" s="1002" t="s">
        <v>311</v>
      </c>
      <c r="E163" s="432">
        <f>F163+G163+O166+P163</f>
        <v>40000</v>
      </c>
      <c r="F163" s="432"/>
      <c r="G163" s="433"/>
      <c r="H163" s="1009"/>
      <c r="I163" s="1028"/>
      <c r="J163" s="1022"/>
      <c r="K163" s="1022"/>
      <c r="L163" s="1022"/>
      <c r="M163" s="1022">
        <v>33863</v>
      </c>
      <c r="N163" s="1022"/>
      <c r="O163" s="992">
        <f>SUM(I163:N163)</f>
        <v>33863</v>
      </c>
      <c r="P163" s="773"/>
    </row>
    <row r="164" spans="1:16" ht="18" customHeight="1" x14ac:dyDescent="0.35">
      <c r="A164" s="783">
        <v>154</v>
      </c>
      <c r="B164" s="625"/>
      <c r="C164" s="466"/>
      <c r="D164" s="583" t="s">
        <v>1072</v>
      </c>
      <c r="E164" s="432"/>
      <c r="F164" s="432"/>
      <c r="G164" s="433"/>
      <c r="H164" s="1009"/>
      <c r="I164" s="1028"/>
      <c r="J164" s="1022"/>
      <c r="K164" s="432">
        <v>295</v>
      </c>
      <c r="L164" s="432"/>
      <c r="M164" s="432">
        <v>39705</v>
      </c>
      <c r="N164" s="1022"/>
      <c r="O164" s="777">
        <f>SUM(I164:N164)</f>
        <v>40000</v>
      </c>
      <c r="P164" s="773"/>
    </row>
    <row r="165" spans="1:16" ht="18" customHeight="1" x14ac:dyDescent="0.35">
      <c r="A165" s="783">
        <v>155</v>
      </c>
      <c r="B165" s="625"/>
      <c r="C165" s="466"/>
      <c r="D165" s="1338" t="s">
        <v>986</v>
      </c>
      <c r="E165" s="432"/>
      <c r="F165" s="432"/>
      <c r="G165" s="433"/>
      <c r="H165" s="1009"/>
      <c r="I165" s="1007"/>
      <c r="J165" s="432"/>
      <c r="K165" s="1587"/>
      <c r="L165" s="432"/>
      <c r="M165" s="1587"/>
      <c r="N165" s="432"/>
      <c r="O165" s="1778">
        <f>SUM(I165:N165)</f>
        <v>0</v>
      </c>
      <c r="P165" s="773"/>
    </row>
    <row r="166" spans="1:16" ht="18" customHeight="1" x14ac:dyDescent="0.35">
      <c r="A166" s="783">
        <v>156</v>
      </c>
      <c r="B166" s="625"/>
      <c r="C166" s="466"/>
      <c r="D166" s="583" t="s">
        <v>1151</v>
      </c>
      <c r="E166" s="432"/>
      <c r="F166" s="432"/>
      <c r="G166" s="433"/>
      <c r="H166" s="1009"/>
      <c r="I166" s="1007"/>
      <c r="J166" s="432"/>
      <c r="K166" s="432">
        <f>SUM(K164:K165)</f>
        <v>295</v>
      </c>
      <c r="L166" s="432"/>
      <c r="M166" s="432">
        <f>SUM(M164:M165)</f>
        <v>39705</v>
      </c>
      <c r="N166" s="432"/>
      <c r="O166" s="777">
        <f>SUM(I166:N166)</f>
        <v>40000</v>
      </c>
      <c r="P166" s="773"/>
    </row>
    <row r="167" spans="1:16" ht="53.25" customHeight="1" x14ac:dyDescent="0.35">
      <c r="A167" s="783">
        <v>157</v>
      </c>
      <c r="B167" s="625"/>
      <c r="C167" s="422">
        <v>32</v>
      </c>
      <c r="D167" s="1031" t="s">
        <v>693</v>
      </c>
      <c r="E167" s="432"/>
      <c r="F167" s="432"/>
      <c r="G167" s="433"/>
      <c r="H167" s="1009" t="s">
        <v>24</v>
      </c>
      <c r="I167" s="1028"/>
      <c r="J167" s="1022"/>
      <c r="K167" s="1022"/>
      <c r="L167" s="1022"/>
      <c r="M167" s="1022"/>
      <c r="N167" s="1022"/>
      <c r="O167" s="1029"/>
      <c r="P167" s="773"/>
    </row>
    <row r="168" spans="1:16" ht="18" customHeight="1" x14ac:dyDescent="0.35">
      <c r="A168" s="783">
        <v>158</v>
      </c>
      <c r="B168" s="625"/>
      <c r="C168" s="466"/>
      <c r="D168" s="1002" t="s">
        <v>311</v>
      </c>
      <c r="E168" s="432">
        <f>F168+G168+O171+P168</f>
        <v>19985</v>
      </c>
      <c r="F168" s="432"/>
      <c r="G168" s="433"/>
      <c r="H168" s="1009"/>
      <c r="I168" s="1028"/>
      <c r="J168" s="1022"/>
      <c r="K168" s="1022">
        <v>19985</v>
      </c>
      <c r="L168" s="1022"/>
      <c r="M168" s="1022"/>
      <c r="N168" s="1022"/>
      <c r="O168" s="992">
        <f>SUM(I168:N168)</f>
        <v>19985</v>
      </c>
      <c r="P168" s="773"/>
    </row>
    <row r="169" spans="1:16" ht="18" customHeight="1" x14ac:dyDescent="0.35">
      <c r="A169" s="783">
        <v>159</v>
      </c>
      <c r="B169" s="625"/>
      <c r="C169" s="466"/>
      <c r="D169" s="583" t="s">
        <v>1072</v>
      </c>
      <c r="E169" s="432"/>
      <c r="F169" s="432"/>
      <c r="G169" s="433"/>
      <c r="H169" s="1009"/>
      <c r="I169" s="1028"/>
      <c r="J169" s="1022"/>
      <c r="K169" s="432">
        <v>19985</v>
      </c>
      <c r="L169" s="1022"/>
      <c r="M169" s="1022"/>
      <c r="N169" s="1022"/>
      <c r="O169" s="777">
        <f>SUM(I169:N169)</f>
        <v>19985</v>
      </c>
      <c r="P169" s="773"/>
    </row>
    <row r="170" spans="1:16" ht="18" customHeight="1" x14ac:dyDescent="0.35">
      <c r="A170" s="783">
        <v>160</v>
      </c>
      <c r="B170" s="625"/>
      <c r="C170" s="466"/>
      <c r="D170" s="1338" t="s">
        <v>963</v>
      </c>
      <c r="E170" s="432"/>
      <c r="F170" s="432"/>
      <c r="G170" s="433"/>
      <c r="H170" s="1009"/>
      <c r="I170" s="1007"/>
      <c r="J170" s="432"/>
      <c r="K170" s="432"/>
      <c r="L170" s="432"/>
      <c r="M170" s="432"/>
      <c r="N170" s="432"/>
      <c r="O170" s="1623">
        <f>SUM(I170:N170)</f>
        <v>0</v>
      </c>
      <c r="P170" s="773"/>
    </row>
    <row r="171" spans="1:16" ht="18" customHeight="1" x14ac:dyDescent="0.35">
      <c r="A171" s="783">
        <v>161</v>
      </c>
      <c r="B171" s="625"/>
      <c r="C171" s="466"/>
      <c r="D171" s="583" t="s">
        <v>1151</v>
      </c>
      <c r="E171" s="432"/>
      <c r="F171" s="432"/>
      <c r="G171" s="433"/>
      <c r="H171" s="1009"/>
      <c r="I171" s="1007"/>
      <c r="J171" s="432"/>
      <c r="K171" s="432">
        <f>SUM(K169:K170)</f>
        <v>19985</v>
      </c>
      <c r="L171" s="432"/>
      <c r="M171" s="432"/>
      <c r="N171" s="432"/>
      <c r="O171" s="777">
        <f>SUM(I171:N171)</f>
        <v>19985</v>
      </c>
      <c r="P171" s="773"/>
    </row>
    <row r="172" spans="1:16" ht="22.5" customHeight="1" x14ac:dyDescent="0.35">
      <c r="A172" s="783">
        <v>162</v>
      </c>
      <c r="B172" s="625"/>
      <c r="C172" s="466">
        <v>33</v>
      </c>
      <c r="D172" s="1047" t="s">
        <v>694</v>
      </c>
      <c r="E172" s="432"/>
      <c r="F172" s="432"/>
      <c r="G172" s="433"/>
      <c r="H172" s="1009" t="s">
        <v>24</v>
      </c>
      <c r="I172" s="1028"/>
      <c r="J172" s="1022"/>
      <c r="K172" s="1022"/>
      <c r="L172" s="1022"/>
      <c r="M172" s="1022"/>
      <c r="N172" s="1022"/>
      <c r="O172" s="1029"/>
      <c r="P172" s="773"/>
    </row>
    <row r="173" spans="1:16" ht="18" customHeight="1" x14ac:dyDescent="0.35">
      <c r="A173" s="783">
        <v>163</v>
      </c>
      <c r="B173" s="625"/>
      <c r="C173" s="466"/>
      <c r="D173" s="1002" t="s">
        <v>311</v>
      </c>
      <c r="E173" s="432">
        <f>F173+G173+O176+P173</f>
        <v>0</v>
      </c>
      <c r="F173" s="432"/>
      <c r="G173" s="433"/>
      <c r="H173" s="1009"/>
      <c r="I173" s="1028"/>
      <c r="J173" s="1022"/>
      <c r="K173" s="1022">
        <v>52500</v>
      </c>
      <c r="L173" s="1022"/>
      <c r="M173" s="1022"/>
      <c r="N173" s="1022"/>
      <c r="O173" s="992">
        <f>SUM(I173:N173)</f>
        <v>52500</v>
      </c>
      <c r="P173" s="773">
        <f>105000-105000</f>
        <v>0</v>
      </c>
    </row>
    <row r="174" spans="1:16" ht="18" customHeight="1" x14ac:dyDescent="0.35">
      <c r="A174" s="783">
        <v>164</v>
      </c>
      <c r="B174" s="625"/>
      <c r="C174" s="466"/>
      <c r="D174" s="583" t="s">
        <v>1072</v>
      </c>
      <c r="E174" s="432"/>
      <c r="F174" s="432"/>
      <c r="G174" s="433"/>
      <c r="H174" s="1009"/>
      <c r="I174" s="1028"/>
      <c r="J174" s="1022"/>
      <c r="K174" s="432">
        <v>0</v>
      </c>
      <c r="L174" s="1022"/>
      <c r="M174" s="1022"/>
      <c r="N174" s="1022"/>
      <c r="O174" s="777">
        <f>SUM(I174:N174)</f>
        <v>0</v>
      </c>
      <c r="P174" s="773"/>
    </row>
    <row r="175" spans="1:16" ht="18" customHeight="1" x14ac:dyDescent="0.35">
      <c r="A175" s="783">
        <v>165</v>
      </c>
      <c r="B175" s="625"/>
      <c r="C175" s="466"/>
      <c r="D175" s="1338" t="s">
        <v>986</v>
      </c>
      <c r="E175" s="432"/>
      <c r="F175" s="432"/>
      <c r="G175" s="433"/>
      <c r="H175" s="1009"/>
      <c r="I175" s="1007"/>
      <c r="J175" s="432"/>
      <c r="K175" s="432"/>
      <c r="L175" s="432"/>
      <c r="M175" s="432"/>
      <c r="N175" s="432"/>
      <c r="O175" s="1623">
        <f>SUM(I175:N175)</f>
        <v>0</v>
      </c>
      <c r="P175" s="773"/>
    </row>
    <row r="176" spans="1:16" ht="18" customHeight="1" x14ac:dyDescent="0.35">
      <c r="A176" s="783">
        <v>166</v>
      </c>
      <c r="B176" s="625"/>
      <c r="C176" s="466"/>
      <c r="D176" s="583" t="s">
        <v>1151</v>
      </c>
      <c r="E176" s="432"/>
      <c r="F176" s="432"/>
      <c r="G176" s="433"/>
      <c r="H176" s="1009"/>
      <c r="I176" s="1007"/>
      <c r="J176" s="432"/>
      <c r="K176" s="432">
        <f>SUM(K174:K175)</f>
        <v>0</v>
      </c>
      <c r="L176" s="432"/>
      <c r="M176" s="432"/>
      <c r="N176" s="432"/>
      <c r="O176" s="777">
        <f>SUM(I176:N176)</f>
        <v>0</v>
      </c>
      <c r="P176" s="773"/>
    </row>
    <row r="177" spans="1:261" ht="22.5" customHeight="1" x14ac:dyDescent="0.35">
      <c r="A177" s="783">
        <v>167</v>
      </c>
      <c r="B177" s="625"/>
      <c r="C177" s="466">
        <v>34</v>
      </c>
      <c r="D177" s="423" t="s">
        <v>696</v>
      </c>
      <c r="E177" s="432"/>
      <c r="F177" s="432"/>
      <c r="G177" s="433"/>
      <c r="H177" s="1009" t="s">
        <v>24</v>
      </c>
      <c r="I177" s="1028"/>
      <c r="J177" s="1022"/>
      <c r="K177" s="1022"/>
      <c r="L177" s="1022"/>
      <c r="M177" s="1022"/>
      <c r="N177" s="1022"/>
      <c r="O177" s="1029"/>
      <c r="P177" s="773"/>
    </row>
    <row r="178" spans="1:261" ht="18" customHeight="1" x14ac:dyDescent="0.35">
      <c r="A178" s="783">
        <v>168</v>
      </c>
      <c r="B178" s="625"/>
      <c r="C178" s="466"/>
      <c r="D178" s="1002" t="s">
        <v>311</v>
      </c>
      <c r="E178" s="432">
        <f>F178+G178+O181+P178</f>
        <v>555</v>
      </c>
      <c r="F178" s="432"/>
      <c r="G178" s="433"/>
      <c r="H178" s="1009"/>
      <c r="I178" s="1028"/>
      <c r="J178" s="1022"/>
      <c r="K178" s="1022">
        <v>150</v>
      </c>
      <c r="L178" s="1022"/>
      <c r="M178" s="1022"/>
      <c r="N178" s="1022"/>
      <c r="O178" s="992">
        <f>SUM(I178:N178)</f>
        <v>150</v>
      </c>
      <c r="P178" s="773"/>
    </row>
    <row r="179" spans="1:261" ht="18" customHeight="1" x14ac:dyDescent="0.35">
      <c r="A179" s="783">
        <v>169</v>
      </c>
      <c r="B179" s="625"/>
      <c r="C179" s="466"/>
      <c r="D179" s="583" t="s">
        <v>1072</v>
      </c>
      <c r="E179" s="432"/>
      <c r="F179" s="432"/>
      <c r="G179" s="433"/>
      <c r="H179" s="1009"/>
      <c r="I179" s="1028"/>
      <c r="J179" s="1022"/>
      <c r="K179" s="432">
        <v>155</v>
      </c>
      <c r="L179" s="432">
        <v>400</v>
      </c>
      <c r="M179" s="1022"/>
      <c r="N179" s="1022"/>
      <c r="O179" s="777">
        <f>SUM(I179:N179)</f>
        <v>555</v>
      </c>
      <c r="P179" s="773"/>
    </row>
    <row r="180" spans="1:261" ht="18" customHeight="1" x14ac:dyDescent="0.35">
      <c r="A180" s="783">
        <v>170</v>
      </c>
      <c r="B180" s="625"/>
      <c r="C180" s="466"/>
      <c r="D180" s="1338" t="s">
        <v>986</v>
      </c>
      <c r="E180" s="432"/>
      <c r="F180" s="432"/>
      <c r="G180" s="433"/>
      <c r="H180" s="1009"/>
      <c r="I180" s="1007"/>
      <c r="J180" s="432"/>
      <c r="K180" s="1587"/>
      <c r="L180" s="1587"/>
      <c r="M180" s="432"/>
      <c r="N180" s="432"/>
      <c r="O180" s="1623">
        <f>SUM(I180:N180)</f>
        <v>0</v>
      </c>
      <c r="P180" s="773"/>
    </row>
    <row r="181" spans="1:261" ht="18" customHeight="1" x14ac:dyDescent="0.35">
      <c r="A181" s="783">
        <v>171</v>
      </c>
      <c r="B181" s="625"/>
      <c r="C181" s="466"/>
      <c r="D181" s="583" t="s">
        <v>1151</v>
      </c>
      <c r="E181" s="432"/>
      <c r="F181" s="432"/>
      <c r="G181" s="433"/>
      <c r="H181" s="1009"/>
      <c r="I181" s="1007"/>
      <c r="J181" s="432"/>
      <c r="K181" s="432">
        <f>SUM(K179:K180)</f>
        <v>155</v>
      </c>
      <c r="L181" s="432">
        <f>SUM(L179:L180)</f>
        <v>400</v>
      </c>
      <c r="M181" s="432"/>
      <c r="N181" s="432"/>
      <c r="O181" s="777">
        <f>SUM(I181:N181)</f>
        <v>555</v>
      </c>
      <c r="P181" s="773"/>
    </row>
    <row r="182" spans="1:261" s="768" customFormat="1" ht="36" customHeight="1" x14ac:dyDescent="0.35">
      <c r="A182" s="783">
        <v>172</v>
      </c>
      <c r="B182" s="776"/>
      <c r="C182" s="422">
        <v>35</v>
      </c>
      <c r="D182" s="423" t="s">
        <v>468</v>
      </c>
      <c r="E182" s="432"/>
      <c r="F182" s="432"/>
      <c r="G182" s="433"/>
      <c r="H182" s="1009" t="s">
        <v>24</v>
      </c>
      <c r="I182" s="1028"/>
      <c r="J182" s="1022"/>
      <c r="K182" s="1022"/>
      <c r="L182" s="1022"/>
      <c r="M182" s="1022"/>
      <c r="N182" s="1022"/>
      <c r="O182" s="992"/>
      <c r="P182" s="773"/>
      <c r="Q182" s="420"/>
      <c r="R182" s="420"/>
      <c r="S182" s="420"/>
      <c r="T182" s="420"/>
      <c r="U182" s="420"/>
      <c r="V182" s="420"/>
      <c r="W182" s="420"/>
      <c r="X182" s="420"/>
      <c r="Y182" s="420"/>
      <c r="Z182" s="420"/>
      <c r="AA182" s="420"/>
      <c r="AB182" s="420"/>
      <c r="AC182" s="420"/>
      <c r="AD182" s="420"/>
      <c r="AE182" s="420"/>
      <c r="AF182" s="420"/>
      <c r="AG182" s="420"/>
      <c r="AH182" s="420"/>
      <c r="AI182" s="420"/>
      <c r="AJ182" s="420"/>
      <c r="AK182" s="420"/>
      <c r="AL182" s="420"/>
      <c r="AM182" s="420"/>
      <c r="AN182" s="420"/>
      <c r="AO182" s="420"/>
      <c r="AP182" s="420"/>
      <c r="AQ182" s="420"/>
      <c r="AR182" s="420"/>
      <c r="AS182" s="420"/>
      <c r="AT182" s="420"/>
      <c r="AU182" s="420"/>
      <c r="AV182" s="420"/>
      <c r="AW182" s="420"/>
      <c r="AX182" s="420"/>
      <c r="AY182" s="420"/>
      <c r="AZ182" s="420"/>
      <c r="BA182" s="420"/>
      <c r="BB182" s="420"/>
      <c r="BC182" s="420"/>
      <c r="BD182" s="420"/>
      <c r="BE182" s="420"/>
      <c r="BF182" s="420"/>
      <c r="BG182" s="420"/>
      <c r="BH182" s="420"/>
      <c r="BI182" s="420"/>
      <c r="BJ182" s="420"/>
      <c r="BK182" s="420"/>
      <c r="BL182" s="420"/>
      <c r="BM182" s="420"/>
      <c r="BN182" s="420"/>
      <c r="BO182" s="420"/>
      <c r="BP182" s="420"/>
      <c r="BQ182" s="420"/>
      <c r="BR182" s="420"/>
      <c r="BS182" s="420"/>
      <c r="BT182" s="420"/>
      <c r="BU182" s="420"/>
      <c r="BV182" s="420"/>
      <c r="BW182" s="420"/>
      <c r="BX182" s="420"/>
      <c r="BY182" s="420"/>
      <c r="BZ182" s="420"/>
      <c r="CA182" s="420"/>
      <c r="CB182" s="420"/>
      <c r="CC182" s="420"/>
      <c r="CD182" s="420"/>
      <c r="CE182" s="420"/>
      <c r="CF182" s="420"/>
      <c r="CG182" s="420"/>
      <c r="CH182" s="420"/>
      <c r="CI182" s="420"/>
      <c r="CJ182" s="420"/>
      <c r="CK182" s="420"/>
      <c r="CL182" s="420"/>
      <c r="CM182" s="420"/>
      <c r="CN182" s="420"/>
      <c r="CO182" s="420"/>
      <c r="CP182" s="420"/>
      <c r="CQ182" s="420"/>
      <c r="CR182" s="420"/>
      <c r="CS182" s="420"/>
      <c r="CT182" s="420"/>
      <c r="CU182" s="420"/>
      <c r="CV182" s="420"/>
      <c r="CW182" s="420"/>
      <c r="CX182" s="420"/>
      <c r="CY182" s="420"/>
      <c r="CZ182" s="420"/>
      <c r="DA182" s="420"/>
      <c r="DB182" s="420"/>
      <c r="DC182" s="420"/>
      <c r="DD182" s="420"/>
      <c r="DE182" s="420"/>
      <c r="DF182" s="420"/>
      <c r="DG182" s="420"/>
      <c r="DH182" s="420"/>
      <c r="DI182" s="420"/>
      <c r="DJ182" s="420"/>
      <c r="DK182" s="420"/>
      <c r="DL182" s="420"/>
      <c r="DM182" s="420"/>
      <c r="DN182" s="420"/>
      <c r="DO182" s="420"/>
      <c r="DP182" s="420"/>
      <c r="DQ182" s="420"/>
      <c r="DR182" s="420"/>
      <c r="DS182" s="420"/>
      <c r="DT182" s="420"/>
      <c r="DU182" s="420"/>
      <c r="DV182" s="420"/>
      <c r="DW182" s="420"/>
      <c r="DX182" s="420"/>
      <c r="DY182" s="420"/>
      <c r="DZ182" s="420"/>
      <c r="EA182" s="420"/>
      <c r="EB182" s="420"/>
      <c r="EC182" s="420"/>
      <c r="ED182" s="420"/>
      <c r="EE182" s="420"/>
      <c r="EF182" s="420"/>
      <c r="EG182" s="420"/>
      <c r="EH182" s="420"/>
      <c r="EI182" s="420"/>
      <c r="EJ182" s="420"/>
      <c r="EK182" s="420"/>
      <c r="EL182" s="420"/>
      <c r="EM182" s="420"/>
      <c r="EN182" s="420"/>
      <c r="EO182" s="420"/>
      <c r="EP182" s="420"/>
      <c r="EQ182" s="420"/>
      <c r="ER182" s="420"/>
      <c r="ES182" s="420"/>
      <c r="ET182" s="420"/>
      <c r="EU182" s="420"/>
      <c r="EV182" s="420"/>
      <c r="EW182" s="420"/>
      <c r="EX182" s="420"/>
      <c r="EY182" s="420"/>
      <c r="EZ182" s="420"/>
      <c r="FA182" s="420"/>
      <c r="FB182" s="420"/>
      <c r="FC182" s="420"/>
      <c r="FD182" s="420"/>
      <c r="FE182" s="420"/>
      <c r="FF182" s="420"/>
      <c r="FG182" s="420"/>
      <c r="FH182" s="420"/>
      <c r="FI182" s="420"/>
      <c r="FJ182" s="420"/>
      <c r="FK182" s="420"/>
      <c r="FL182" s="420"/>
      <c r="FM182" s="420"/>
      <c r="FN182" s="420"/>
      <c r="FO182" s="420"/>
      <c r="FP182" s="420"/>
      <c r="FQ182" s="420"/>
      <c r="FR182" s="420"/>
      <c r="FS182" s="420"/>
      <c r="FT182" s="420"/>
      <c r="FU182" s="420"/>
      <c r="FV182" s="420"/>
      <c r="FW182" s="420"/>
      <c r="FX182" s="420"/>
      <c r="FY182" s="420"/>
      <c r="FZ182" s="420"/>
      <c r="GA182" s="420"/>
      <c r="GB182" s="420"/>
      <c r="GC182" s="420"/>
      <c r="GD182" s="420"/>
      <c r="GE182" s="420"/>
      <c r="GF182" s="420"/>
      <c r="GG182" s="420"/>
      <c r="GH182" s="420"/>
      <c r="GI182" s="420"/>
      <c r="GJ182" s="420"/>
      <c r="GK182" s="420"/>
      <c r="GL182" s="420"/>
      <c r="GM182" s="420"/>
      <c r="GN182" s="420"/>
      <c r="GO182" s="420"/>
      <c r="GP182" s="420"/>
      <c r="GQ182" s="420"/>
      <c r="GR182" s="420"/>
      <c r="GS182" s="420"/>
      <c r="GT182" s="420"/>
      <c r="GU182" s="420"/>
      <c r="GV182" s="420"/>
      <c r="GW182" s="420"/>
      <c r="GX182" s="420"/>
      <c r="GY182" s="420"/>
      <c r="GZ182" s="420"/>
      <c r="HA182" s="420"/>
      <c r="HB182" s="420"/>
      <c r="HC182" s="420"/>
      <c r="HD182" s="420"/>
      <c r="HE182" s="420"/>
      <c r="HF182" s="420"/>
      <c r="HG182" s="420"/>
      <c r="HH182" s="420"/>
      <c r="HI182" s="420"/>
      <c r="HJ182" s="420"/>
      <c r="HK182" s="420"/>
      <c r="HL182" s="420"/>
      <c r="HM182" s="420"/>
      <c r="HN182" s="420"/>
      <c r="HO182" s="420"/>
      <c r="HP182" s="420"/>
      <c r="HQ182" s="420"/>
      <c r="HR182" s="420"/>
      <c r="HS182" s="420"/>
      <c r="HT182" s="420"/>
      <c r="HU182" s="420"/>
      <c r="HV182" s="420"/>
      <c r="HW182" s="420"/>
      <c r="HX182" s="420"/>
      <c r="HY182" s="420"/>
      <c r="HZ182" s="420"/>
      <c r="IA182" s="420"/>
      <c r="IB182" s="420"/>
      <c r="IC182" s="420"/>
      <c r="ID182" s="420"/>
      <c r="IE182" s="420"/>
      <c r="IF182" s="420"/>
      <c r="IG182" s="420"/>
      <c r="IH182" s="420"/>
      <c r="II182" s="420"/>
      <c r="IJ182" s="420"/>
      <c r="IK182" s="420"/>
      <c r="IL182" s="420"/>
      <c r="IM182" s="420"/>
      <c r="IN182" s="420"/>
      <c r="IO182" s="420"/>
      <c r="IP182" s="420"/>
      <c r="IQ182" s="420"/>
      <c r="IR182" s="420"/>
      <c r="IS182" s="420"/>
      <c r="IT182" s="420"/>
      <c r="IU182" s="420"/>
      <c r="IV182" s="420"/>
      <c r="IW182" s="420"/>
      <c r="IX182" s="420"/>
      <c r="IY182" s="420"/>
      <c r="IZ182" s="420"/>
      <c r="JA182" s="420"/>
    </row>
    <row r="183" spans="1:261" s="768" customFormat="1" ht="18" customHeight="1" x14ac:dyDescent="0.35">
      <c r="A183" s="783">
        <v>173</v>
      </c>
      <c r="B183" s="776"/>
      <c r="C183" s="422"/>
      <c r="D183" s="1002" t="s">
        <v>311</v>
      </c>
      <c r="E183" s="432">
        <f>F183+G183+O186+P183</f>
        <v>6520</v>
      </c>
      <c r="F183" s="432">
        <v>1582</v>
      </c>
      <c r="G183" s="433">
        <f>2107+2506</f>
        <v>4613</v>
      </c>
      <c r="H183" s="1009"/>
      <c r="I183" s="1028"/>
      <c r="J183" s="1022"/>
      <c r="K183" s="1022">
        <v>239</v>
      </c>
      <c r="L183" s="1022"/>
      <c r="M183" s="1022"/>
      <c r="N183" s="1022"/>
      <c r="O183" s="992">
        <f>SUM(I183:N183)</f>
        <v>239</v>
      </c>
      <c r="P183" s="773"/>
      <c r="Q183" s="420"/>
      <c r="R183" s="420"/>
      <c r="S183" s="420"/>
      <c r="T183" s="420"/>
      <c r="U183" s="420"/>
      <c r="V183" s="420"/>
      <c r="W183" s="420"/>
      <c r="X183" s="420"/>
      <c r="Y183" s="420"/>
      <c r="Z183" s="420"/>
      <c r="AA183" s="420"/>
      <c r="AB183" s="420"/>
      <c r="AC183" s="420"/>
      <c r="AD183" s="420"/>
      <c r="AE183" s="420"/>
      <c r="AF183" s="420"/>
      <c r="AG183" s="420"/>
      <c r="AH183" s="420"/>
      <c r="AI183" s="420"/>
      <c r="AJ183" s="420"/>
      <c r="AK183" s="420"/>
      <c r="AL183" s="420"/>
      <c r="AM183" s="420"/>
      <c r="AN183" s="420"/>
      <c r="AO183" s="420"/>
      <c r="AP183" s="420"/>
      <c r="AQ183" s="420"/>
      <c r="AR183" s="420"/>
      <c r="AS183" s="420"/>
      <c r="AT183" s="420"/>
      <c r="AU183" s="420"/>
      <c r="AV183" s="420"/>
      <c r="AW183" s="420"/>
      <c r="AX183" s="420"/>
      <c r="AY183" s="420"/>
      <c r="AZ183" s="420"/>
      <c r="BA183" s="420"/>
      <c r="BB183" s="420"/>
      <c r="BC183" s="420"/>
      <c r="BD183" s="420"/>
      <c r="BE183" s="420"/>
      <c r="BF183" s="420"/>
      <c r="BG183" s="420"/>
      <c r="BH183" s="420"/>
      <c r="BI183" s="420"/>
      <c r="BJ183" s="420"/>
      <c r="BK183" s="420"/>
      <c r="BL183" s="420"/>
      <c r="BM183" s="420"/>
      <c r="BN183" s="420"/>
      <c r="BO183" s="420"/>
      <c r="BP183" s="420"/>
      <c r="BQ183" s="420"/>
      <c r="BR183" s="420"/>
      <c r="BS183" s="420"/>
      <c r="BT183" s="420"/>
      <c r="BU183" s="420"/>
      <c r="BV183" s="420"/>
      <c r="BW183" s="420"/>
      <c r="BX183" s="420"/>
      <c r="BY183" s="420"/>
      <c r="BZ183" s="420"/>
      <c r="CA183" s="420"/>
      <c r="CB183" s="420"/>
      <c r="CC183" s="420"/>
      <c r="CD183" s="420"/>
      <c r="CE183" s="420"/>
      <c r="CF183" s="420"/>
      <c r="CG183" s="420"/>
      <c r="CH183" s="420"/>
      <c r="CI183" s="420"/>
      <c r="CJ183" s="420"/>
      <c r="CK183" s="420"/>
      <c r="CL183" s="420"/>
      <c r="CM183" s="420"/>
      <c r="CN183" s="420"/>
      <c r="CO183" s="420"/>
      <c r="CP183" s="420"/>
      <c r="CQ183" s="420"/>
      <c r="CR183" s="420"/>
      <c r="CS183" s="420"/>
      <c r="CT183" s="420"/>
      <c r="CU183" s="420"/>
      <c r="CV183" s="420"/>
      <c r="CW183" s="420"/>
      <c r="CX183" s="420"/>
      <c r="CY183" s="420"/>
      <c r="CZ183" s="420"/>
      <c r="DA183" s="420"/>
      <c r="DB183" s="420"/>
      <c r="DC183" s="420"/>
      <c r="DD183" s="420"/>
      <c r="DE183" s="420"/>
      <c r="DF183" s="420"/>
      <c r="DG183" s="420"/>
      <c r="DH183" s="420"/>
      <c r="DI183" s="420"/>
      <c r="DJ183" s="420"/>
      <c r="DK183" s="420"/>
      <c r="DL183" s="420"/>
      <c r="DM183" s="420"/>
      <c r="DN183" s="420"/>
      <c r="DO183" s="420"/>
      <c r="DP183" s="420"/>
      <c r="DQ183" s="420"/>
      <c r="DR183" s="420"/>
      <c r="DS183" s="420"/>
      <c r="DT183" s="420"/>
      <c r="DU183" s="420"/>
      <c r="DV183" s="420"/>
      <c r="DW183" s="420"/>
      <c r="DX183" s="420"/>
      <c r="DY183" s="420"/>
      <c r="DZ183" s="420"/>
      <c r="EA183" s="420"/>
      <c r="EB183" s="420"/>
      <c r="EC183" s="420"/>
      <c r="ED183" s="420"/>
      <c r="EE183" s="420"/>
      <c r="EF183" s="420"/>
      <c r="EG183" s="420"/>
      <c r="EH183" s="420"/>
      <c r="EI183" s="420"/>
      <c r="EJ183" s="420"/>
      <c r="EK183" s="420"/>
      <c r="EL183" s="420"/>
      <c r="EM183" s="420"/>
      <c r="EN183" s="420"/>
      <c r="EO183" s="420"/>
      <c r="EP183" s="420"/>
      <c r="EQ183" s="420"/>
      <c r="ER183" s="420"/>
      <c r="ES183" s="420"/>
      <c r="ET183" s="420"/>
      <c r="EU183" s="420"/>
      <c r="EV183" s="420"/>
      <c r="EW183" s="420"/>
      <c r="EX183" s="420"/>
      <c r="EY183" s="420"/>
      <c r="EZ183" s="420"/>
      <c r="FA183" s="420"/>
      <c r="FB183" s="420"/>
      <c r="FC183" s="420"/>
      <c r="FD183" s="420"/>
      <c r="FE183" s="420"/>
      <c r="FF183" s="420"/>
      <c r="FG183" s="420"/>
      <c r="FH183" s="420"/>
      <c r="FI183" s="420"/>
      <c r="FJ183" s="420"/>
      <c r="FK183" s="420"/>
      <c r="FL183" s="420"/>
      <c r="FM183" s="420"/>
      <c r="FN183" s="420"/>
      <c r="FO183" s="420"/>
      <c r="FP183" s="420"/>
      <c r="FQ183" s="420"/>
      <c r="FR183" s="420"/>
      <c r="FS183" s="420"/>
      <c r="FT183" s="420"/>
      <c r="FU183" s="420"/>
      <c r="FV183" s="420"/>
      <c r="FW183" s="420"/>
      <c r="FX183" s="420"/>
      <c r="FY183" s="420"/>
      <c r="FZ183" s="420"/>
      <c r="GA183" s="420"/>
      <c r="GB183" s="420"/>
      <c r="GC183" s="420"/>
      <c r="GD183" s="420"/>
      <c r="GE183" s="420"/>
      <c r="GF183" s="420"/>
      <c r="GG183" s="420"/>
      <c r="GH183" s="420"/>
      <c r="GI183" s="420"/>
      <c r="GJ183" s="420"/>
      <c r="GK183" s="420"/>
      <c r="GL183" s="420"/>
      <c r="GM183" s="420"/>
      <c r="GN183" s="420"/>
      <c r="GO183" s="420"/>
      <c r="GP183" s="420"/>
      <c r="GQ183" s="420"/>
      <c r="GR183" s="420"/>
      <c r="GS183" s="420"/>
      <c r="GT183" s="420"/>
      <c r="GU183" s="420"/>
      <c r="GV183" s="420"/>
      <c r="GW183" s="420"/>
      <c r="GX183" s="420"/>
      <c r="GY183" s="420"/>
      <c r="GZ183" s="420"/>
      <c r="HA183" s="420"/>
      <c r="HB183" s="420"/>
      <c r="HC183" s="420"/>
      <c r="HD183" s="420"/>
      <c r="HE183" s="420"/>
      <c r="HF183" s="420"/>
      <c r="HG183" s="420"/>
      <c r="HH183" s="420"/>
      <c r="HI183" s="420"/>
      <c r="HJ183" s="420"/>
      <c r="HK183" s="420"/>
      <c r="HL183" s="420"/>
      <c r="HM183" s="420"/>
      <c r="HN183" s="420"/>
      <c r="HO183" s="420"/>
      <c r="HP183" s="420"/>
      <c r="HQ183" s="420"/>
      <c r="HR183" s="420"/>
      <c r="HS183" s="420"/>
      <c r="HT183" s="420"/>
      <c r="HU183" s="420"/>
      <c r="HV183" s="420"/>
      <c r="HW183" s="420"/>
      <c r="HX183" s="420"/>
      <c r="HY183" s="420"/>
      <c r="HZ183" s="420"/>
      <c r="IA183" s="420"/>
      <c r="IB183" s="420"/>
      <c r="IC183" s="420"/>
      <c r="ID183" s="420"/>
      <c r="IE183" s="420"/>
      <c r="IF183" s="420"/>
      <c r="IG183" s="420"/>
      <c r="IH183" s="420"/>
      <c r="II183" s="420"/>
      <c r="IJ183" s="420"/>
      <c r="IK183" s="420"/>
      <c r="IL183" s="420"/>
      <c r="IM183" s="420"/>
      <c r="IN183" s="420"/>
      <c r="IO183" s="420"/>
      <c r="IP183" s="420"/>
      <c r="IQ183" s="420"/>
      <c r="IR183" s="420"/>
      <c r="IS183" s="420"/>
      <c r="IT183" s="420"/>
      <c r="IU183" s="420"/>
      <c r="IV183" s="420"/>
      <c r="IW183" s="420"/>
      <c r="IX183" s="420"/>
      <c r="IY183" s="420"/>
      <c r="IZ183" s="420"/>
      <c r="JA183" s="420"/>
    </row>
    <row r="184" spans="1:261" s="768" customFormat="1" ht="18" customHeight="1" x14ac:dyDescent="0.35">
      <c r="A184" s="783">
        <v>174</v>
      </c>
      <c r="B184" s="776"/>
      <c r="C184" s="422"/>
      <c r="D184" s="583" t="s">
        <v>1072</v>
      </c>
      <c r="E184" s="432"/>
      <c r="F184" s="432"/>
      <c r="G184" s="433"/>
      <c r="H184" s="1009"/>
      <c r="I184" s="1028"/>
      <c r="J184" s="1022"/>
      <c r="K184" s="432">
        <v>0</v>
      </c>
      <c r="L184" s="432">
        <v>325</v>
      </c>
      <c r="M184" s="1022"/>
      <c r="N184" s="1022"/>
      <c r="O184" s="777">
        <f>SUM(I184:N184)</f>
        <v>325</v>
      </c>
      <c r="P184" s="773"/>
      <c r="Q184" s="420"/>
      <c r="R184" s="420"/>
      <c r="S184" s="420"/>
      <c r="T184" s="420"/>
      <c r="U184" s="420"/>
      <c r="V184" s="420"/>
      <c r="W184" s="420"/>
      <c r="X184" s="420"/>
      <c r="Y184" s="420"/>
      <c r="Z184" s="420"/>
      <c r="AA184" s="420"/>
      <c r="AB184" s="420"/>
      <c r="AC184" s="420"/>
      <c r="AD184" s="420"/>
      <c r="AE184" s="420"/>
      <c r="AF184" s="420"/>
      <c r="AG184" s="420"/>
      <c r="AH184" s="420"/>
      <c r="AI184" s="420"/>
      <c r="AJ184" s="420"/>
      <c r="AK184" s="420"/>
      <c r="AL184" s="420"/>
      <c r="AM184" s="420"/>
      <c r="AN184" s="420"/>
      <c r="AO184" s="420"/>
      <c r="AP184" s="420"/>
      <c r="AQ184" s="420"/>
      <c r="AR184" s="420"/>
      <c r="AS184" s="420"/>
      <c r="AT184" s="420"/>
      <c r="AU184" s="420"/>
      <c r="AV184" s="420"/>
      <c r="AW184" s="420"/>
      <c r="AX184" s="420"/>
      <c r="AY184" s="420"/>
      <c r="AZ184" s="420"/>
      <c r="BA184" s="420"/>
      <c r="BB184" s="420"/>
      <c r="BC184" s="420"/>
      <c r="BD184" s="420"/>
      <c r="BE184" s="420"/>
      <c r="BF184" s="420"/>
      <c r="BG184" s="420"/>
      <c r="BH184" s="420"/>
      <c r="BI184" s="420"/>
      <c r="BJ184" s="420"/>
      <c r="BK184" s="420"/>
      <c r="BL184" s="420"/>
      <c r="BM184" s="420"/>
      <c r="BN184" s="420"/>
      <c r="BO184" s="420"/>
      <c r="BP184" s="420"/>
      <c r="BQ184" s="420"/>
      <c r="BR184" s="420"/>
      <c r="BS184" s="420"/>
      <c r="BT184" s="420"/>
      <c r="BU184" s="420"/>
      <c r="BV184" s="420"/>
      <c r="BW184" s="420"/>
      <c r="BX184" s="420"/>
      <c r="BY184" s="420"/>
      <c r="BZ184" s="420"/>
      <c r="CA184" s="420"/>
      <c r="CB184" s="420"/>
      <c r="CC184" s="420"/>
      <c r="CD184" s="420"/>
      <c r="CE184" s="420"/>
      <c r="CF184" s="420"/>
      <c r="CG184" s="420"/>
      <c r="CH184" s="420"/>
      <c r="CI184" s="420"/>
      <c r="CJ184" s="420"/>
      <c r="CK184" s="420"/>
      <c r="CL184" s="420"/>
      <c r="CM184" s="420"/>
      <c r="CN184" s="420"/>
      <c r="CO184" s="420"/>
      <c r="CP184" s="420"/>
      <c r="CQ184" s="420"/>
      <c r="CR184" s="420"/>
      <c r="CS184" s="420"/>
      <c r="CT184" s="420"/>
      <c r="CU184" s="420"/>
      <c r="CV184" s="420"/>
      <c r="CW184" s="420"/>
      <c r="CX184" s="420"/>
      <c r="CY184" s="420"/>
      <c r="CZ184" s="420"/>
      <c r="DA184" s="420"/>
      <c r="DB184" s="420"/>
      <c r="DC184" s="420"/>
      <c r="DD184" s="420"/>
      <c r="DE184" s="420"/>
      <c r="DF184" s="420"/>
      <c r="DG184" s="420"/>
      <c r="DH184" s="420"/>
      <c r="DI184" s="420"/>
      <c r="DJ184" s="420"/>
      <c r="DK184" s="420"/>
      <c r="DL184" s="420"/>
      <c r="DM184" s="420"/>
      <c r="DN184" s="420"/>
      <c r="DO184" s="420"/>
      <c r="DP184" s="420"/>
      <c r="DQ184" s="420"/>
      <c r="DR184" s="420"/>
      <c r="DS184" s="420"/>
      <c r="DT184" s="420"/>
      <c r="DU184" s="420"/>
      <c r="DV184" s="420"/>
      <c r="DW184" s="420"/>
      <c r="DX184" s="420"/>
      <c r="DY184" s="420"/>
      <c r="DZ184" s="420"/>
      <c r="EA184" s="420"/>
      <c r="EB184" s="420"/>
      <c r="EC184" s="420"/>
      <c r="ED184" s="420"/>
      <c r="EE184" s="420"/>
      <c r="EF184" s="420"/>
      <c r="EG184" s="420"/>
      <c r="EH184" s="420"/>
      <c r="EI184" s="420"/>
      <c r="EJ184" s="420"/>
      <c r="EK184" s="420"/>
      <c r="EL184" s="420"/>
      <c r="EM184" s="420"/>
      <c r="EN184" s="420"/>
      <c r="EO184" s="420"/>
      <c r="EP184" s="420"/>
      <c r="EQ184" s="420"/>
      <c r="ER184" s="420"/>
      <c r="ES184" s="420"/>
      <c r="ET184" s="420"/>
      <c r="EU184" s="420"/>
      <c r="EV184" s="420"/>
      <c r="EW184" s="420"/>
      <c r="EX184" s="420"/>
      <c r="EY184" s="420"/>
      <c r="EZ184" s="420"/>
      <c r="FA184" s="420"/>
      <c r="FB184" s="420"/>
      <c r="FC184" s="420"/>
      <c r="FD184" s="420"/>
      <c r="FE184" s="420"/>
      <c r="FF184" s="420"/>
      <c r="FG184" s="420"/>
      <c r="FH184" s="420"/>
      <c r="FI184" s="420"/>
      <c r="FJ184" s="420"/>
      <c r="FK184" s="420"/>
      <c r="FL184" s="420"/>
      <c r="FM184" s="420"/>
      <c r="FN184" s="420"/>
      <c r="FO184" s="420"/>
      <c r="FP184" s="420"/>
      <c r="FQ184" s="420"/>
      <c r="FR184" s="420"/>
      <c r="FS184" s="420"/>
      <c r="FT184" s="420"/>
      <c r="FU184" s="420"/>
      <c r="FV184" s="420"/>
      <c r="FW184" s="420"/>
      <c r="FX184" s="420"/>
      <c r="FY184" s="420"/>
      <c r="FZ184" s="420"/>
      <c r="GA184" s="420"/>
      <c r="GB184" s="420"/>
      <c r="GC184" s="420"/>
      <c r="GD184" s="420"/>
      <c r="GE184" s="420"/>
      <c r="GF184" s="420"/>
      <c r="GG184" s="420"/>
      <c r="GH184" s="420"/>
      <c r="GI184" s="420"/>
      <c r="GJ184" s="420"/>
      <c r="GK184" s="420"/>
      <c r="GL184" s="420"/>
      <c r="GM184" s="420"/>
      <c r="GN184" s="420"/>
      <c r="GO184" s="420"/>
      <c r="GP184" s="420"/>
      <c r="GQ184" s="420"/>
      <c r="GR184" s="420"/>
      <c r="GS184" s="420"/>
      <c r="GT184" s="420"/>
      <c r="GU184" s="420"/>
      <c r="GV184" s="420"/>
      <c r="GW184" s="420"/>
      <c r="GX184" s="420"/>
      <c r="GY184" s="420"/>
      <c r="GZ184" s="420"/>
      <c r="HA184" s="420"/>
      <c r="HB184" s="420"/>
      <c r="HC184" s="420"/>
      <c r="HD184" s="420"/>
      <c r="HE184" s="420"/>
      <c r="HF184" s="420"/>
      <c r="HG184" s="420"/>
      <c r="HH184" s="420"/>
      <c r="HI184" s="420"/>
      <c r="HJ184" s="420"/>
      <c r="HK184" s="420"/>
      <c r="HL184" s="420"/>
      <c r="HM184" s="420"/>
      <c r="HN184" s="420"/>
      <c r="HO184" s="420"/>
      <c r="HP184" s="420"/>
      <c r="HQ184" s="420"/>
      <c r="HR184" s="420"/>
      <c r="HS184" s="420"/>
      <c r="HT184" s="420"/>
      <c r="HU184" s="420"/>
      <c r="HV184" s="420"/>
      <c r="HW184" s="420"/>
      <c r="HX184" s="420"/>
      <c r="HY184" s="420"/>
      <c r="HZ184" s="420"/>
      <c r="IA184" s="420"/>
      <c r="IB184" s="420"/>
      <c r="IC184" s="420"/>
      <c r="ID184" s="420"/>
      <c r="IE184" s="420"/>
      <c r="IF184" s="420"/>
      <c r="IG184" s="420"/>
      <c r="IH184" s="420"/>
      <c r="II184" s="420"/>
      <c r="IJ184" s="420"/>
      <c r="IK184" s="420"/>
      <c r="IL184" s="420"/>
      <c r="IM184" s="420"/>
      <c r="IN184" s="420"/>
      <c r="IO184" s="420"/>
      <c r="IP184" s="420"/>
      <c r="IQ184" s="420"/>
      <c r="IR184" s="420"/>
      <c r="IS184" s="420"/>
      <c r="IT184" s="420"/>
      <c r="IU184" s="420"/>
      <c r="IV184" s="420"/>
      <c r="IW184" s="420"/>
      <c r="IX184" s="420"/>
      <c r="IY184" s="420"/>
      <c r="IZ184" s="420"/>
      <c r="JA184" s="420"/>
    </row>
    <row r="185" spans="1:261" s="768" customFormat="1" ht="18" customHeight="1" x14ac:dyDescent="0.35">
      <c r="A185" s="783">
        <v>175</v>
      </c>
      <c r="B185" s="776"/>
      <c r="C185" s="422"/>
      <c r="D185" s="1338" t="s">
        <v>986</v>
      </c>
      <c r="E185" s="432"/>
      <c r="F185" s="432"/>
      <c r="G185" s="433"/>
      <c r="H185" s="1009"/>
      <c r="I185" s="1007"/>
      <c r="J185" s="432"/>
      <c r="K185" s="1587"/>
      <c r="L185" s="1587"/>
      <c r="M185" s="432"/>
      <c r="N185" s="432"/>
      <c r="O185" s="1623">
        <f>SUM(I185:N185)</f>
        <v>0</v>
      </c>
      <c r="P185" s="773"/>
      <c r="Q185" s="420"/>
      <c r="R185" s="420"/>
      <c r="S185" s="420"/>
      <c r="T185" s="420"/>
      <c r="U185" s="420"/>
      <c r="V185" s="420"/>
      <c r="W185" s="420"/>
      <c r="X185" s="420"/>
      <c r="Y185" s="420"/>
      <c r="Z185" s="420"/>
      <c r="AA185" s="420"/>
      <c r="AB185" s="420"/>
      <c r="AC185" s="420"/>
      <c r="AD185" s="420"/>
      <c r="AE185" s="420"/>
      <c r="AF185" s="420"/>
      <c r="AG185" s="420"/>
      <c r="AH185" s="420"/>
      <c r="AI185" s="420"/>
      <c r="AJ185" s="420"/>
      <c r="AK185" s="420"/>
      <c r="AL185" s="420"/>
      <c r="AM185" s="420"/>
      <c r="AN185" s="420"/>
      <c r="AO185" s="420"/>
      <c r="AP185" s="420"/>
      <c r="AQ185" s="420"/>
      <c r="AR185" s="420"/>
      <c r="AS185" s="420"/>
      <c r="AT185" s="420"/>
      <c r="AU185" s="420"/>
      <c r="AV185" s="420"/>
      <c r="AW185" s="420"/>
      <c r="AX185" s="420"/>
      <c r="AY185" s="420"/>
      <c r="AZ185" s="420"/>
      <c r="BA185" s="420"/>
      <c r="BB185" s="420"/>
      <c r="BC185" s="420"/>
      <c r="BD185" s="420"/>
      <c r="BE185" s="420"/>
      <c r="BF185" s="420"/>
      <c r="BG185" s="420"/>
      <c r="BH185" s="420"/>
      <c r="BI185" s="420"/>
      <c r="BJ185" s="420"/>
      <c r="BK185" s="420"/>
      <c r="BL185" s="420"/>
      <c r="BM185" s="420"/>
      <c r="BN185" s="420"/>
      <c r="BO185" s="420"/>
      <c r="BP185" s="420"/>
      <c r="BQ185" s="420"/>
      <c r="BR185" s="420"/>
      <c r="BS185" s="420"/>
      <c r="BT185" s="420"/>
      <c r="BU185" s="420"/>
      <c r="BV185" s="420"/>
      <c r="BW185" s="420"/>
      <c r="BX185" s="420"/>
      <c r="BY185" s="420"/>
      <c r="BZ185" s="420"/>
      <c r="CA185" s="420"/>
      <c r="CB185" s="420"/>
      <c r="CC185" s="420"/>
      <c r="CD185" s="420"/>
      <c r="CE185" s="420"/>
      <c r="CF185" s="420"/>
      <c r="CG185" s="420"/>
      <c r="CH185" s="420"/>
      <c r="CI185" s="420"/>
      <c r="CJ185" s="420"/>
      <c r="CK185" s="420"/>
      <c r="CL185" s="420"/>
      <c r="CM185" s="420"/>
      <c r="CN185" s="420"/>
      <c r="CO185" s="420"/>
      <c r="CP185" s="420"/>
      <c r="CQ185" s="420"/>
      <c r="CR185" s="420"/>
      <c r="CS185" s="420"/>
      <c r="CT185" s="420"/>
      <c r="CU185" s="420"/>
      <c r="CV185" s="420"/>
      <c r="CW185" s="420"/>
      <c r="CX185" s="420"/>
      <c r="CY185" s="420"/>
      <c r="CZ185" s="420"/>
      <c r="DA185" s="420"/>
      <c r="DB185" s="420"/>
      <c r="DC185" s="420"/>
      <c r="DD185" s="420"/>
      <c r="DE185" s="420"/>
      <c r="DF185" s="420"/>
      <c r="DG185" s="420"/>
      <c r="DH185" s="420"/>
      <c r="DI185" s="420"/>
      <c r="DJ185" s="420"/>
      <c r="DK185" s="420"/>
      <c r="DL185" s="420"/>
      <c r="DM185" s="420"/>
      <c r="DN185" s="420"/>
      <c r="DO185" s="420"/>
      <c r="DP185" s="420"/>
      <c r="DQ185" s="420"/>
      <c r="DR185" s="420"/>
      <c r="DS185" s="420"/>
      <c r="DT185" s="420"/>
      <c r="DU185" s="420"/>
      <c r="DV185" s="420"/>
      <c r="DW185" s="420"/>
      <c r="DX185" s="420"/>
      <c r="DY185" s="420"/>
      <c r="DZ185" s="420"/>
      <c r="EA185" s="420"/>
      <c r="EB185" s="420"/>
      <c r="EC185" s="420"/>
      <c r="ED185" s="420"/>
      <c r="EE185" s="420"/>
      <c r="EF185" s="420"/>
      <c r="EG185" s="420"/>
      <c r="EH185" s="420"/>
      <c r="EI185" s="420"/>
      <c r="EJ185" s="420"/>
      <c r="EK185" s="420"/>
      <c r="EL185" s="420"/>
      <c r="EM185" s="420"/>
      <c r="EN185" s="420"/>
      <c r="EO185" s="420"/>
      <c r="EP185" s="420"/>
      <c r="EQ185" s="420"/>
      <c r="ER185" s="420"/>
      <c r="ES185" s="420"/>
      <c r="ET185" s="420"/>
      <c r="EU185" s="420"/>
      <c r="EV185" s="420"/>
      <c r="EW185" s="420"/>
      <c r="EX185" s="420"/>
      <c r="EY185" s="420"/>
      <c r="EZ185" s="420"/>
      <c r="FA185" s="420"/>
      <c r="FB185" s="420"/>
      <c r="FC185" s="420"/>
      <c r="FD185" s="420"/>
      <c r="FE185" s="420"/>
      <c r="FF185" s="420"/>
      <c r="FG185" s="420"/>
      <c r="FH185" s="420"/>
      <c r="FI185" s="420"/>
      <c r="FJ185" s="420"/>
      <c r="FK185" s="420"/>
      <c r="FL185" s="420"/>
      <c r="FM185" s="420"/>
      <c r="FN185" s="420"/>
      <c r="FO185" s="420"/>
      <c r="FP185" s="420"/>
      <c r="FQ185" s="420"/>
      <c r="FR185" s="420"/>
      <c r="FS185" s="420"/>
      <c r="FT185" s="420"/>
      <c r="FU185" s="420"/>
      <c r="FV185" s="420"/>
      <c r="FW185" s="420"/>
      <c r="FX185" s="420"/>
      <c r="FY185" s="420"/>
      <c r="FZ185" s="420"/>
      <c r="GA185" s="420"/>
      <c r="GB185" s="420"/>
      <c r="GC185" s="420"/>
      <c r="GD185" s="420"/>
      <c r="GE185" s="420"/>
      <c r="GF185" s="420"/>
      <c r="GG185" s="420"/>
      <c r="GH185" s="420"/>
      <c r="GI185" s="420"/>
      <c r="GJ185" s="420"/>
      <c r="GK185" s="420"/>
      <c r="GL185" s="420"/>
      <c r="GM185" s="420"/>
      <c r="GN185" s="420"/>
      <c r="GO185" s="420"/>
      <c r="GP185" s="420"/>
      <c r="GQ185" s="420"/>
      <c r="GR185" s="420"/>
      <c r="GS185" s="420"/>
      <c r="GT185" s="420"/>
      <c r="GU185" s="420"/>
      <c r="GV185" s="420"/>
      <c r="GW185" s="420"/>
      <c r="GX185" s="420"/>
      <c r="GY185" s="420"/>
      <c r="GZ185" s="420"/>
      <c r="HA185" s="420"/>
      <c r="HB185" s="420"/>
      <c r="HC185" s="420"/>
      <c r="HD185" s="420"/>
      <c r="HE185" s="420"/>
      <c r="HF185" s="420"/>
      <c r="HG185" s="420"/>
      <c r="HH185" s="420"/>
      <c r="HI185" s="420"/>
      <c r="HJ185" s="420"/>
      <c r="HK185" s="420"/>
      <c r="HL185" s="420"/>
      <c r="HM185" s="420"/>
      <c r="HN185" s="420"/>
      <c r="HO185" s="420"/>
      <c r="HP185" s="420"/>
      <c r="HQ185" s="420"/>
      <c r="HR185" s="420"/>
      <c r="HS185" s="420"/>
      <c r="HT185" s="420"/>
      <c r="HU185" s="420"/>
      <c r="HV185" s="420"/>
      <c r="HW185" s="420"/>
      <c r="HX185" s="420"/>
      <c r="HY185" s="420"/>
      <c r="HZ185" s="420"/>
      <c r="IA185" s="420"/>
      <c r="IB185" s="420"/>
      <c r="IC185" s="420"/>
      <c r="ID185" s="420"/>
      <c r="IE185" s="420"/>
      <c r="IF185" s="420"/>
      <c r="IG185" s="420"/>
      <c r="IH185" s="420"/>
      <c r="II185" s="420"/>
      <c r="IJ185" s="420"/>
      <c r="IK185" s="420"/>
      <c r="IL185" s="420"/>
      <c r="IM185" s="420"/>
      <c r="IN185" s="420"/>
      <c r="IO185" s="420"/>
      <c r="IP185" s="420"/>
      <c r="IQ185" s="420"/>
      <c r="IR185" s="420"/>
      <c r="IS185" s="420"/>
      <c r="IT185" s="420"/>
      <c r="IU185" s="420"/>
      <c r="IV185" s="420"/>
      <c r="IW185" s="420"/>
      <c r="IX185" s="420"/>
      <c r="IY185" s="420"/>
      <c r="IZ185" s="420"/>
      <c r="JA185" s="420"/>
    </row>
    <row r="186" spans="1:261" s="768" customFormat="1" ht="18" customHeight="1" x14ac:dyDescent="0.35">
      <c r="A186" s="783">
        <v>176</v>
      </c>
      <c r="B186" s="776"/>
      <c r="C186" s="422"/>
      <c r="D186" s="583" t="s">
        <v>1151</v>
      </c>
      <c r="E186" s="432"/>
      <c r="F186" s="432"/>
      <c r="G186" s="433"/>
      <c r="H186" s="1009"/>
      <c r="I186" s="1007"/>
      <c r="J186" s="432"/>
      <c r="K186" s="432">
        <f>SUM(K184:K185)</f>
        <v>0</v>
      </c>
      <c r="L186" s="432">
        <f>SUM(L184:L185)</f>
        <v>325</v>
      </c>
      <c r="M186" s="432"/>
      <c r="N186" s="432"/>
      <c r="O186" s="777">
        <f>SUM(I186:N186)</f>
        <v>325</v>
      </c>
      <c r="P186" s="773"/>
      <c r="Q186" s="420"/>
      <c r="R186" s="420"/>
      <c r="S186" s="420"/>
      <c r="T186" s="420"/>
      <c r="U186" s="420"/>
      <c r="V186" s="420"/>
      <c r="W186" s="420"/>
      <c r="X186" s="420"/>
      <c r="Y186" s="420"/>
      <c r="Z186" s="420"/>
      <c r="AA186" s="420"/>
      <c r="AB186" s="420"/>
      <c r="AC186" s="420"/>
      <c r="AD186" s="420"/>
      <c r="AE186" s="420"/>
      <c r="AF186" s="420"/>
      <c r="AG186" s="420"/>
      <c r="AH186" s="420"/>
      <c r="AI186" s="420"/>
      <c r="AJ186" s="420"/>
      <c r="AK186" s="420"/>
      <c r="AL186" s="420"/>
      <c r="AM186" s="420"/>
      <c r="AN186" s="420"/>
      <c r="AO186" s="420"/>
      <c r="AP186" s="420"/>
      <c r="AQ186" s="420"/>
      <c r="AR186" s="420"/>
      <c r="AS186" s="420"/>
      <c r="AT186" s="420"/>
      <c r="AU186" s="420"/>
      <c r="AV186" s="420"/>
      <c r="AW186" s="420"/>
      <c r="AX186" s="420"/>
      <c r="AY186" s="420"/>
      <c r="AZ186" s="420"/>
      <c r="BA186" s="420"/>
      <c r="BB186" s="420"/>
      <c r="BC186" s="420"/>
      <c r="BD186" s="420"/>
      <c r="BE186" s="420"/>
      <c r="BF186" s="420"/>
      <c r="BG186" s="420"/>
      <c r="BH186" s="420"/>
      <c r="BI186" s="420"/>
      <c r="BJ186" s="420"/>
      <c r="BK186" s="420"/>
      <c r="BL186" s="420"/>
      <c r="BM186" s="420"/>
      <c r="BN186" s="420"/>
      <c r="BO186" s="420"/>
      <c r="BP186" s="420"/>
      <c r="BQ186" s="420"/>
      <c r="BR186" s="420"/>
      <c r="BS186" s="420"/>
      <c r="BT186" s="420"/>
      <c r="BU186" s="420"/>
      <c r="BV186" s="420"/>
      <c r="BW186" s="420"/>
      <c r="BX186" s="420"/>
      <c r="BY186" s="420"/>
      <c r="BZ186" s="420"/>
      <c r="CA186" s="420"/>
      <c r="CB186" s="420"/>
      <c r="CC186" s="420"/>
      <c r="CD186" s="420"/>
      <c r="CE186" s="420"/>
      <c r="CF186" s="420"/>
      <c r="CG186" s="420"/>
      <c r="CH186" s="420"/>
      <c r="CI186" s="420"/>
      <c r="CJ186" s="420"/>
      <c r="CK186" s="420"/>
      <c r="CL186" s="420"/>
      <c r="CM186" s="420"/>
      <c r="CN186" s="420"/>
      <c r="CO186" s="420"/>
      <c r="CP186" s="420"/>
      <c r="CQ186" s="420"/>
      <c r="CR186" s="420"/>
      <c r="CS186" s="420"/>
      <c r="CT186" s="420"/>
      <c r="CU186" s="420"/>
      <c r="CV186" s="420"/>
      <c r="CW186" s="420"/>
      <c r="CX186" s="420"/>
      <c r="CY186" s="420"/>
      <c r="CZ186" s="420"/>
      <c r="DA186" s="420"/>
      <c r="DB186" s="420"/>
      <c r="DC186" s="420"/>
      <c r="DD186" s="420"/>
      <c r="DE186" s="420"/>
      <c r="DF186" s="420"/>
      <c r="DG186" s="420"/>
      <c r="DH186" s="420"/>
      <c r="DI186" s="420"/>
      <c r="DJ186" s="420"/>
      <c r="DK186" s="420"/>
      <c r="DL186" s="420"/>
      <c r="DM186" s="420"/>
      <c r="DN186" s="420"/>
      <c r="DO186" s="420"/>
      <c r="DP186" s="420"/>
      <c r="DQ186" s="420"/>
      <c r="DR186" s="420"/>
      <c r="DS186" s="420"/>
      <c r="DT186" s="420"/>
      <c r="DU186" s="420"/>
      <c r="DV186" s="420"/>
      <c r="DW186" s="420"/>
      <c r="DX186" s="420"/>
      <c r="DY186" s="420"/>
      <c r="DZ186" s="420"/>
      <c r="EA186" s="420"/>
      <c r="EB186" s="420"/>
      <c r="EC186" s="420"/>
      <c r="ED186" s="420"/>
      <c r="EE186" s="420"/>
      <c r="EF186" s="420"/>
      <c r="EG186" s="420"/>
      <c r="EH186" s="420"/>
      <c r="EI186" s="420"/>
      <c r="EJ186" s="420"/>
      <c r="EK186" s="420"/>
      <c r="EL186" s="420"/>
      <c r="EM186" s="420"/>
      <c r="EN186" s="420"/>
      <c r="EO186" s="420"/>
      <c r="EP186" s="420"/>
      <c r="EQ186" s="420"/>
      <c r="ER186" s="420"/>
      <c r="ES186" s="420"/>
      <c r="ET186" s="420"/>
      <c r="EU186" s="420"/>
      <c r="EV186" s="420"/>
      <c r="EW186" s="420"/>
      <c r="EX186" s="420"/>
      <c r="EY186" s="420"/>
      <c r="EZ186" s="420"/>
      <c r="FA186" s="420"/>
      <c r="FB186" s="420"/>
      <c r="FC186" s="420"/>
      <c r="FD186" s="420"/>
      <c r="FE186" s="420"/>
      <c r="FF186" s="420"/>
      <c r="FG186" s="420"/>
      <c r="FH186" s="420"/>
      <c r="FI186" s="420"/>
      <c r="FJ186" s="420"/>
      <c r="FK186" s="420"/>
      <c r="FL186" s="420"/>
      <c r="FM186" s="420"/>
      <c r="FN186" s="420"/>
      <c r="FO186" s="420"/>
      <c r="FP186" s="420"/>
      <c r="FQ186" s="420"/>
      <c r="FR186" s="420"/>
      <c r="FS186" s="420"/>
      <c r="FT186" s="420"/>
      <c r="FU186" s="420"/>
      <c r="FV186" s="420"/>
      <c r="FW186" s="420"/>
      <c r="FX186" s="420"/>
      <c r="FY186" s="420"/>
      <c r="FZ186" s="420"/>
      <c r="GA186" s="420"/>
      <c r="GB186" s="420"/>
      <c r="GC186" s="420"/>
      <c r="GD186" s="420"/>
      <c r="GE186" s="420"/>
      <c r="GF186" s="420"/>
      <c r="GG186" s="420"/>
      <c r="GH186" s="420"/>
      <c r="GI186" s="420"/>
      <c r="GJ186" s="420"/>
      <c r="GK186" s="420"/>
      <c r="GL186" s="420"/>
      <c r="GM186" s="420"/>
      <c r="GN186" s="420"/>
      <c r="GO186" s="420"/>
      <c r="GP186" s="420"/>
      <c r="GQ186" s="420"/>
      <c r="GR186" s="420"/>
      <c r="GS186" s="420"/>
      <c r="GT186" s="420"/>
      <c r="GU186" s="420"/>
      <c r="GV186" s="420"/>
      <c r="GW186" s="420"/>
      <c r="GX186" s="420"/>
      <c r="GY186" s="420"/>
      <c r="GZ186" s="420"/>
      <c r="HA186" s="420"/>
      <c r="HB186" s="420"/>
      <c r="HC186" s="420"/>
      <c r="HD186" s="420"/>
      <c r="HE186" s="420"/>
      <c r="HF186" s="420"/>
      <c r="HG186" s="420"/>
      <c r="HH186" s="420"/>
      <c r="HI186" s="420"/>
      <c r="HJ186" s="420"/>
      <c r="HK186" s="420"/>
      <c r="HL186" s="420"/>
      <c r="HM186" s="420"/>
      <c r="HN186" s="420"/>
      <c r="HO186" s="420"/>
      <c r="HP186" s="420"/>
      <c r="HQ186" s="420"/>
      <c r="HR186" s="420"/>
      <c r="HS186" s="420"/>
      <c r="HT186" s="420"/>
      <c r="HU186" s="420"/>
      <c r="HV186" s="420"/>
      <c r="HW186" s="420"/>
      <c r="HX186" s="420"/>
      <c r="HY186" s="420"/>
      <c r="HZ186" s="420"/>
      <c r="IA186" s="420"/>
      <c r="IB186" s="420"/>
      <c r="IC186" s="420"/>
      <c r="ID186" s="420"/>
      <c r="IE186" s="420"/>
      <c r="IF186" s="420"/>
      <c r="IG186" s="420"/>
      <c r="IH186" s="420"/>
      <c r="II186" s="420"/>
      <c r="IJ186" s="420"/>
      <c r="IK186" s="420"/>
      <c r="IL186" s="420"/>
      <c r="IM186" s="420"/>
      <c r="IN186" s="420"/>
      <c r="IO186" s="420"/>
      <c r="IP186" s="420"/>
      <c r="IQ186" s="420"/>
      <c r="IR186" s="420"/>
      <c r="IS186" s="420"/>
      <c r="IT186" s="420"/>
      <c r="IU186" s="420"/>
      <c r="IV186" s="420"/>
      <c r="IW186" s="420"/>
      <c r="IX186" s="420"/>
      <c r="IY186" s="420"/>
      <c r="IZ186" s="420"/>
      <c r="JA186" s="420"/>
    </row>
    <row r="187" spans="1:261" s="768" customFormat="1" ht="51.75" customHeight="1" x14ac:dyDescent="0.35">
      <c r="A187" s="783">
        <v>177</v>
      </c>
      <c r="B187" s="776"/>
      <c r="C187" s="422">
        <v>36</v>
      </c>
      <c r="D187" s="423" t="s">
        <v>714</v>
      </c>
      <c r="E187" s="432"/>
      <c r="F187" s="432"/>
      <c r="G187" s="433"/>
      <c r="H187" s="1009" t="s">
        <v>24</v>
      </c>
      <c r="I187" s="1028"/>
      <c r="J187" s="1022"/>
      <c r="K187" s="1022"/>
      <c r="L187" s="1022"/>
      <c r="M187" s="1022"/>
      <c r="N187" s="1022"/>
      <c r="O187" s="992"/>
      <c r="P187" s="773"/>
      <c r="Q187" s="420"/>
      <c r="R187" s="420"/>
      <c r="S187" s="420"/>
      <c r="T187" s="420"/>
      <c r="U187" s="420"/>
      <c r="V187" s="420"/>
      <c r="W187" s="420"/>
      <c r="X187" s="420"/>
      <c r="Y187" s="420"/>
      <c r="Z187" s="420"/>
      <c r="AA187" s="420"/>
      <c r="AB187" s="420"/>
      <c r="AC187" s="420"/>
      <c r="AD187" s="420"/>
      <c r="AE187" s="420"/>
      <c r="AF187" s="420"/>
      <c r="AG187" s="420"/>
      <c r="AH187" s="420"/>
      <c r="AI187" s="420"/>
      <c r="AJ187" s="420"/>
      <c r="AK187" s="420"/>
      <c r="AL187" s="420"/>
      <c r="AM187" s="420"/>
      <c r="AN187" s="420"/>
      <c r="AO187" s="420"/>
      <c r="AP187" s="420"/>
      <c r="AQ187" s="420"/>
      <c r="AR187" s="420"/>
      <c r="AS187" s="420"/>
      <c r="AT187" s="420"/>
      <c r="AU187" s="420"/>
      <c r="AV187" s="420"/>
      <c r="AW187" s="420"/>
      <c r="AX187" s="420"/>
      <c r="AY187" s="420"/>
      <c r="AZ187" s="420"/>
      <c r="BA187" s="420"/>
      <c r="BB187" s="420"/>
      <c r="BC187" s="420"/>
      <c r="BD187" s="420"/>
      <c r="BE187" s="420"/>
      <c r="BF187" s="420"/>
      <c r="BG187" s="420"/>
      <c r="BH187" s="420"/>
      <c r="BI187" s="420"/>
      <c r="BJ187" s="420"/>
      <c r="BK187" s="420"/>
      <c r="BL187" s="420"/>
      <c r="BM187" s="420"/>
      <c r="BN187" s="420"/>
      <c r="BO187" s="420"/>
      <c r="BP187" s="420"/>
      <c r="BQ187" s="420"/>
      <c r="BR187" s="420"/>
      <c r="BS187" s="420"/>
      <c r="BT187" s="420"/>
      <c r="BU187" s="420"/>
      <c r="BV187" s="420"/>
      <c r="BW187" s="420"/>
      <c r="BX187" s="420"/>
      <c r="BY187" s="420"/>
      <c r="BZ187" s="420"/>
      <c r="CA187" s="420"/>
      <c r="CB187" s="420"/>
      <c r="CC187" s="420"/>
      <c r="CD187" s="420"/>
      <c r="CE187" s="420"/>
      <c r="CF187" s="420"/>
      <c r="CG187" s="420"/>
      <c r="CH187" s="420"/>
      <c r="CI187" s="420"/>
      <c r="CJ187" s="420"/>
      <c r="CK187" s="420"/>
      <c r="CL187" s="420"/>
      <c r="CM187" s="420"/>
      <c r="CN187" s="420"/>
      <c r="CO187" s="420"/>
      <c r="CP187" s="420"/>
      <c r="CQ187" s="420"/>
      <c r="CR187" s="420"/>
      <c r="CS187" s="420"/>
      <c r="CT187" s="420"/>
      <c r="CU187" s="420"/>
      <c r="CV187" s="420"/>
      <c r="CW187" s="420"/>
      <c r="CX187" s="420"/>
      <c r="CY187" s="420"/>
      <c r="CZ187" s="420"/>
      <c r="DA187" s="420"/>
      <c r="DB187" s="420"/>
      <c r="DC187" s="420"/>
      <c r="DD187" s="420"/>
      <c r="DE187" s="420"/>
      <c r="DF187" s="420"/>
      <c r="DG187" s="420"/>
      <c r="DH187" s="420"/>
      <c r="DI187" s="420"/>
      <c r="DJ187" s="420"/>
      <c r="DK187" s="420"/>
      <c r="DL187" s="420"/>
      <c r="DM187" s="420"/>
      <c r="DN187" s="420"/>
      <c r="DO187" s="420"/>
      <c r="DP187" s="420"/>
      <c r="DQ187" s="420"/>
      <c r="DR187" s="420"/>
      <c r="DS187" s="420"/>
      <c r="DT187" s="420"/>
      <c r="DU187" s="420"/>
      <c r="DV187" s="420"/>
      <c r="DW187" s="420"/>
      <c r="DX187" s="420"/>
      <c r="DY187" s="420"/>
      <c r="DZ187" s="420"/>
      <c r="EA187" s="420"/>
      <c r="EB187" s="420"/>
      <c r="EC187" s="420"/>
      <c r="ED187" s="420"/>
      <c r="EE187" s="420"/>
      <c r="EF187" s="420"/>
      <c r="EG187" s="420"/>
      <c r="EH187" s="420"/>
      <c r="EI187" s="420"/>
      <c r="EJ187" s="420"/>
      <c r="EK187" s="420"/>
      <c r="EL187" s="420"/>
      <c r="EM187" s="420"/>
      <c r="EN187" s="420"/>
      <c r="EO187" s="420"/>
      <c r="EP187" s="420"/>
      <c r="EQ187" s="420"/>
      <c r="ER187" s="420"/>
      <c r="ES187" s="420"/>
      <c r="ET187" s="420"/>
      <c r="EU187" s="420"/>
      <c r="EV187" s="420"/>
      <c r="EW187" s="420"/>
      <c r="EX187" s="420"/>
      <c r="EY187" s="420"/>
      <c r="EZ187" s="420"/>
      <c r="FA187" s="420"/>
      <c r="FB187" s="420"/>
      <c r="FC187" s="420"/>
      <c r="FD187" s="420"/>
      <c r="FE187" s="420"/>
      <c r="FF187" s="420"/>
      <c r="FG187" s="420"/>
      <c r="FH187" s="420"/>
      <c r="FI187" s="420"/>
      <c r="FJ187" s="420"/>
      <c r="FK187" s="420"/>
      <c r="FL187" s="420"/>
      <c r="FM187" s="420"/>
      <c r="FN187" s="420"/>
      <c r="FO187" s="420"/>
      <c r="FP187" s="420"/>
      <c r="FQ187" s="420"/>
      <c r="FR187" s="420"/>
      <c r="FS187" s="420"/>
      <c r="FT187" s="420"/>
      <c r="FU187" s="420"/>
      <c r="FV187" s="420"/>
      <c r="FW187" s="420"/>
      <c r="FX187" s="420"/>
      <c r="FY187" s="420"/>
      <c r="FZ187" s="420"/>
      <c r="GA187" s="420"/>
      <c r="GB187" s="420"/>
      <c r="GC187" s="420"/>
      <c r="GD187" s="420"/>
      <c r="GE187" s="420"/>
      <c r="GF187" s="420"/>
      <c r="GG187" s="420"/>
      <c r="GH187" s="420"/>
      <c r="GI187" s="420"/>
      <c r="GJ187" s="420"/>
      <c r="GK187" s="420"/>
      <c r="GL187" s="420"/>
      <c r="GM187" s="420"/>
      <c r="GN187" s="420"/>
      <c r="GO187" s="420"/>
      <c r="GP187" s="420"/>
      <c r="GQ187" s="420"/>
      <c r="GR187" s="420"/>
      <c r="GS187" s="420"/>
      <c r="GT187" s="420"/>
      <c r="GU187" s="420"/>
      <c r="GV187" s="420"/>
      <c r="GW187" s="420"/>
      <c r="GX187" s="420"/>
      <c r="GY187" s="420"/>
      <c r="GZ187" s="420"/>
      <c r="HA187" s="420"/>
      <c r="HB187" s="420"/>
      <c r="HC187" s="420"/>
      <c r="HD187" s="420"/>
      <c r="HE187" s="420"/>
      <c r="HF187" s="420"/>
      <c r="HG187" s="420"/>
      <c r="HH187" s="420"/>
      <c r="HI187" s="420"/>
      <c r="HJ187" s="420"/>
      <c r="HK187" s="420"/>
      <c r="HL187" s="420"/>
      <c r="HM187" s="420"/>
      <c r="HN187" s="420"/>
      <c r="HO187" s="420"/>
      <c r="HP187" s="420"/>
      <c r="HQ187" s="420"/>
      <c r="HR187" s="420"/>
      <c r="HS187" s="420"/>
      <c r="HT187" s="420"/>
      <c r="HU187" s="420"/>
      <c r="HV187" s="420"/>
      <c r="HW187" s="420"/>
      <c r="HX187" s="420"/>
      <c r="HY187" s="420"/>
      <c r="HZ187" s="420"/>
      <c r="IA187" s="420"/>
      <c r="IB187" s="420"/>
      <c r="IC187" s="420"/>
      <c r="ID187" s="420"/>
      <c r="IE187" s="420"/>
      <c r="IF187" s="420"/>
      <c r="IG187" s="420"/>
      <c r="IH187" s="420"/>
      <c r="II187" s="420"/>
      <c r="IJ187" s="420"/>
      <c r="IK187" s="420"/>
      <c r="IL187" s="420"/>
      <c r="IM187" s="420"/>
      <c r="IN187" s="420"/>
      <c r="IO187" s="420"/>
      <c r="IP187" s="420"/>
      <c r="IQ187" s="420"/>
      <c r="IR187" s="420"/>
      <c r="IS187" s="420"/>
      <c r="IT187" s="420"/>
      <c r="IU187" s="420"/>
      <c r="IV187" s="420"/>
      <c r="IW187" s="420"/>
      <c r="IX187" s="420"/>
      <c r="IY187" s="420"/>
      <c r="IZ187" s="420"/>
      <c r="JA187" s="420"/>
    </row>
    <row r="188" spans="1:261" s="768" customFormat="1" ht="18" customHeight="1" x14ac:dyDescent="0.35">
      <c r="A188" s="783">
        <v>178</v>
      </c>
      <c r="B188" s="776"/>
      <c r="C188" s="422"/>
      <c r="D188" s="1002" t="s">
        <v>311</v>
      </c>
      <c r="E188" s="432">
        <f>F188+G188+O191+P188</f>
        <v>4006</v>
      </c>
      <c r="F188" s="432"/>
      <c r="G188" s="433"/>
      <c r="H188" s="1009"/>
      <c r="I188" s="1028"/>
      <c r="J188" s="1022"/>
      <c r="K188" s="1022">
        <v>500</v>
      </c>
      <c r="L188" s="1022">
        <v>3506</v>
      </c>
      <c r="M188" s="1022"/>
      <c r="N188" s="1022"/>
      <c r="O188" s="992">
        <f>SUM(I188:N188)</f>
        <v>4006</v>
      </c>
      <c r="P188" s="773"/>
      <c r="Q188" s="420"/>
      <c r="R188" s="420"/>
      <c r="S188" s="420"/>
      <c r="T188" s="420"/>
      <c r="U188" s="420"/>
      <c r="V188" s="420"/>
      <c r="W188" s="420"/>
      <c r="X188" s="420"/>
      <c r="Y188" s="420"/>
      <c r="Z188" s="420"/>
      <c r="AA188" s="420"/>
      <c r="AB188" s="420"/>
      <c r="AC188" s="420"/>
      <c r="AD188" s="420"/>
      <c r="AE188" s="420"/>
      <c r="AF188" s="420"/>
      <c r="AG188" s="420"/>
      <c r="AH188" s="420"/>
      <c r="AI188" s="420"/>
      <c r="AJ188" s="420"/>
      <c r="AK188" s="420"/>
      <c r="AL188" s="420"/>
      <c r="AM188" s="420"/>
      <c r="AN188" s="420"/>
      <c r="AO188" s="420"/>
      <c r="AP188" s="420"/>
      <c r="AQ188" s="420"/>
      <c r="AR188" s="420"/>
      <c r="AS188" s="420"/>
      <c r="AT188" s="420"/>
      <c r="AU188" s="420"/>
      <c r="AV188" s="420"/>
      <c r="AW188" s="420"/>
      <c r="AX188" s="420"/>
      <c r="AY188" s="420"/>
      <c r="AZ188" s="420"/>
      <c r="BA188" s="420"/>
      <c r="BB188" s="420"/>
      <c r="BC188" s="420"/>
      <c r="BD188" s="420"/>
      <c r="BE188" s="420"/>
      <c r="BF188" s="420"/>
      <c r="BG188" s="420"/>
      <c r="BH188" s="420"/>
      <c r="BI188" s="420"/>
      <c r="BJ188" s="420"/>
      <c r="BK188" s="420"/>
      <c r="BL188" s="420"/>
      <c r="BM188" s="420"/>
      <c r="BN188" s="420"/>
      <c r="BO188" s="420"/>
      <c r="BP188" s="420"/>
      <c r="BQ188" s="420"/>
      <c r="BR188" s="420"/>
      <c r="BS188" s="420"/>
      <c r="BT188" s="420"/>
      <c r="BU188" s="420"/>
      <c r="BV188" s="420"/>
      <c r="BW188" s="420"/>
      <c r="BX188" s="420"/>
      <c r="BY188" s="420"/>
      <c r="BZ188" s="420"/>
      <c r="CA188" s="420"/>
      <c r="CB188" s="420"/>
      <c r="CC188" s="420"/>
      <c r="CD188" s="420"/>
      <c r="CE188" s="420"/>
      <c r="CF188" s="420"/>
      <c r="CG188" s="420"/>
      <c r="CH188" s="420"/>
      <c r="CI188" s="420"/>
      <c r="CJ188" s="420"/>
      <c r="CK188" s="420"/>
      <c r="CL188" s="420"/>
      <c r="CM188" s="420"/>
      <c r="CN188" s="420"/>
      <c r="CO188" s="420"/>
      <c r="CP188" s="420"/>
      <c r="CQ188" s="420"/>
      <c r="CR188" s="420"/>
      <c r="CS188" s="420"/>
      <c r="CT188" s="420"/>
      <c r="CU188" s="420"/>
      <c r="CV188" s="420"/>
      <c r="CW188" s="420"/>
      <c r="CX188" s="420"/>
      <c r="CY188" s="420"/>
      <c r="CZ188" s="420"/>
      <c r="DA188" s="420"/>
      <c r="DB188" s="420"/>
      <c r="DC188" s="420"/>
      <c r="DD188" s="420"/>
      <c r="DE188" s="420"/>
      <c r="DF188" s="420"/>
      <c r="DG188" s="420"/>
      <c r="DH188" s="420"/>
      <c r="DI188" s="420"/>
      <c r="DJ188" s="420"/>
      <c r="DK188" s="420"/>
      <c r="DL188" s="420"/>
      <c r="DM188" s="420"/>
      <c r="DN188" s="420"/>
      <c r="DO188" s="420"/>
      <c r="DP188" s="420"/>
      <c r="DQ188" s="420"/>
      <c r="DR188" s="420"/>
      <c r="DS188" s="420"/>
      <c r="DT188" s="420"/>
      <c r="DU188" s="420"/>
      <c r="DV188" s="420"/>
      <c r="DW188" s="420"/>
      <c r="DX188" s="420"/>
      <c r="DY188" s="420"/>
      <c r="DZ188" s="420"/>
      <c r="EA188" s="420"/>
      <c r="EB188" s="420"/>
      <c r="EC188" s="420"/>
      <c r="ED188" s="420"/>
      <c r="EE188" s="420"/>
      <c r="EF188" s="420"/>
      <c r="EG188" s="420"/>
      <c r="EH188" s="420"/>
      <c r="EI188" s="420"/>
      <c r="EJ188" s="420"/>
      <c r="EK188" s="420"/>
      <c r="EL188" s="420"/>
      <c r="EM188" s="420"/>
      <c r="EN188" s="420"/>
      <c r="EO188" s="420"/>
      <c r="EP188" s="420"/>
      <c r="EQ188" s="420"/>
      <c r="ER188" s="420"/>
      <c r="ES188" s="420"/>
      <c r="ET188" s="420"/>
      <c r="EU188" s="420"/>
      <c r="EV188" s="420"/>
      <c r="EW188" s="420"/>
      <c r="EX188" s="420"/>
      <c r="EY188" s="420"/>
      <c r="EZ188" s="420"/>
      <c r="FA188" s="420"/>
      <c r="FB188" s="420"/>
      <c r="FC188" s="420"/>
      <c r="FD188" s="420"/>
      <c r="FE188" s="420"/>
      <c r="FF188" s="420"/>
      <c r="FG188" s="420"/>
      <c r="FH188" s="420"/>
      <c r="FI188" s="420"/>
      <c r="FJ188" s="420"/>
      <c r="FK188" s="420"/>
      <c r="FL188" s="420"/>
      <c r="FM188" s="420"/>
      <c r="FN188" s="420"/>
      <c r="FO188" s="420"/>
      <c r="FP188" s="420"/>
      <c r="FQ188" s="420"/>
      <c r="FR188" s="420"/>
      <c r="FS188" s="420"/>
      <c r="FT188" s="420"/>
      <c r="FU188" s="420"/>
      <c r="FV188" s="420"/>
      <c r="FW188" s="420"/>
      <c r="FX188" s="420"/>
      <c r="FY188" s="420"/>
      <c r="FZ188" s="420"/>
      <c r="GA188" s="420"/>
      <c r="GB188" s="420"/>
      <c r="GC188" s="420"/>
      <c r="GD188" s="420"/>
      <c r="GE188" s="420"/>
      <c r="GF188" s="420"/>
      <c r="GG188" s="420"/>
      <c r="GH188" s="420"/>
      <c r="GI188" s="420"/>
      <c r="GJ188" s="420"/>
      <c r="GK188" s="420"/>
      <c r="GL188" s="420"/>
      <c r="GM188" s="420"/>
      <c r="GN188" s="420"/>
      <c r="GO188" s="420"/>
      <c r="GP188" s="420"/>
      <c r="GQ188" s="420"/>
      <c r="GR188" s="420"/>
      <c r="GS188" s="420"/>
      <c r="GT188" s="420"/>
      <c r="GU188" s="420"/>
      <c r="GV188" s="420"/>
      <c r="GW188" s="420"/>
      <c r="GX188" s="420"/>
      <c r="GY188" s="420"/>
      <c r="GZ188" s="420"/>
      <c r="HA188" s="420"/>
      <c r="HB188" s="420"/>
      <c r="HC188" s="420"/>
      <c r="HD188" s="420"/>
      <c r="HE188" s="420"/>
      <c r="HF188" s="420"/>
      <c r="HG188" s="420"/>
      <c r="HH188" s="420"/>
      <c r="HI188" s="420"/>
      <c r="HJ188" s="420"/>
      <c r="HK188" s="420"/>
      <c r="HL188" s="420"/>
      <c r="HM188" s="420"/>
      <c r="HN188" s="420"/>
      <c r="HO188" s="420"/>
      <c r="HP188" s="420"/>
      <c r="HQ188" s="420"/>
      <c r="HR188" s="420"/>
      <c r="HS188" s="420"/>
      <c r="HT188" s="420"/>
      <c r="HU188" s="420"/>
      <c r="HV188" s="420"/>
      <c r="HW188" s="420"/>
      <c r="HX188" s="420"/>
      <c r="HY188" s="420"/>
      <c r="HZ188" s="420"/>
      <c r="IA188" s="420"/>
      <c r="IB188" s="420"/>
      <c r="IC188" s="420"/>
      <c r="ID188" s="420"/>
      <c r="IE188" s="420"/>
      <c r="IF188" s="420"/>
      <c r="IG188" s="420"/>
      <c r="IH188" s="420"/>
      <c r="II188" s="420"/>
      <c r="IJ188" s="420"/>
      <c r="IK188" s="420"/>
      <c r="IL188" s="420"/>
      <c r="IM188" s="420"/>
      <c r="IN188" s="420"/>
      <c r="IO188" s="420"/>
      <c r="IP188" s="420"/>
      <c r="IQ188" s="420"/>
      <c r="IR188" s="420"/>
      <c r="IS188" s="420"/>
      <c r="IT188" s="420"/>
      <c r="IU188" s="420"/>
      <c r="IV188" s="420"/>
      <c r="IW188" s="420"/>
      <c r="IX188" s="420"/>
      <c r="IY188" s="420"/>
      <c r="IZ188" s="420"/>
      <c r="JA188" s="420"/>
    </row>
    <row r="189" spans="1:261" s="768" customFormat="1" ht="18" customHeight="1" x14ac:dyDescent="0.35">
      <c r="A189" s="783">
        <v>179</v>
      </c>
      <c r="B189" s="776"/>
      <c r="C189" s="422"/>
      <c r="D189" s="583" t="s">
        <v>1072</v>
      </c>
      <c r="E189" s="432"/>
      <c r="F189" s="432"/>
      <c r="G189" s="433"/>
      <c r="H189" s="1009"/>
      <c r="I189" s="1028"/>
      <c r="J189" s="1022"/>
      <c r="K189" s="432">
        <v>500</v>
      </c>
      <c r="L189" s="432">
        <v>3506</v>
      </c>
      <c r="M189" s="1022"/>
      <c r="N189" s="1022"/>
      <c r="O189" s="777">
        <f>SUM(I189:N189)</f>
        <v>4006</v>
      </c>
      <c r="P189" s="773"/>
      <c r="Q189" s="420"/>
      <c r="R189" s="420"/>
      <c r="S189" s="420"/>
      <c r="T189" s="420"/>
      <c r="U189" s="420"/>
      <c r="V189" s="420"/>
      <c r="W189" s="420"/>
      <c r="X189" s="420"/>
      <c r="Y189" s="420"/>
      <c r="Z189" s="420"/>
      <c r="AA189" s="420"/>
      <c r="AB189" s="420"/>
      <c r="AC189" s="420"/>
      <c r="AD189" s="420"/>
      <c r="AE189" s="420"/>
      <c r="AF189" s="420"/>
      <c r="AG189" s="420"/>
      <c r="AH189" s="420"/>
      <c r="AI189" s="420"/>
      <c r="AJ189" s="420"/>
      <c r="AK189" s="420"/>
      <c r="AL189" s="420"/>
      <c r="AM189" s="420"/>
      <c r="AN189" s="420"/>
      <c r="AO189" s="420"/>
      <c r="AP189" s="420"/>
      <c r="AQ189" s="420"/>
      <c r="AR189" s="420"/>
      <c r="AS189" s="420"/>
      <c r="AT189" s="420"/>
      <c r="AU189" s="420"/>
      <c r="AV189" s="420"/>
      <c r="AW189" s="420"/>
      <c r="AX189" s="420"/>
      <c r="AY189" s="420"/>
      <c r="AZ189" s="420"/>
      <c r="BA189" s="420"/>
      <c r="BB189" s="420"/>
      <c r="BC189" s="420"/>
      <c r="BD189" s="420"/>
      <c r="BE189" s="420"/>
      <c r="BF189" s="420"/>
      <c r="BG189" s="420"/>
      <c r="BH189" s="420"/>
      <c r="BI189" s="420"/>
      <c r="BJ189" s="420"/>
      <c r="BK189" s="420"/>
      <c r="BL189" s="420"/>
      <c r="BM189" s="420"/>
      <c r="BN189" s="420"/>
      <c r="BO189" s="420"/>
      <c r="BP189" s="420"/>
      <c r="BQ189" s="420"/>
      <c r="BR189" s="420"/>
      <c r="BS189" s="420"/>
      <c r="BT189" s="420"/>
      <c r="BU189" s="420"/>
      <c r="BV189" s="420"/>
      <c r="BW189" s="420"/>
      <c r="BX189" s="420"/>
      <c r="BY189" s="420"/>
      <c r="BZ189" s="420"/>
      <c r="CA189" s="420"/>
      <c r="CB189" s="420"/>
      <c r="CC189" s="420"/>
      <c r="CD189" s="420"/>
      <c r="CE189" s="420"/>
      <c r="CF189" s="420"/>
      <c r="CG189" s="420"/>
      <c r="CH189" s="420"/>
      <c r="CI189" s="420"/>
      <c r="CJ189" s="420"/>
      <c r="CK189" s="420"/>
      <c r="CL189" s="420"/>
      <c r="CM189" s="420"/>
      <c r="CN189" s="420"/>
      <c r="CO189" s="420"/>
      <c r="CP189" s="420"/>
      <c r="CQ189" s="420"/>
      <c r="CR189" s="420"/>
      <c r="CS189" s="420"/>
      <c r="CT189" s="420"/>
      <c r="CU189" s="420"/>
      <c r="CV189" s="420"/>
      <c r="CW189" s="420"/>
      <c r="CX189" s="420"/>
      <c r="CY189" s="420"/>
      <c r="CZ189" s="420"/>
      <c r="DA189" s="420"/>
      <c r="DB189" s="420"/>
      <c r="DC189" s="420"/>
      <c r="DD189" s="420"/>
      <c r="DE189" s="420"/>
      <c r="DF189" s="420"/>
      <c r="DG189" s="420"/>
      <c r="DH189" s="420"/>
      <c r="DI189" s="420"/>
      <c r="DJ189" s="420"/>
      <c r="DK189" s="420"/>
      <c r="DL189" s="420"/>
      <c r="DM189" s="420"/>
      <c r="DN189" s="420"/>
      <c r="DO189" s="420"/>
      <c r="DP189" s="420"/>
      <c r="DQ189" s="420"/>
      <c r="DR189" s="420"/>
      <c r="DS189" s="420"/>
      <c r="DT189" s="420"/>
      <c r="DU189" s="420"/>
      <c r="DV189" s="420"/>
      <c r="DW189" s="420"/>
      <c r="DX189" s="420"/>
      <c r="DY189" s="420"/>
      <c r="DZ189" s="420"/>
      <c r="EA189" s="420"/>
      <c r="EB189" s="420"/>
      <c r="EC189" s="420"/>
      <c r="ED189" s="420"/>
      <c r="EE189" s="420"/>
      <c r="EF189" s="420"/>
      <c r="EG189" s="420"/>
      <c r="EH189" s="420"/>
      <c r="EI189" s="420"/>
      <c r="EJ189" s="420"/>
      <c r="EK189" s="420"/>
      <c r="EL189" s="420"/>
      <c r="EM189" s="420"/>
      <c r="EN189" s="420"/>
      <c r="EO189" s="420"/>
      <c r="EP189" s="420"/>
      <c r="EQ189" s="420"/>
      <c r="ER189" s="420"/>
      <c r="ES189" s="420"/>
      <c r="ET189" s="420"/>
      <c r="EU189" s="420"/>
      <c r="EV189" s="420"/>
      <c r="EW189" s="420"/>
      <c r="EX189" s="420"/>
      <c r="EY189" s="420"/>
      <c r="EZ189" s="420"/>
      <c r="FA189" s="420"/>
      <c r="FB189" s="420"/>
      <c r="FC189" s="420"/>
      <c r="FD189" s="420"/>
      <c r="FE189" s="420"/>
      <c r="FF189" s="420"/>
      <c r="FG189" s="420"/>
      <c r="FH189" s="420"/>
      <c r="FI189" s="420"/>
      <c r="FJ189" s="420"/>
      <c r="FK189" s="420"/>
      <c r="FL189" s="420"/>
      <c r="FM189" s="420"/>
      <c r="FN189" s="420"/>
      <c r="FO189" s="420"/>
      <c r="FP189" s="420"/>
      <c r="FQ189" s="420"/>
      <c r="FR189" s="420"/>
      <c r="FS189" s="420"/>
      <c r="FT189" s="420"/>
      <c r="FU189" s="420"/>
      <c r="FV189" s="420"/>
      <c r="FW189" s="420"/>
      <c r="FX189" s="420"/>
      <c r="FY189" s="420"/>
      <c r="FZ189" s="420"/>
      <c r="GA189" s="420"/>
      <c r="GB189" s="420"/>
      <c r="GC189" s="420"/>
      <c r="GD189" s="420"/>
      <c r="GE189" s="420"/>
      <c r="GF189" s="420"/>
      <c r="GG189" s="420"/>
      <c r="GH189" s="420"/>
      <c r="GI189" s="420"/>
      <c r="GJ189" s="420"/>
      <c r="GK189" s="420"/>
      <c r="GL189" s="420"/>
      <c r="GM189" s="420"/>
      <c r="GN189" s="420"/>
      <c r="GO189" s="420"/>
      <c r="GP189" s="420"/>
      <c r="GQ189" s="420"/>
      <c r="GR189" s="420"/>
      <c r="GS189" s="420"/>
      <c r="GT189" s="420"/>
      <c r="GU189" s="420"/>
      <c r="GV189" s="420"/>
      <c r="GW189" s="420"/>
      <c r="GX189" s="420"/>
      <c r="GY189" s="420"/>
      <c r="GZ189" s="420"/>
      <c r="HA189" s="420"/>
      <c r="HB189" s="420"/>
      <c r="HC189" s="420"/>
      <c r="HD189" s="420"/>
      <c r="HE189" s="420"/>
      <c r="HF189" s="420"/>
      <c r="HG189" s="420"/>
      <c r="HH189" s="420"/>
      <c r="HI189" s="420"/>
      <c r="HJ189" s="420"/>
      <c r="HK189" s="420"/>
      <c r="HL189" s="420"/>
      <c r="HM189" s="420"/>
      <c r="HN189" s="420"/>
      <c r="HO189" s="420"/>
      <c r="HP189" s="420"/>
      <c r="HQ189" s="420"/>
      <c r="HR189" s="420"/>
      <c r="HS189" s="420"/>
      <c r="HT189" s="420"/>
      <c r="HU189" s="420"/>
      <c r="HV189" s="420"/>
      <c r="HW189" s="420"/>
      <c r="HX189" s="420"/>
      <c r="HY189" s="420"/>
      <c r="HZ189" s="420"/>
      <c r="IA189" s="420"/>
      <c r="IB189" s="420"/>
      <c r="IC189" s="420"/>
      <c r="ID189" s="420"/>
      <c r="IE189" s="420"/>
      <c r="IF189" s="420"/>
      <c r="IG189" s="420"/>
      <c r="IH189" s="420"/>
      <c r="II189" s="420"/>
      <c r="IJ189" s="420"/>
      <c r="IK189" s="420"/>
      <c r="IL189" s="420"/>
      <c r="IM189" s="420"/>
      <c r="IN189" s="420"/>
      <c r="IO189" s="420"/>
      <c r="IP189" s="420"/>
      <c r="IQ189" s="420"/>
      <c r="IR189" s="420"/>
      <c r="IS189" s="420"/>
      <c r="IT189" s="420"/>
      <c r="IU189" s="420"/>
      <c r="IV189" s="420"/>
      <c r="IW189" s="420"/>
      <c r="IX189" s="420"/>
      <c r="IY189" s="420"/>
      <c r="IZ189" s="420"/>
      <c r="JA189" s="420"/>
    </row>
    <row r="190" spans="1:261" s="768" customFormat="1" ht="18" customHeight="1" x14ac:dyDescent="0.35">
      <c r="A190" s="783">
        <v>180</v>
      </c>
      <c r="B190" s="776"/>
      <c r="C190" s="422"/>
      <c r="D190" s="1338" t="s">
        <v>963</v>
      </c>
      <c r="E190" s="432"/>
      <c r="F190" s="432"/>
      <c r="G190" s="433"/>
      <c r="H190" s="1009"/>
      <c r="I190" s="1007"/>
      <c r="J190" s="432"/>
      <c r="K190" s="432"/>
      <c r="L190" s="432"/>
      <c r="M190" s="432"/>
      <c r="N190" s="432"/>
      <c r="O190" s="1623">
        <f>SUM(I190:N190)</f>
        <v>0</v>
      </c>
      <c r="P190" s="773"/>
      <c r="Q190" s="420"/>
      <c r="R190" s="420"/>
      <c r="S190" s="420"/>
      <c r="T190" s="420"/>
      <c r="U190" s="420"/>
      <c r="V190" s="420"/>
      <c r="W190" s="420"/>
      <c r="X190" s="420"/>
      <c r="Y190" s="420"/>
      <c r="Z190" s="420"/>
      <c r="AA190" s="420"/>
      <c r="AB190" s="420"/>
      <c r="AC190" s="420"/>
      <c r="AD190" s="420"/>
      <c r="AE190" s="420"/>
      <c r="AF190" s="420"/>
      <c r="AG190" s="420"/>
      <c r="AH190" s="420"/>
      <c r="AI190" s="420"/>
      <c r="AJ190" s="420"/>
      <c r="AK190" s="420"/>
      <c r="AL190" s="420"/>
      <c r="AM190" s="420"/>
      <c r="AN190" s="420"/>
      <c r="AO190" s="420"/>
      <c r="AP190" s="420"/>
      <c r="AQ190" s="420"/>
      <c r="AR190" s="420"/>
      <c r="AS190" s="420"/>
      <c r="AT190" s="420"/>
      <c r="AU190" s="420"/>
      <c r="AV190" s="420"/>
      <c r="AW190" s="420"/>
      <c r="AX190" s="420"/>
      <c r="AY190" s="420"/>
      <c r="AZ190" s="420"/>
      <c r="BA190" s="420"/>
      <c r="BB190" s="420"/>
      <c r="BC190" s="420"/>
      <c r="BD190" s="420"/>
      <c r="BE190" s="420"/>
      <c r="BF190" s="420"/>
      <c r="BG190" s="420"/>
      <c r="BH190" s="420"/>
      <c r="BI190" s="420"/>
      <c r="BJ190" s="420"/>
      <c r="BK190" s="420"/>
      <c r="BL190" s="420"/>
      <c r="BM190" s="420"/>
      <c r="BN190" s="420"/>
      <c r="BO190" s="420"/>
      <c r="BP190" s="420"/>
      <c r="BQ190" s="420"/>
      <c r="BR190" s="420"/>
      <c r="BS190" s="420"/>
      <c r="BT190" s="420"/>
      <c r="BU190" s="420"/>
      <c r="BV190" s="420"/>
      <c r="BW190" s="420"/>
      <c r="BX190" s="420"/>
      <c r="BY190" s="420"/>
      <c r="BZ190" s="420"/>
      <c r="CA190" s="420"/>
      <c r="CB190" s="420"/>
      <c r="CC190" s="420"/>
      <c r="CD190" s="420"/>
      <c r="CE190" s="420"/>
      <c r="CF190" s="420"/>
      <c r="CG190" s="420"/>
      <c r="CH190" s="420"/>
      <c r="CI190" s="420"/>
      <c r="CJ190" s="420"/>
      <c r="CK190" s="420"/>
      <c r="CL190" s="420"/>
      <c r="CM190" s="420"/>
      <c r="CN190" s="420"/>
      <c r="CO190" s="420"/>
      <c r="CP190" s="420"/>
      <c r="CQ190" s="420"/>
      <c r="CR190" s="420"/>
      <c r="CS190" s="420"/>
      <c r="CT190" s="420"/>
      <c r="CU190" s="420"/>
      <c r="CV190" s="420"/>
      <c r="CW190" s="420"/>
      <c r="CX190" s="420"/>
      <c r="CY190" s="420"/>
      <c r="CZ190" s="420"/>
      <c r="DA190" s="420"/>
      <c r="DB190" s="420"/>
      <c r="DC190" s="420"/>
      <c r="DD190" s="420"/>
      <c r="DE190" s="420"/>
      <c r="DF190" s="420"/>
      <c r="DG190" s="420"/>
      <c r="DH190" s="420"/>
      <c r="DI190" s="420"/>
      <c r="DJ190" s="420"/>
      <c r="DK190" s="420"/>
      <c r="DL190" s="420"/>
      <c r="DM190" s="420"/>
      <c r="DN190" s="420"/>
      <c r="DO190" s="420"/>
      <c r="DP190" s="420"/>
      <c r="DQ190" s="420"/>
      <c r="DR190" s="420"/>
      <c r="DS190" s="420"/>
      <c r="DT190" s="420"/>
      <c r="DU190" s="420"/>
      <c r="DV190" s="420"/>
      <c r="DW190" s="420"/>
      <c r="DX190" s="420"/>
      <c r="DY190" s="420"/>
      <c r="DZ190" s="420"/>
      <c r="EA190" s="420"/>
      <c r="EB190" s="420"/>
      <c r="EC190" s="420"/>
      <c r="ED190" s="420"/>
      <c r="EE190" s="420"/>
      <c r="EF190" s="420"/>
      <c r="EG190" s="420"/>
      <c r="EH190" s="420"/>
      <c r="EI190" s="420"/>
      <c r="EJ190" s="420"/>
      <c r="EK190" s="420"/>
      <c r="EL190" s="420"/>
      <c r="EM190" s="420"/>
      <c r="EN190" s="420"/>
      <c r="EO190" s="420"/>
      <c r="EP190" s="420"/>
      <c r="EQ190" s="420"/>
      <c r="ER190" s="420"/>
      <c r="ES190" s="420"/>
      <c r="ET190" s="420"/>
      <c r="EU190" s="420"/>
      <c r="EV190" s="420"/>
      <c r="EW190" s="420"/>
      <c r="EX190" s="420"/>
      <c r="EY190" s="420"/>
      <c r="EZ190" s="420"/>
      <c r="FA190" s="420"/>
      <c r="FB190" s="420"/>
      <c r="FC190" s="420"/>
      <c r="FD190" s="420"/>
      <c r="FE190" s="420"/>
      <c r="FF190" s="420"/>
      <c r="FG190" s="420"/>
      <c r="FH190" s="420"/>
      <c r="FI190" s="420"/>
      <c r="FJ190" s="420"/>
      <c r="FK190" s="420"/>
      <c r="FL190" s="420"/>
      <c r="FM190" s="420"/>
      <c r="FN190" s="420"/>
      <c r="FO190" s="420"/>
      <c r="FP190" s="420"/>
      <c r="FQ190" s="420"/>
      <c r="FR190" s="420"/>
      <c r="FS190" s="420"/>
      <c r="FT190" s="420"/>
      <c r="FU190" s="420"/>
      <c r="FV190" s="420"/>
      <c r="FW190" s="420"/>
      <c r="FX190" s="420"/>
      <c r="FY190" s="420"/>
      <c r="FZ190" s="420"/>
      <c r="GA190" s="420"/>
      <c r="GB190" s="420"/>
      <c r="GC190" s="420"/>
      <c r="GD190" s="420"/>
      <c r="GE190" s="420"/>
      <c r="GF190" s="420"/>
      <c r="GG190" s="420"/>
      <c r="GH190" s="420"/>
      <c r="GI190" s="420"/>
      <c r="GJ190" s="420"/>
      <c r="GK190" s="420"/>
      <c r="GL190" s="420"/>
      <c r="GM190" s="420"/>
      <c r="GN190" s="420"/>
      <c r="GO190" s="420"/>
      <c r="GP190" s="420"/>
      <c r="GQ190" s="420"/>
      <c r="GR190" s="420"/>
      <c r="GS190" s="420"/>
      <c r="GT190" s="420"/>
      <c r="GU190" s="420"/>
      <c r="GV190" s="420"/>
      <c r="GW190" s="420"/>
      <c r="GX190" s="420"/>
      <c r="GY190" s="420"/>
      <c r="GZ190" s="420"/>
      <c r="HA190" s="420"/>
      <c r="HB190" s="420"/>
      <c r="HC190" s="420"/>
      <c r="HD190" s="420"/>
      <c r="HE190" s="420"/>
      <c r="HF190" s="420"/>
      <c r="HG190" s="420"/>
      <c r="HH190" s="420"/>
      <c r="HI190" s="420"/>
      <c r="HJ190" s="420"/>
      <c r="HK190" s="420"/>
      <c r="HL190" s="420"/>
      <c r="HM190" s="420"/>
      <c r="HN190" s="420"/>
      <c r="HO190" s="420"/>
      <c r="HP190" s="420"/>
      <c r="HQ190" s="420"/>
      <c r="HR190" s="420"/>
      <c r="HS190" s="420"/>
      <c r="HT190" s="420"/>
      <c r="HU190" s="420"/>
      <c r="HV190" s="420"/>
      <c r="HW190" s="420"/>
      <c r="HX190" s="420"/>
      <c r="HY190" s="420"/>
      <c r="HZ190" s="420"/>
      <c r="IA190" s="420"/>
      <c r="IB190" s="420"/>
      <c r="IC190" s="420"/>
      <c r="ID190" s="420"/>
      <c r="IE190" s="420"/>
      <c r="IF190" s="420"/>
      <c r="IG190" s="420"/>
      <c r="IH190" s="420"/>
      <c r="II190" s="420"/>
      <c r="IJ190" s="420"/>
      <c r="IK190" s="420"/>
      <c r="IL190" s="420"/>
      <c r="IM190" s="420"/>
      <c r="IN190" s="420"/>
      <c r="IO190" s="420"/>
      <c r="IP190" s="420"/>
      <c r="IQ190" s="420"/>
      <c r="IR190" s="420"/>
      <c r="IS190" s="420"/>
      <c r="IT190" s="420"/>
      <c r="IU190" s="420"/>
      <c r="IV190" s="420"/>
      <c r="IW190" s="420"/>
      <c r="IX190" s="420"/>
      <c r="IY190" s="420"/>
      <c r="IZ190" s="420"/>
      <c r="JA190" s="420"/>
    </row>
    <row r="191" spans="1:261" s="768" customFormat="1" ht="18" customHeight="1" x14ac:dyDescent="0.35">
      <c r="A191" s="783">
        <v>181</v>
      </c>
      <c r="B191" s="776"/>
      <c r="C191" s="422"/>
      <c r="D191" s="583" t="s">
        <v>1151</v>
      </c>
      <c r="E191" s="432"/>
      <c r="F191" s="432"/>
      <c r="G191" s="433"/>
      <c r="H191" s="1009"/>
      <c r="I191" s="1007"/>
      <c r="J191" s="432"/>
      <c r="K191" s="432">
        <f>SUM(K189:K190)</f>
        <v>500</v>
      </c>
      <c r="L191" s="432">
        <f>SUM(L189:L190)</f>
        <v>3506</v>
      </c>
      <c r="M191" s="432"/>
      <c r="N191" s="432"/>
      <c r="O191" s="777">
        <f>SUM(I191:N191)</f>
        <v>4006</v>
      </c>
      <c r="P191" s="773"/>
      <c r="Q191" s="420"/>
      <c r="R191" s="420"/>
      <c r="S191" s="420"/>
      <c r="T191" s="420"/>
      <c r="U191" s="420"/>
      <c r="V191" s="420"/>
      <c r="W191" s="420"/>
      <c r="X191" s="420"/>
      <c r="Y191" s="420"/>
      <c r="Z191" s="420"/>
      <c r="AA191" s="420"/>
      <c r="AB191" s="420"/>
      <c r="AC191" s="420"/>
      <c r="AD191" s="420"/>
      <c r="AE191" s="420"/>
      <c r="AF191" s="420"/>
      <c r="AG191" s="420"/>
      <c r="AH191" s="420"/>
      <c r="AI191" s="420"/>
      <c r="AJ191" s="420"/>
      <c r="AK191" s="420"/>
      <c r="AL191" s="420"/>
      <c r="AM191" s="420"/>
      <c r="AN191" s="420"/>
      <c r="AO191" s="420"/>
      <c r="AP191" s="420"/>
      <c r="AQ191" s="420"/>
      <c r="AR191" s="420"/>
      <c r="AS191" s="420"/>
      <c r="AT191" s="420"/>
      <c r="AU191" s="420"/>
      <c r="AV191" s="420"/>
      <c r="AW191" s="420"/>
      <c r="AX191" s="420"/>
      <c r="AY191" s="420"/>
      <c r="AZ191" s="420"/>
      <c r="BA191" s="420"/>
      <c r="BB191" s="420"/>
      <c r="BC191" s="420"/>
      <c r="BD191" s="420"/>
      <c r="BE191" s="420"/>
      <c r="BF191" s="420"/>
      <c r="BG191" s="420"/>
      <c r="BH191" s="420"/>
      <c r="BI191" s="420"/>
      <c r="BJ191" s="420"/>
      <c r="BK191" s="420"/>
      <c r="BL191" s="420"/>
      <c r="BM191" s="420"/>
      <c r="BN191" s="420"/>
      <c r="BO191" s="420"/>
      <c r="BP191" s="420"/>
      <c r="BQ191" s="420"/>
      <c r="BR191" s="420"/>
      <c r="BS191" s="420"/>
      <c r="BT191" s="420"/>
      <c r="BU191" s="420"/>
      <c r="BV191" s="420"/>
      <c r="BW191" s="420"/>
      <c r="BX191" s="420"/>
      <c r="BY191" s="420"/>
      <c r="BZ191" s="420"/>
      <c r="CA191" s="420"/>
      <c r="CB191" s="420"/>
      <c r="CC191" s="420"/>
      <c r="CD191" s="420"/>
      <c r="CE191" s="420"/>
      <c r="CF191" s="420"/>
      <c r="CG191" s="420"/>
      <c r="CH191" s="420"/>
      <c r="CI191" s="420"/>
      <c r="CJ191" s="420"/>
      <c r="CK191" s="420"/>
      <c r="CL191" s="420"/>
      <c r="CM191" s="420"/>
      <c r="CN191" s="420"/>
      <c r="CO191" s="420"/>
      <c r="CP191" s="420"/>
      <c r="CQ191" s="420"/>
      <c r="CR191" s="420"/>
      <c r="CS191" s="420"/>
      <c r="CT191" s="420"/>
      <c r="CU191" s="420"/>
      <c r="CV191" s="420"/>
      <c r="CW191" s="420"/>
      <c r="CX191" s="420"/>
      <c r="CY191" s="420"/>
      <c r="CZ191" s="420"/>
      <c r="DA191" s="420"/>
      <c r="DB191" s="420"/>
      <c r="DC191" s="420"/>
      <c r="DD191" s="420"/>
      <c r="DE191" s="420"/>
      <c r="DF191" s="420"/>
      <c r="DG191" s="420"/>
      <c r="DH191" s="420"/>
      <c r="DI191" s="420"/>
      <c r="DJ191" s="420"/>
      <c r="DK191" s="420"/>
      <c r="DL191" s="420"/>
      <c r="DM191" s="420"/>
      <c r="DN191" s="420"/>
      <c r="DO191" s="420"/>
      <c r="DP191" s="420"/>
      <c r="DQ191" s="420"/>
      <c r="DR191" s="420"/>
      <c r="DS191" s="420"/>
      <c r="DT191" s="420"/>
      <c r="DU191" s="420"/>
      <c r="DV191" s="420"/>
      <c r="DW191" s="420"/>
      <c r="DX191" s="420"/>
      <c r="DY191" s="420"/>
      <c r="DZ191" s="420"/>
      <c r="EA191" s="420"/>
      <c r="EB191" s="420"/>
      <c r="EC191" s="420"/>
      <c r="ED191" s="420"/>
      <c r="EE191" s="420"/>
      <c r="EF191" s="420"/>
      <c r="EG191" s="420"/>
      <c r="EH191" s="420"/>
      <c r="EI191" s="420"/>
      <c r="EJ191" s="420"/>
      <c r="EK191" s="420"/>
      <c r="EL191" s="420"/>
      <c r="EM191" s="420"/>
      <c r="EN191" s="420"/>
      <c r="EO191" s="420"/>
      <c r="EP191" s="420"/>
      <c r="EQ191" s="420"/>
      <c r="ER191" s="420"/>
      <c r="ES191" s="420"/>
      <c r="ET191" s="420"/>
      <c r="EU191" s="420"/>
      <c r="EV191" s="420"/>
      <c r="EW191" s="420"/>
      <c r="EX191" s="420"/>
      <c r="EY191" s="420"/>
      <c r="EZ191" s="420"/>
      <c r="FA191" s="420"/>
      <c r="FB191" s="420"/>
      <c r="FC191" s="420"/>
      <c r="FD191" s="420"/>
      <c r="FE191" s="420"/>
      <c r="FF191" s="420"/>
      <c r="FG191" s="420"/>
      <c r="FH191" s="420"/>
      <c r="FI191" s="420"/>
      <c r="FJ191" s="420"/>
      <c r="FK191" s="420"/>
      <c r="FL191" s="420"/>
      <c r="FM191" s="420"/>
      <c r="FN191" s="420"/>
      <c r="FO191" s="420"/>
      <c r="FP191" s="420"/>
      <c r="FQ191" s="420"/>
      <c r="FR191" s="420"/>
      <c r="FS191" s="420"/>
      <c r="FT191" s="420"/>
      <c r="FU191" s="420"/>
      <c r="FV191" s="420"/>
      <c r="FW191" s="420"/>
      <c r="FX191" s="420"/>
      <c r="FY191" s="420"/>
      <c r="FZ191" s="420"/>
      <c r="GA191" s="420"/>
      <c r="GB191" s="420"/>
      <c r="GC191" s="420"/>
      <c r="GD191" s="420"/>
      <c r="GE191" s="420"/>
      <c r="GF191" s="420"/>
      <c r="GG191" s="420"/>
      <c r="GH191" s="420"/>
      <c r="GI191" s="420"/>
      <c r="GJ191" s="420"/>
      <c r="GK191" s="420"/>
      <c r="GL191" s="420"/>
      <c r="GM191" s="420"/>
      <c r="GN191" s="420"/>
      <c r="GO191" s="420"/>
      <c r="GP191" s="420"/>
      <c r="GQ191" s="420"/>
      <c r="GR191" s="420"/>
      <c r="GS191" s="420"/>
      <c r="GT191" s="420"/>
      <c r="GU191" s="420"/>
      <c r="GV191" s="420"/>
      <c r="GW191" s="420"/>
      <c r="GX191" s="420"/>
      <c r="GY191" s="420"/>
      <c r="GZ191" s="420"/>
      <c r="HA191" s="420"/>
      <c r="HB191" s="420"/>
      <c r="HC191" s="420"/>
      <c r="HD191" s="420"/>
      <c r="HE191" s="420"/>
      <c r="HF191" s="420"/>
      <c r="HG191" s="420"/>
      <c r="HH191" s="420"/>
      <c r="HI191" s="420"/>
      <c r="HJ191" s="420"/>
      <c r="HK191" s="420"/>
      <c r="HL191" s="420"/>
      <c r="HM191" s="420"/>
      <c r="HN191" s="420"/>
      <c r="HO191" s="420"/>
      <c r="HP191" s="420"/>
      <c r="HQ191" s="420"/>
      <c r="HR191" s="420"/>
      <c r="HS191" s="420"/>
      <c r="HT191" s="420"/>
      <c r="HU191" s="420"/>
      <c r="HV191" s="420"/>
      <c r="HW191" s="420"/>
      <c r="HX191" s="420"/>
      <c r="HY191" s="420"/>
      <c r="HZ191" s="420"/>
      <c r="IA191" s="420"/>
      <c r="IB191" s="420"/>
      <c r="IC191" s="420"/>
      <c r="ID191" s="420"/>
      <c r="IE191" s="420"/>
      <c r="IF191" s="420"/>
      <c r="IG191" s="420"/>
      <c r="IH191" s="420"/>
      <c r="II191" s="420"/>
      <c r="IJ191" s="420"/>
      <c r="IK191" s="420"/>
      <c r="IL191" s="420"/>
      <c r="IM191" s="420"/>
      <c r="IN191" s="420"/>
      <c r="IO191" s="420"/>
      <c r="IP191" s="420"/>
      <c r="IQ191" s="420"/>
      <c r="IR191" s="420"/>
      <c r="IS191" s="420"/>
      <c r="IT191" s="420"/>
      <c r="IU191" s="420"/>
      <c r="IV191" s="420"/>
      <c r="IW191" s="420"/>
      <c r="IX191" s="420"/>
      <c r="IY191" s="420"/>
      <c r="IZ191" s="420"/>
      <c r="JA191" s="420"/>
    </row>
    <row r="192" spans="1:261" s="768" customFormat="1" ht="22.5" customHeight="1" x14ac:dyDescent="0.35">
      <c r="A192" s="783">
        <v>182</v>
      </c>
      <c r="B192" s="776"/>
      <c r="C192" s="466">
        <v>37</v>
      </c>
      <c r="D192" s="1047" t="s">
        <v>715</v>
      </c>
      <c r="E192" s="432"/>
      <c r="F192" s="432"/>
      <c r="G192" s="433"/>
      <c r="H192" s="1009" t="s">
        <v>24</v>
      </c>
      <c r="I192" s="1028"/>
      <c r="J192" s="1022"/>
      <c r="K192" s="1022"/>
      <c r="L192" s="1022"/>
      <c r="M192" s="1022"/>
      <c r="N192" s="1022"/>
      <c r="O192" s="992"/>
      <c r="P192" s="773"/>
      <c r="Q192" s="420"/>
      <c r="R192" s="420"/>
      <c r="S192" s="420"/>
      <c r="T192" s="420"/>
      <c r="U192" s="420"/>
      <c r="V192" s="420"/>
      <c r="W192" s="420"/>
      <c r="X192" s="420"/>
      <c r="Y192" s="420"/>
      <c r="Z192" s="420"/>
      <c r="AA192" s="420"/>
      <c r="AB192" s="420"/>
      <c r="AC192" s="420"/>
      <c r="AD192" s="420"/>
      <c r="AE192" s="420"/>
      <c r="AF192" s="420"/>
      <c r="AG192" s="420"/>
      <c r="AH192" s="420"/>
      <c r="AI192" s="420"/>
      <c r="AJ192" s="420"/>
      <c r="AK192" s="420"/>
      <c r="AL192" s="420"/>
      <c r="AM192" s="420"/>
      <c r="AN192" s="420"/>
      <c r="AO192" s="420"/>
      <c r="AP192" s="420"/>
      <c r="AQ192" s="420"/>
      <c r="AR192" s="420"/>
      <c r="AS192" s="420"/>
      <c r="AT192" s="420"/>
      <c r="AU192" s="420"/>
      <c r="AV192" s="420"/>
      <c r="AW192" s="420"/>
      <c r="AX192" s="420"/>
      <c r="AY192" s="420"/>
      <c r="AZ192" s="420"/>
      <c r="BA192" s="420"/>
      <c r="BB192" s="420"/>
      <c r="BC192" s="420"/>
      <c r="BD192" s="420"/>
      <c r="BE192" s="420"/>
      <c r="BF192" s="420"/>
      <c r="BG192" s="420"/>
      <c r="BH192" s="420"/>
      <c r="BI192" s="420"/>
      <c r="BJ192" s="420"/>
      <c r="BK192" s="420"/>
      <c r="BL192" s="420"/>
      <c r="BM192" s="420"/>
      <c r="BN192" s="420"/>
      <c r="BO192" s="420"/>
      <c r="BP192" s="420"/>
      <c r="BQ192" s="420"/>
      <c r="BR192" s="420"/>
      <c r="BS192" s="420"/>
      <c r="BT192" s="420"/>
      <c r="BU192" s="420"/>
      <c r="BV192" s="420"/>
      <c r="BW192" s="420"/>
      <c r="BX192" s="420"/>
      <c r="BY192" s="420"/>
      <c r="BZ192" s="420"/>
      <c r="CA192" s="420"/>
      <c r="CB192" s="420"/>
      <c r="CC192" s="420"/>
      <c r="CD192" s="420"/>
      <c r="CE192" s="420"/>
      <c r="CF192" s="420"/>
      <c r="CG192" s="420"/>
      <c r="CH192" s="420"/>
      <c r="CI192" s="420"/>
      <c r="CJ192" s="420"/>
      <c r="CK192" s="420"/>
      <c r="CL192" s="420"/>
      <c r="CM192" s="420"/>
      <c r="CN192" s="420"/>
      <c r="CO192" s="420"/>
      <c r="CP192" s="420"/>
      <c r="CQ192" s="420"/>
      <c r="CR192" s="420"/>
      <c r="CS192" s="420"/>
      <c r="CT192" s="420"/>
      <c r="CU192" s="420"/>
      <c r="CV192" s="420"/>
      <c r="CW192" s="420"/>
      <c r="CX192" s="420"/>
      <c r="CY192" s="420"/>
      <c r="CZ192" s="420"/>
      <c r="DA192" s="420"/>
      <c r="DB192" s="420"/>
      <c r="DC192" s="420"/>
      <c r="DD192" s="420"/>
      <c r="DE192" s="420"/>
      <c r="DF192" s="420"/>
      <c r="DG192" s="420"/>
      <c r="DH192" s="420"/>
      <c r="DI192" s="420"/>
      <c r="DJ192" s="420"/>
      <c r="DK192" s="420"/>
      <c r="DL192" s="420"/>
      <c r="DM192" s="420"/>
      <c r="DN192" s="420"/>
      <c r="DO192" s="420"/>
      <c r="DP192" s="420"/>
      <c r="DQ192" s="420"/>
      <c r="DR192" s="420"/>
      <c r="DS192" s="420"/>
      <c r="DT192" s="420"/>
      <c r="DU192" s="420"/>
      <c r="DV192" s="420"/>
      <c r="DW192" s="420"/>
      <c r="DX192" s="420"/>
      <c r="DY192" s="420"/>
      <c r="DZ192" s="420"/>
      <c r="EA192" s="420"/>
      <c r="EB192" s="420"/>
      <c r="EC192" s="420"/>
      <c r="ED192" s="420"/>
      <c r="EE192" s="420"/>
      <c r="EF192" s="420"/>
      <c r="EG192" s="420"/>
      <c r="EH192" s="420"/>
      <c r="EI192" s="420"/>
      <c r="EJ192" s="420"/>
      <c r="EK192" s="420"/>
      <c r="EL192" s="420"/>
      <c r="EM192" s="420"/>
      <c r="EN192" s="420"/>
      <c r="EO192" s="420"/>
      <c r="EP192" s="420"/>
      <c r="EQ192" s="420"/>
      <c r="ER192" s="420"/>
      <c r="ES192" s="420"/>
      <c r="ET192" s="420"/>
      <c r="EU192" s="420"/>
      <c r="EV192" s="420"/>
      <c r="EW192" s="420"/>
      <c r="EX192" s="420"/>
      <c r="EY192" s="420"/>
      <c r="EZ192" s="420"/>
      <c r="FA192" s="420"/>
      <c r="FB192" s="420"/>
      <c r="FC192" s="420"/>
      <c r="FD192" s="420"/>
      <c r="FE192" s="420"/>
      <c r="FF192" s="420"/>
      <c r="FG192" s="420"/>
      <c r="FH192" s="420"/>
      <c r="FI192" s="420"/>
      <c r="FJ192" s="420"/>
      <c r="FK192" s="420"/>
      <c r="FL192" s="420"/>
      <c r="FM192" s="420"/>
      <c r="FN192" s="420"/>
      <c r="FO192" s="420"/>
      <c r="FP192" s="420"/>
      <c r="FQ192" s="420"/>
      <c r="FR192" s="420"/>
      <c r="FS192" s="420"/>
      <c r="FT192" s="420"/>
      <c r="FU192" s="420"/>
      <c r="FV192" s="420"/>
      <c r="FW192" s="420"/>
      <c r="FX192" s="420"/>
      <c r="FY192" s="420"/>
      <c r="FZ192" s="420"/>
      <c r="GA192" s="420"/>
      <c r="GB192" s="420"/>
      <c r="GC192" s="420"/>
      <c r="GD192" s="420"/>
      <c r="GE192" s="420"/>
      <c r="GF192" s="420"/>
      <c r="GG192" s="420"/>
      <c r="GH192" s="420"/>
      <c r="GI192" s="420"/>
      <c r="GJ192" s="420"/>
      <c r="GK192" s="420"/>
      <c r="GL192" s="420"/>
      <c r="GM192" s="420"/>
      <c r="GN192" s="420"/>
      <c r="GO192" s="420"/>
      <c r="GP192" s="420"/>
      <c r="GQ192" s="420"/>
      <c r="GR192" s="420"/>
      <c r="GS192" s="420"/>
      <c r="GT192" s="420"/>
      <c r="GU192" s="420"/>
      <c r="GV192" s="420"/>
      <c r="GW192" s="420"/>
      <c r="GX192" s="420"/>
      <c r="GY192" s="420"/>
      <c r="GZ192" s="420"/>
      <c r="HA192" s="420"/>
      <c r="HB192" s="420"/>
      <c r="HC192" s="420"/>
      <c r="HD192" s="420"/>
      <c r="HE192" s="420"/>
      <c r="HF192" s="420"/>
      <c r="HG192" s="420"/>
      <c r="HH192" s="420"/>
      <c r="HI192" s="420"/>
      <c r="HJ192" s="420"/>
      <c r="HK192" s="420"/>
      <c r="HL192" s="420"/>
      <c r="HM192" s="420"/>
      <c r="HN192" s="420"/>
      <c r="HO192" s="420"/>
      <c r="HP192" s="420"/>
      <c r="HQ192" s="420"/>
      <c r="HR192" s="420"/>
      <c r="HS192" s="420"/>
      <c r="HT192" s="420"/>
      <c r="HU192" s="420"/>
      <c r="HV192" s="420"/>
      <c r="HW192" s="420"/>
      <c r="HX192" s="420"/>
      <c r="HY192" s="420"/>
      <c r="HZ192" s="420"/>
      <c r="IA192" s="420"/>
      <c r="IB192" s="420"/>
      <c r="IC192" s="420"/>
      <c r="ID192" s="420"/>
      <c r="IE192" s="420"/>
      <c r="IF192" s="420"/>
      <c r="IG192" s="420"/>
      <c r="IH192" s="420"/>
      <c r="II192" s="420"/>
      <c r="IJ192" s="420"/>
      <c r="IK192" s="420"/>
      <c r="IL192" s="420"/>
      <c r="IM192" s="420"/>
      <c r="IN192" s="420"/>
      <c r="IO192" s="420"/>
      <c r="IP192" s="420"/>
      <c r="IQ192" s="420"/>
      <c r="IR192" s="420"/>
      <c r="IS192" s="420"/>
      <c r="IT192" s="420"/>
      <c r="IU192" s="420"/>
      <c r="IV192" s="420"/>
      <c r="IW192" s="420"/>
      <c r="IX192" s="420"/>
      <c r="IY192" s="420"/>
      <c r="IZ192" s="420"/>
      <c r="JA192" s="420"/>
    </row>
    <row r="193" spans="1:261" s="768" customFormat="1" ht="18" customHeight="1" x14ac:dyDescent="0.35">
      <c r="A193" s="783">
        <v>183</v>
      </c>
      <c r="B193" s="776"/>
      <c r="C193" s="422"/>
      <c r="D193" s="1002" t="s">
        <v>311</v>
      </c>
      <c r="E193" s="432">
        <f>F193+G193+O196+P193</f>
        <v>0</v>
      </c>
      <c r="F193" s="432"/>
      <c r="G193" s="433"/>
      <c r="H193" s="1009"/>
      <c r="I193" s="1028"/>
      <c r="J193" s="1022"/>
      <c r="K193" s="1022">
        <v>2628</v>
      </c>
      <c r="L193" s="1022"/>
      <c r="M193" s="1022"/>
      <c r="N193" s="1022"/>
      <c r="O193" s="992">
        <f>SUM(I193:N193)</f>
        <v>2628</v>
      </c>
      <c r="P193" s="773"/>
      <c r="Q193" s="420"/>
      <c r="R193" s="420"/>
      <c r="S193" s="420"/>
      <c r="T193" s="420"/>
      <c r="U193" s="420"/>
      <c r="V193" s="420"/>
      <c r="W193" s="420"/>
      <c r="X193" s="420"/>
      <c r="Y193" s="420"/>
      <c r="Z193" s="420"/>
      <c r="AA193" s="420"/>
      <c r="AB193" s="420"/>
      <c r="AC193" s="420"/>
      <c r="AD193" s="420"/>
      <c r="AE193" s="420"/>
      <c r="AF193" s="420"/>
      <c r="AG193" s="420"/>
      <c r="AH193" s="420"/>
      <c r="AI193" s="420"/>
      <c r="AJ193" s="420"/>
      <c r="AK193" s="420"/>
      <c r="AL193" s="420"/>
      <c r="AM193" s="420"/>
      <c r="AN193" s="420"/>
      <c r="AO193" s="420"/>
      <c r="AP193" s="420"/>
      <c r="AQ193" s="420"/>
      <c r="AR193" s="420"/>
      <c r="AS193" s="420"/>
      <c r="AT193" s="420"/>
      <c r="AU193" s="420"/>
      <c r="AV193" s="420"/>
      <c r="AW193" s="420"/>
      <c r="AX193" s="420"/>
      <c r="AY193" s="420"/>
      <c r="AZ193" s="420"/>
      <c r="BA193" s="420"/>
      <c r="BB193" s="420"/>
      <c r="BC193" s="420"/>
      <c r="BD193" s="420"/>
      <c r="BE193" s="420"/>
      <c r="BF193" s="420"/>
      <c r="BG193" s="420"/>
      <c r="BH193" s="420"/>
      <c r="BI193" s="420"/>
      <c r="BJ193" s="420"/>
      <c r="BK193" s="420"/>
      <c r="BL193" s="420"/>
      <c r="BM193" s="420"/>
      <c r="BN193" s="420"/>
      <c r="BO193" s="420"/>
      <c r="BP193" s="420"/>
      <c r="BQ193" s="420"/>
      <c r="BR193" s="420"/>
      <c r="BS193" s="420"/>
      <c r="BT193" s="420"/>
      <c r="BU193" s="420"/>
      <c r="BV193" s="420"/>
      <c r="BW193" s="420"/>
      <c r="BX193" s="420"/>
      <c r="BY193" s="420"/>
      <c r="BZ193" s="420"/>
      <c r="CA193" s="420"/>
      <c r="CB193" s="420"/>
      <c r="CC193" s="420"/>
      <c r="CD193" s="420"/>
      <c r="CE193" s="420"/>
      <c r="CF193" s="420"/>
      <c r="CG193" s="420"/>
      <c r="CH193" s="420"/>
      <c r="CI193" s="420"/>
      <c r="CJ193" s="420"/>
      <c r="CK193" s="420"/>
      <c r="CL193" s="420"/>
      <c r="CM193" s="420"/>
      <c r="CN193" s="420"/>
      <c r="CO193" s="420"/>
      <c r="CP193" s="420"/>
      <c r="CQ193" s="420"/>
      <c r="CR193" s="420"/>
      <c r="CS193" s="420"/>
      <c r="CT193" s="420"/>
      <c r="CU193" s="420"/>
      <c r="CV193" s="420"/>
      <c r="CW193" s="420"/>
      <c r="CX193" s="420"/>
      <c r="CY193" s="420"/>
      <c r="CZ193" s="420"/>
      <c r="DA193" s="420"/>
      <c r="DB193" s="420"/>
      <c r="DC193" s="420"/>
      <c r="DD193" s="420"/>
      <c r="DE193" s="420"/>
      <c r="DF193" s="420"/>
      <c r="DG193" s="420"/>
      <c r="DH193" s="420"/>
      <c r="DI193" s="420"/>
      <c r="DJ193" s="420"/>
      <c r="DK193" s="420"/>
      <c r="DL193" s="420"/>
      <c r="DM193" s="420"/>
      <c r="DN193" s="420"/>
      <c r="DO193" s="420"/>
      <c r="DP193" s="420"/>
      <c r="DQ193" s="420"/>
      <c r="DR193" s="420"/>
      <c r="DS193" s="420"/>
      <c r="DT193" s="420"/>
      <c r="DU193" s="420"/>
      <c r="DV193" s="420"/>
      <c r="DW193" s="420"/>
      <c r="DX193" s="420"/>
      <c r="DY193" s="420"/>
      <c r="DZ193" s="420"/>
      <c r="EA193" s="420"/>
      <c r="EB193" s="420"/>
      <c r="EC193" s="420"/>
      <c r="ED193" s="420"/>
      <c r="EE193" s="420"/>
      <c r="EF193" s="420"/>
      <c r="EG193" s="420"/>
      <c r="EH193" s="420"/>
      <c r="EI193" s="420"/>
      <c r="EJ193" s="420"/>
      <c r="EK193" s="420"/>
      <c r="EL193" s="420"/>
      <c r="EM193" s="420"/>
      <c r="EN193" s="420"/>
      <c r="EO193" s="420"/>
      <c r="EP193" s="420"/>
      <c r="EQ193" s="420"/>
      <c r="ER193" s="420"/>
      <c r="ES193" s="420"/>
      <c r="ET193" s="420"/>
      <c r="EU193" s="420"/>
      <c r="EV193" s="420"/>
      <c r="EW193" s="420"/>
      <c r="EX193" s="420"/>
      <c r="EY193" s="420"/>
      <c r="EZ193" s="420"/>
      <c r="FA193" s="420"/>
      <c r="FB193" s="420"/>
      <c r="FC193" s="420"/>
      <c r="FD193" s="420"/>
      <c r="FE193" s="420"/>
      <c r="FF193" s="420"/>
      <c r="FG193" s="420"/>
      <c r="FH193" s="420"/>
      <c r="FI193" s="420"/>
      <c r="FJ193" s="420"/>
      <c r="FK193" s="420"/>
      <c r="FL193" s="420"/>
      <c r="FM193" s="420"/>
      <c r="FN193" s="420"/>
      <c r="FO193" s="420"/>
      <c r="FP193" s="420"/>
      <c r="FQ193" s="420"/>
      <c r="FR193" s="420"/>
      <c r="FS193" s="420"/>
      <c r="FT193" s="420"/>
      <c r="FU193" s="420"/>
      <c r="FV193" s="420"/>
      <c r="FW193" s="420"/>
      <c r="FX193" s="420"/>
      <c r="FY193" s="420"/>
      <c r="FZ193" s="420"/>
      <c r="GA193" s="420"/>
      <c r="GB193" s="420"/>
      <c r="GC193" s="420"/>
      <c r="GD193" s="420"/>
      <c r="GE193" s="420"/>
      <c r="GF193" s="420"/>
      <c r="GG193" s="420"/>
      <c r="GH193" s="420"/>
      <c r="GI193" s="420"/>
      <c r="GJ193" s="420"/>
      <c r="GK193" s="420"/>
      <c r="GL193" s="420"/>
      <c r="GM193" s="420"/>
      <c r="GN193" s="420"/>
      <c r="GO193" s="420"/>
      <c r="GP193" s="420"/>
      <c r="GQ193" s="420"/>
      <c r="GR193" s="420"/>
      <c r="GS193" s="420"/>
      <c r="GT193" s="420"/>
      <c r="GU193" s="420"/>
      <c r="GV193" s="420"/>
      <c r="GW193" s="420"/>
      <c r="GX193" s="420"/>
      <c r="GY193" s="420"/>
      <c r="GZ193" s="420"/>
      <c r="HA193" s="420"/>
      <c r="HB193" s="420"/>
      <c r="HC193" s="420"/>
      <c r="HD193" s="420"/>
      <c r="HE193" s="420"/>
      <c r="HF193" s="420"/>
      <c r="HG193" s="420"/>
      <c r="HH193" s="420"/>
      <c r="HI193" s="420"/>
      <c r="HJ193" s="420"/>
      <c r="HK193" s="420"/>
      <c r="HL193" s="420"/>
      <c r="HM193" s="420"/>
      <c r="HN193" s="420"/>
      <c r="HO193" s="420"/>
      <c r="HP193" s="420"/>
      <c r="HQ193" s="420"/>
      <c r="HR193" s="420"/>
      <c r="HS193" s="420"/>
      <c r="HT193" s="420"/>
      <c r="HU193" s="420"/>
      <c r="HV193" s="420"/>
      <c r="HW193" s="420"/>
      <c r="HX193" s="420"/>
      <c r="HY193" s="420"/>
      <c r="HZ193" s="420"/>
      <c r="IA193" s="420"/>
      <c r="IB193" s="420"/>
      <c r="IC193" s="420"/>
      <c r="ID193" s="420"/>
      <c r="IE193" s="420"/>
      <c r="IF193" s="420"/>
      <c r="IG193" s="420"/>
      <c r="IH193" s="420"/>
      <c r="II193" s="420"/>
      <c r="IJ193" s="420"/>
      <c r="IK193" s="420"/>
      <c r="IL193" s="420"/>
      <c r="IM193" s="420"/>
      <c r="IN193" s="420"/>
      <c r="IO193" s="420"/>
      <c r="IP193" s="420"/>
      <c r="IQ193" s="420"/>
      <c r="IR193" s="420"/>
      <c r="IS193" s="420"/>
      <c r="IT193" s="420"/>
      <c r="IU193" s="420"/>
      <c r="IV193" s="420"/>
      <c r="IW193" s="420"/>
      <c r="IX193" s="420"/>
      <c r="IY193" s="420"/>
      <c r="IZ193" s="420"/>
      <c r="JA193" s="420"/>
    </row>
    <row r="194" spans="1:261" s="768" customFormat="1" ht="18" customHeight="1" x14ac:dyDescent="0.35">
      <c r="A194" s="783">
        <v>184</v>
      </c>
      <c r="B194" s="776"/>
      <c r="C194" s="422"/>
      <c r="D194" s="583" t="s">
        <v>1072</v>
      </c>
      <c r="E194" s="432"/>
      <c r="F194" s="432"/>
      <c r="G194" s="433"/>
      <c r="H194" s="1009"/>
      <c r="I194" s="1028"/>
      <c r="J194" s="1022"/>
      <c r="K194" s="432">
        <v>0</v>
      </c>
      <c r="L194" s="1022"/>
      <c r="M194" s="1022"/>
      <c r="N194" s="1022"/>
      <c r="O194" s="777">
        <f>SUM(I194:N194)</f>
        <v>0</v>
      </c>
      <c r="P194" s="773"/>
      <c r="Q194" s="420"/>
      <c r="R194" s="420"/>
      <c r="S194" s="420"/>
      <c r="T194" s="420"/>
      <c r="U194" s="420"/>
      <c r="V194" s="420"/>
      <c r="W194" s="420"/>
      <c r="X194" s="420"/>
      <c r="Y194" s="420"/>
      <c r="Z194" s="420"/>
      <c r="AA194" s="420"/>
      <c r="AB194" s="420"/>
      <c r="AC194" s="420"/>
      <c r="AD194" s="420"/>
      <c r="AE194" s="420"/>
      <c r="AF194" s="420"/>
      <c r="AG194" s="420"/>
      <c r="AH194" s="420"/>
      <c r="AI194" s="420"/>
      <c r="AJ194" s="420"/>
      <c r="AK194" s="420"/>
      <c r="AL194" s="420"/>
      <c r="AM194" s="420"/>
      <c r="AN194" s="420"/>
      <c r="AO194" s="420"/>
      <c r="AP194" s="420"/>
      <c r="AQ194" s="420"/>
      <c r="AR194" s="420"/>
      <c r="AS194" s="420"/>
      <c r="AT194" s="420"/>
      <c r="AU194" s="420"/>
      <c r="AV194" s="420"/>
      <c r="AW194" s="420"/>
      <c r="AX194" s="420"/>
      <c r="AY194" s="420"/>
      <c r="AZ194" s="420"/>
      <c r="BA194" s="420"/>
      <c r="BB194" s="420"/>
      <c r="BC194" s="420"/>
      <c r="BD194" s="420"/>
      <c r="BE194" s="420"/>
      <c r="BF194" s="420"/>
      <c r="BG194" s="420"/>
      <c r="BH194" s="420"/>
      <c r="BI194" s="420"/>
      <c r="BJ194" s="420"/>
      <c r="BK194" s="420"/>
      <c r="BL194" s="420"/>
      <c r="BM194" s="420"/>
      <c r="BN194" s="420"/>
      <c r="BO194" s="420"/>
      <c r="BP194" s="420"/>
      <c r="BQ194" s="420"/>
      <c r="BR194" s="420"/>
      <c r="BS194" s="420"/>
      <c r="BT194" s="420"/>
      <c r="BU194" s="420"/>
      <c r="BV194" s="420"/>
      <c r="BW194" s="420"/>
      <c r="BX194" s="420"/>
      <c r="BY194" s="420"/>
      <c r="BZ194" s="420"/>
      <c r="CA194" s="420"/>
      <c r="CB194" s="420"/>
      <c r="CC194" s="420"/>
      <c r="CD194" s="420"/>
      <c r="CE194" s="420"/>
      <c r="CF194" s="420"/>
      <c r="CG194" s="420"/>
      <c r="CH194" s="420"/>
      <c r="CI194" s="420"/>
      <c r="CJ194" s="420"/>
      <c r="CK194" s="420"/>
      <c r="CL194" s="420"/>
      <c r="CM194" s="420"/>
      <c r="CN194" s="420"/>
      <c r="CO194" s="420"/>
      <c r="CP194" s="420"/>
      <c r="CQ194" s="420"/>
      <c r="CR194" s="420"/>
      <c r="CS194" s="420"/>
      <c r="CT194" s="420"/>
      <c r="CU194" s="420"/>
      <c r="CV194" s="420"/>
      <c r="CW194" s="420"/>
      <c r="CX194" s="420"/>
      <c r="CY194" s="420"/>
      <c r="CZ194" s="420"/>
      <c r="DA194" s="420"/>
      <c r="DB194" s="420"/>
      <c r="DC194" s="420"/>
      <c r="DD194" s="420"/>
      <c r="DE194" s="420"/>
      <c r="DF194" s="420"/>
      <c r="DG194" s="420"/>
      <c r="DH194" s="420"/>
      <c r="DI194" s="420"/>
      <c r="DJ194" s="420"/>
      <c r="DK194" s="420"/>
      <c r="DL194" s="420"/>
      <c r="DM194" s="420"/>
      <c r="DN194" s="420"/>
      <c r="DO194" s="420"/>
      <c r="DP194" s="420"/>
      <c r="DQ194" s="420"/>
      <c r="DR194" s="420"/>
      <c r="DS194" s="420"/>
      <c r="DT194" s="420"/>
      <c r="DU194" s="420"/>
      <c r="DV194" s="420"/>
      <c r="DW194" s="420"/>
      <c r="DX194" s="420"/>
      <c r="DY194" s="420"/>
      <c r="DZ194" s="420"/>
      <c r="EA194" s="420"/>
      <c r="EB194" s="420"/>
      <c r="EC194" s="420"/>
      <c r="ED194" s="420"/>
      <c r="EE194" s="420"/>
      <c r="EF194" s="420"/>
      <c r="EG194" s="420"/>
      <c r="EH194" s="420"/>
      <c r="EI194" s="420"/>
      <c r="EJ194" s="420"/>
      <c r="EK194" s="420"/>
      <c r="EL194" s="420"/>
      <c r="EM194" s="420"/>
      <c r="EN194" s="420"/>
      <c r="EO194" s="420"/>
      <c r="EP194" s="420"/>
      <c r="EQ194" s="420"/>
      <c r="ER194" s="420"/>
      <c r="ES194" s="420"/>
      <c r="ET194" s="420"/>
      <c r="EU194" s="420"/>
      <c r="EV194" s="420"/>
      <c r="EW194" s="420"/>
      <c r="EX194" s="420"/>
      <c r="EY194" s="420"/>
      <c r="EZ194" s="420"/>
      <c r="FA194" s="420"/>
      <c r="FB194" s="420"/>
      <c r="FC194" s="420"/>
      <c r="FD194" s="420"/>
      <c r="FE194" s="420"/>
      <c r="FF194" s="420"/>
      <c r="FG194" s="420"/>
      <c r="FH194" s="420"/>
      <c r="FI194" s="420"/>
      <c r="FJ194" s="420"/>
      <c r="FK194" s="420"/>
      <c r="FL194" s="420"/>
      <c r="FM194" s="420"/>
      <c r="FN194" s="420"/>
      <c r="FO194" s="420"/>
      <c r="FP194" s="420"/>
      <c r="FQ194" s="420"/>
      <c r="FR194" s="420"/>
      <c r="FS194" s="420"/>
      <c r="FT194" s="420"/>
      <c r="FU194" s="420"/>
      <c r="FV194" s="420"/>
      <c r="FW194" s="420"/>
      <c r="FX194" s="420"/>
      <c r="FY194" s="420"/>
      <c r="FZ194" s="420"/>
      <c r="GA194" s="420"/>
      <c r="GB194" s="420"/>
      <c r="GC194" s="420"/>
      <c r="GD194" s="420"/>
      <c r="GE194" s="420"/>
      <c r="GF194" s="420"/>
      <c r="GG194" s="420"/>
      <c r="GH194" s="420"/>
      <c r="GI194" s="420"/>
      <c r="GJ194" s="420"/>
      <c r="GK194" s="420"/>
      <c r="GL194" s="420"/>
      <c r="GM194" s="420"/>
      <c r="GN194" s="420"/>
      <c r="GO194" s="420"/>
      <c r="GP194" s="420"/>
      <c r="GQ194" s="420"/>
      <c r="GR194" s="420"/>
      <c r="GS194" s="420"/>
      <c r="GT194" s="420"/>
      <c r="GU194" s="420"/>
      <c r="GV194" s="420"/>
      <c r="GW194" s="420"/>
      <c r="GX194" s="420"/>
      <c r="GY194" s="420"/>
      <c r="GZ194" s="420"/>
      <c r="HA194" s="420"/>
      <c r="HB194" s="420"/>
      <c r="HC194" s="420"/>
      <c r="HD194" s="420"/>
      <c r="HE194" s="420"/>
      <c r="HF194" s="420"/>
      <c r="HG194" s="420"/>
      <c r="HH194" s="420"/>
      <c r="HI194" s="420"/>
      <c r="HJ194" s="420"/>
      <c r="HK194" s="420"/>
      <c r="HL194" s="420"/>
      <c r="HM194" s="420"/>
      <c r="HN194" s="420"/>
      <c r="HO194" s="420"/>
      <c r="HP194" s="420"/>
      <c r="HQ194" s="420"/>
      <c r="HR194" s="420"/>
      <c r="HS194" s="420"/>
      <c r="HT194" s="420"/>
      <c r="HU194" s="420"/>
      <c r="HV194" s="420"/>
      <c r="HW194" s="420"/>
      <c r="HX194" s="420"/>
      <c r="HY194" s="420"/>
      <c r="HZ194" s="420"/>
      <c r="IA194" s="420"/>
      <c r="IB194" s="420"/>
      <c r="IC194" s="420"/>
      <c r="ID194" s="420"/>
      <c r="IE194" s="420"/>
      <c r="IF194" s="420"/>
      <c r="IG194" s="420"/>
      <c r="IH194" s="420"/>
      <c r="II194" s="420"/>
      <c r="IJ194" s="420"/>
      <c r="IK194" s="420"/>
      <c r="IL194" s="420"/>
      <c r="IM194" s="420"/>
      <c r="IN194" s="420"/>
      <c r="IO194" s="420"/>
      <c r="IP194" s="420"/>
      <c r="IQ194" s="420"/>
      <c r="IR194" s="420"/>
      <c r="IS194" s="420"/>
      <c r="IT194" s="420"/>
      <c r="IU194" s="420"/>
      <c r="IV194" s="420"/>
      <c r="IW194" s="420"/>
      <c r="IX194" s="420"/>
      <c r="IY194" s="420"/>
      <c r="IZ194" s="420"/>
      <c r="JA194" s="420"/>
    </row>
    <row r="195" spans="1:261" s="768" customFormat="1" ht="18" customHeight="1" x14ac:dyDescent="0.35">
      <c r="A195" s="783">
        <v>185</v>
      </c>
      <c r="B195" s="776"/>
      <c r="C195" s="422"/>
      <c r="D195" s="1338" t="s">
        <v>963</v>
      </c>
      <c r="E195" s="432"/>
      <c r="F195" s="432"/>
      <c r="G195" s="433"/>
      <c r="H195" s="1009"/>
      <c r="I195" s="1007"/>
      <c r="J195" s="432"/>
      <c r="K195" s="432"/>
      <c r="L195" s="432"/>
      <c r="M195" s="432"/>
      <c r="N195" s="432"/>
      <c r="O195" s="1623">
        <f>SUM(I195:N195)</f>
        <v>0</v>
      </c>
      <c r="P195" s="773"/>
      <c r="Q195" s="420"/>
      <c r="R195" s="420"/>
      <c r="S195" s="420"/>
      <c r="T195" s="420"/>
      <c r="U195" s="420"/>
      <c r="V195" s="420"/>
      <c r="W195" s="420"/>
      <c r="X195" s="420"/>
      <c r="Y195" s="420"/>
      <c r="Z195" s="420"/>
      <c r="AA195" s="420"/>
      <c r="AB195" s="420"/>
      <c r="AC195" s="420"/>
      <c r="AD195" s="420"/>
      <c r="AE195" s="420"/>
      <c r="AF195" s="420"/>
      <c r="AG195" s="420"/>
      <c r="AH195" s="420"/>
      <c r="AI195" s="420"/>
      <c r="AJ195" s="420"/>
      <c r="AK195" s="420"/>
      <c r="AL195" s="420"/>
      <c r="AM195" s="420"/>
      <c r="AN195" s="420"/>
      <c r="AO195" s="420"/>
      <c r="AP195" s="420"/>
      <c r="AQ195" s="420"/>
      <c r="AR195" s="420"/>
      <c r="AS195" s="420"/>
      <c r="AT195" s="420"/>
      <c r="AU195" s="420"/>
      <c r="AV195" s="420"/>
      <c r="AW195" s="420"/>
      <c r="AX195" s="420"/>
      <c r="AY195" s="420"/>
      <c r="AZ195" s="420"/>
      <c r="BA195" s="420"/>
      <c r="BB195" s="420"/>
      <c r="BC195" s="420"/>
      <c r="BD195" s="420"/>
      <c r="BE195" s="420"/>
      <c r="BF195" s="420"/>
      <c r="BG195" s="420"/>
      <c r="BH195" s="420"/>
      <c r="BI195" s="420"/>
      <c r="BJ195" s="420"/>
      <c r="BK195" s="420"/>
      <c r="BL195" s="420"/>
      <c r="BM195" s="420"/>
      <c r="BN195" s="420"/>
      <c r="BO195" s="420"/>
      <c r="BP195" s="420"/>
      <c r="BQ195" s="420"/>
      <c r="BR195" s="420"/>
      <c r="BS195" s="420"/>
      <c r="BT195" s="420"/>
      <c r="BU195" s="420"/>
      <c r="BV195" s="420"/>
      <c r="BW195" s="420"/>
      <c r="BX195" s="420"/>
      <c r="BY195" s="420"/>
      <c r="BZ195" s="420"/>
      <c r="CA195" s="420"/>
      <c r="CB195" s="420"/>
      <c r="CC195" s="420"/>
      <c r="CD195" s="420"/>
      <c r="CE195" s="420"/>
      <c r="CF195" s="420"/>
      <c r="CG195" s="420"/>
      <c r="CH195" s="420"/>
      <c r="CI195" s="420"/>
      <c r="CJ195" s="420"/>
      <c r="CK195" s="420"/>
      <c r="CL195" s="420"/>
      <c r="CM195" s="420"/>
      <c r="CN195" s="420"/>
      <c r="CO195" s="420"/>
      <c r="CP195" s="420"/>
      <c r="CQ195" s="420"/>
      <c r="CR195" s="420"/>
      <c r="CS195" s="420"/>
      <c r="CT195" s="420"/>
      <c r="CU195" s="420"/>
      <c r="CV195" s="420"/>
      <c r="CW195" s="420"/>
      <c r="CX195" s="420"/>
      <c r="CY195" s="420"/>
      <c r="CZ195" s="420"/>
      <c r="DA195" s="420"/>
      <c r="DB195" s="420"/>
      <c r="DC195" s="420"/>
      <c r="DD195" s="420"/>
      <c r="DE195" s="420"/>
      <c r="DF195" s="420"/>
      <c r="DG195" s="420"/>
      <c r="DH195" s="420"/>
      <c r="DI195" s="420"/>
      <c r="DJ195" s="420"/>
      <c r="DK195" s="420"/>
      <c r="DL195" s="420"/>
      <c r="DM195" s="420"/>
      <c r="DN195" s="420"/>
      <c r="DO195" s="420"/>
      <c r="DP195" s="420"/>
      <c r="DQ195" s="420"/>
      <c r="DR195" s="420"/>
      <c r="DS195" s="420"/>
      <c r="DT195" s="420"/>
      <c r="DU195" s="420"/>
      <c r="DV195" s="420"/>
      <c r="DW195" s="420"/>
      <c r="DX195" s="420"/>
      <c r="DY195" s="420"/>
      <c r="DZ195" s="420"/>
      <c r="EA195" s="420"/>
      <c r="EB195" s="420"/>
      <c r="EC195" s="420"/>
      <c r="ED195" s="420"/>
      <c r="EE195" s="420"/>
      <c r="EF195" s="420"/>
      <c r="EG195" s="420"/>
      <c r="EH195" s="420"/>
      <c r="EI195" s="420"/>
      <c r="EJ195" s="420"/>
      <c r="EK195" s="420"/>
      <c r="EL195" s="420"/>
      <c r="EM195" s="420"/>
      <c r="EN195" s="420"/>
      <c r="EO195" s="420"/>
      <c r="EP195" s="420"/>
      <c r="EQ195" s="420"/>
      <c r="ER195" s="420"/>
      <c r="ES195" s="420"/>
      <c r="ET195" s="420"/>
      <c r="EU195" s="420"/>
      <c r="EV195" s="420"/>
      <c r="EW195" s="420"/>
      <c r="EX195" s="420"/>
      <c r="EY195" s="420"/>
      <c r="EZ195" s="420"/>
      <c r="FA195" s="420"/>
      <c r="FB195" s="420"/>
      <c r="FC195" s="420"/>
      <c r="FD195" s="420"/>
      <c r="FE195" s="420"/>
      <c r="FF195" s="420"/>
      <c r="FG195" s="420"/>
      <c r="FH195" s="420"/>
      <c r="FI195" s="420"/>
      <c r="FJ195" s="420"/>
      <c r="FK195" s="420"/>
      <c r="FL195" s="420"/>
      <c r="FM195" s="420"/>
      <c r="FN195" s="420"/>
      <c r="FO195" s="420"/>
      <c r="FP195" s="420"/>
      <c r="FQ195" s="420"/>
      <c r="FR195" s="420"/>
      <c r="FS195" s="420"/>
      <c r="FT195" s="420"/>
      <c r="FU195" s="420"/>
      <c r="FV195" s="420"/>
      <c r="FW195" s="420"/>
      <c r="FX195" s="420"/>
      <c r="FY195" s="420"/>
      <c r="FZ195" s="420"/>
      <c r="GA195" s="420"/>
      <c r="GB195" s="420"/>
      <c r="GC195" s="420"/>
      <c r="GD195" s="420"/>
      <c r="GE195" s="420"/>
      <c r="GF195" s="420"/>
      <c r="GG195" s="420"/>
      <c r="GH195" s="420"/>
      <c r="GI195" s="420"/>
      <c r="GJ195" s="420"/>
      <c r="GK195" s="420"/>
      <c r="GL195" s="420"/>
      <c r="GM195" s="420"/>
      <c r="GN195" s="420"/>
      <c r="GO195" s="420"/>
      <c r="GP195" s="420"/>
      <c r="GQ195" s="420"/>
      <c r="GR195" s="420"/>
      <c r="GS195" s="420"/>
      <c r="GT195" s="420"/>
      <c r="GU195" s="420"/>
      <c r="GV195" s="420"/>
      <c r="GW195" s="420"/>
      <c r="GX195" s="420"/>
      <c r="GY195" s="420"/>
      <c r="GZ195" s="420"/>
      <c r="HA195" s="420"/>
      <c r="HB195" s="420"/>
      <c r="HC195" s="420"/>
      <c r="HD195" s="420"/>
      <c r="HE195" s="420"/>
      <c r="HF195" s="420"/>
      <c r="HG195" s="420"/>
      <c r="HH195" s="420"/>
      <c r="HI195" s="420"/>
      <c r="HJ195" s="420"/>
      <c r="HK195" s="420"/>
      <c r="HL195" s="420"/>
      <c r="HM195" s="420"/>
      <c r="HN195" s="420"/>
      <c r="HO195" s="420"/>
      <c r="HP195" s="420"/>
      <c r="HQ195" s="420"/>
      <c r="HR195" s="420"/>
      <c r="HS195" s="420"/>
      <c r="HT195" s="420"/>
      <c r="HU195" s="420"/>
      <c r="HV195" s="420"/>
      <c r="HW195" s="420"/>
      <c r="HX195" s="420"/>
      <c r="HY195" s="420"/>
      <c r="HZ195" s="420"/>
      <c r="IA195" s="420"/>
      <c r="IB195" s="420"/>
      <c r="IC195" s="420"/>
      <c r="ID195" s="420"/>
      <c r="IE195" s="420"/>
      <c r="IF195" s="420"/>
      <c r="IG195" s="420"/>
      <c r="IH195" s="420"/>
      <c r="II195" s="420"/>
      <c r="IJ195" s="420"/>
      <c r="IK195" s="420"/>
      <c r="IL195" s="420"/>
      <c r="IM195" s="420"/>
      <c r="IN195" s="420"/>
      <c r="IO195" s="420"/>
      <c r="IP195" s="420"/>
      <c r="IQ195" s="420"/>
      <c r="IR195" s="420"/>
      <c r="IS195" s="420"/>
      <c r="IT195" s="420"/>
      <c r="IU195" s="420"/>
      <c r="IV195" s="420"/>
      <c r="IW195" s="420"/>
      <c r="IX195" s="420"/>
      <c r="IY195" s="420"/>
      <c r="IZ195" s="420"/>
      <c r="JA195" s="420"/>
    </row>
    <row r="196" spans="1:261" s="768" customFormat="1" ht="18" customHeight="1" x14ac:dyDescent="0.35">
      <c r="A196" s="783">
        <v>186</v>
      </c>
      <c r="B196" s="776"/>
      <c r="C196" s="422"/>
      <c r="D196" s="583" t="s">
        <v>1151</v>
      </c>
      <c r="E196" s="432"/>
      <c r="F196" s="432"/>
      <c r="G196" s="433"/>
      <c r="H196" s="1009"/>
      <c r="I196" s="1007"/>
      <c r="J196" s="432"/>
      <c r="K196" s="432">
        <f>SUM(K194:K195)</f>
        <v>0</v>
      </c>
      <c r="L196" s="432"/>
      <c r="M196" s="432"/>
      <c r="N196" s="432"/>
      <c r="O196" s="777">
        <f>SUM(I196:N196)</f>
        <v>0</v>
      </c>
      <c r="P196" s="773"/>
      <c r="Q196" s="420"/>
      <c r="R196" s="420"/>
      <c r="S196" s="420"/>
      <c r="T196" s="420"/>
      <c r="U196" s="420"/>
      <c r="V196" s="420"/>
      <c r="W196" s="420"/>
      <c r="X196" s="420"/>
      <c r="Y196" s="420"/>
      <c r="Z196" s="420"/>
      <c r="AA196" s="420"/>
      <c r="AB196" s="420"/>
      <c r="AC196" s="420"/>
      <c r="AD196" s="420"/>
      <c r="AE196" s="420"/>
      <c r="AF196" s="420"/>
      <c r="AG196" s="420"/>
      <c r="AH196" s="420"/>
      <c r="AI196" s="420"/>
      <c r="AJ196" s="420"/>
      <c r="AK196" s="420"/>
      <c r="AL196" s="420"/>
      <c r="AM196" s="420"/>
      <c r="AN196" s="420"/>
      <c r="AO196" s="420"/>
      <c r="AP196" s="420"/>
      <c r="AQ196" s="420"/>
      <c r="AR196" s="420"/>
      <c r="AS196" s="420"/>
      <c r="AT196" s="420"/>
      <c r="AU196" s="420"/>
      <c r="AV196" s="420"/>
      <c r="AW196" s="420"/>
      <c r="AX196" s="420"/>
      <c r="AY196" s="420"/>
      <c r="AZ196" s="420"/>
      <c r="BA196" s="420"/>
      <c r="BB196" s="420"/>
      <c r="BC196" s="420"/>
      <c r="BD196" s="420"/>
      <c r="BE196" s="420"/>
      <c r="BF196" s="420"/>
      <c r="BG196" s="420"/>
      <c r="BH196" s="420"/>
      <c r="BI196" s="420"/>
      <c r="BJ196" s="420"/>
      <c r="BK196" s="420"/>
      <c r="BL196" s="420"/>
      <c r="BM196" s="420"/>
      <c r="BN196" s="420"/>
      <c r="BO196" s="420"/>
      <c r="BP196" s="420"/>
      <c r="BQ196" s="420"/>
      <c r="BR196" s="420"/>
      <c r="BS196" s="420"/>
      <c r="BT196" s="420"/>
      <c r="BU196" s="420"/>
      <c r="BV196" s="420"/>
      <c r="BW196" s="420"/>
      <c r="BX196" s="420"/>
      <c r="BY196" s="420"/>
      <c r="BZ196" s="420"/>
      <c r="CA196" s="420"/>
      <c r="CB196" s="420"/>
      <c r="CC196" s="420"/>
      <c r="CD196" s="420"/>
      <c r="CE196" s="420"/>
      <c r="CF196" s="420"/>
      <c r="CG196" s="420"/>
      <c r="CH196" s="420"/>
      <c r="CI196" s="420"/>
      <c r="CJ196" s="420"/>
      <c r="CK196" s="420"/>
      <c r="CL196" s="420"/>
      <c r="CM196" s="420"/>
      <c r="CN196" s="420"/>
      <c r="CO196" s="420"/>
      <c r="CP196" s="420"/>
      <c r="CQ196" s="420"/>
      <c r="CR196" s="420"/>
      <c r="CS196" s="420"/>
      <c r="CT196" s="420"/>
      <c r="CU196" s="420"/>
      <c r="CV196" s="420"/>
      <c r="CW196" s="420"/>
      <c r="CX196" s="420"/>
      <c r="CY196" s="420"/>
      <c r="CZ196" s="420"/>
      <c r="DA196" s="420"/>
      <c r="DB196" s="420"/>
      <c r="DC196" s="420"/>
      <c r="DD196" s="420"/>
      <c r="DE196" s="420"/>
      <c r="DF196" s="420"/>
      <c r="DG196" s="420"/>
      <c r="DH196" s="420"/>
      <c r="DI196" s="420"/>
      <c r="DJ196" s="420"/>
      <c r="DK196" s="420"/>
      <c r="DL196" s="420"/>
      <c r="DM196" s="420"/>
      <c r="DN196" s="420"/>
      <c r="DO196" s="420"/>
      <c r="DP196" s="420"/>
      <c r="DQ196" s="420"/>
      <c r="DR196" s="420"/>
      <c r="DS196" s="420"/>
      <c r="DT196" s="420"/>
      <c r="DU196" s="420"/>
      <c r="DV196" s="420"/>
      <c r="DW196" s="420"/>
      <c r="DX196" s="420"/>
      <c r="DY196" s="420"/>
      <c r="DZ196" s="420"/>
      <c r="EA196" s="420"/>
      <c r="EB196" s="420"/>
      <c r="EC196" s="420"/>
      <c r="ED196" s="420"/>
      <c r="EE196" s="420"/>
      <c r="EF196" s="420"/>
      <c r="EG196" s="420"/>
      <c r="EH196" s="420"/>
      <c r="EI196" s="420"/>
      <c r="EJ196" s="420"/>
      <c r="EK196" s="420"/>
      <c r="EL196" s="420"/>
      <c r="EM196" s="420"/>
      <c r="EN196" s="420"/>
      <c r="EO196" s="420"/>
      <c r="EP196" s="420"/>
      <c r="EQ196" s="420"/>
      <c r="ER196" s="420"/>
      <c r="ES196" s="420"/>
      <c r="ET196" s="420"/>
      <c r="EU196" s="420"/>
      <c r="EV196" s="420"/>
      <c r="EW196" s="420"/>
      <c r="EX196" s="420"/>
      <c r="EY196" s="420"/>
      <c r="EZ196" s="420"/>
      <c r="FA196" s="420"/>
      <c r="FB196" s="420"/>
      <c r="FC196" s="420"/>
      <c r="FD196" s="420"/>
      <c r="FE196" s="420"/>
      <c r="FF196" s="420"/>
      <c r="FG196" s="420"/>
      <c r="FH196" s="420"/>
      <c r="FI196" s="420"/>
      <c r="FJ196" s="420"/>
      <c r="FK196" s="420"/>
      <c r="FL196" s="420"/>
      <c r="FM196" s="420"/>
      <c r="FN196" s="420"/>
      <c r="FO196" s="420"/>
      <c r="FP196" s="420"/>
      <c r="FQ196" s="420"/>
      <c r="FR196" s="420"/>
      <c r="FS196" s="420"/>
      <c r="FT196" s="420"/>
      <c r="FU196" s="420"/>
      <c r="FV196" s="420"/>
      <c r="FW196" s="420"/>
      <c r="FX196" s="420"/>
      <c r="FY196" s="420"/>
      <c r="FZ196" s="420"/>
      <c r="GA196" s="420"/>
      <c r="GB196" s="420"/>
      <c r="GC196" s="420"/>
      <c r="GD196" s="420"/>
      <c r="GE196" s="420"/>
      <c r="GF196" s="420"/>
      <c r="GG196" s="420"/>
      <c r="GH196" s="420"/>
      <c r="GI196" s="420"/>
      <c r="GJ196" s="420"/>
      <c r="GK196" s="420"/>
      <c r="GL196" s="420"/>
      <c r="GM196" s="420"/>
      <c r="GN196" s="420"/>
      <c r="GO196" s="420"/>
      <c r="GP196" s="420"/>
      <c r="GQ196" s="420"/>
      <c r="GR196" s="420"/>
      <c r="GS196" s="420"/>
      <c r="GT196" s="420"/>
      <c r="GU196" s="420"/>
      <c r="GV196" s="420"/>
      <c r="GW196" s="420"/>
      <c r="GX196" s="420"/>
      <c r="GY196" s="420"/>
      <c r="GZ196" s="420"/>
      <c r="HA196" s="420"/>
      <c r="HB196" s="420"/>
      <c r="HC196" s="420"/>
      <c r="HD196" s="420"/>
      <c r="HE196" s="420"/>
      <c r="HF196" s="420"/>
      <c r="HG196" s="420"/>
      <c r="HH196" s="420"/>
      <c r="HI196" s="420"/>
      <c r="HJ196" s="420"/>
      <c r="HK196" s="420"/>
      <c r="HL196" s="420"/>
      <c r="HM196" s="420"/>
      <c r="HN196" s="420"/>
      <c r="HO196" s="420"/>
      <c r="HP196" s="420"/>
      <c r="HQ196" s="420"/>
      <c r="HR196" s="420"/>
      <c r="HS196" s="420"/>
      <c r="HT196" s="420"/>
      <c r="HU196" s="420"/>
      <c r="HV196" s="420"/>
      <c r="HW196" s="420"/>
      <c r="HX196" s="420"/>
      <c r="HY196" s="420"/>
      <c r="HZ196" s="420"/>
      <c r="IA196" s="420"/>
      <c r="IB196" s="420"/>
      <c r="IC196" s="420"/>
      <c r="ID196" s="420"/>
      <c r="IE196" s="420"/>
      <c r="IF196" s="420"/>
      <c r="IG196" s="420"/>
      <c r="IH196" s="420"/>
      <c r="II196" s="420"/>
      <c r="IJ196" s="420"/>
      <c r="IK196" s="420"/>
      <c r="IL196" s="420"/>
      <c r="IM196" s="420"/>
      <c r="IN196" s="420"/>
      <c r="IO196" s="420"/>
      <c r="IP196" s="420"/>
      <c r="IQ196" s="420"/>
      <c r="IR196" s="420"/>
      <c r="IS196" s="420"/>
      <c r="IT196" s="420"/>
      <c r="IU196" s="420"/>
      <c r="IV196" s="420"/>
      <c r="IW196" s="420"/>
      <c r="IX196" s="420"/>
      <c r="IY196" s="420"/>
      <c r="IZ196" s="420"/>
      <c r="JA196" s="420"/>
    </row>
    <row r="197" spans="1:261" s="768" customFormat="1" ht="22.5" customHeight="1" x14ac:dyDescent="0.35">
      <c r="A197" s="783">
        <v>187</v>
      </c>
      <c r="B197" s="776"/>
      <c r="C197" s="466">
        <v>38</v>
      </c>
      <c r="D197" s="423" t="s">
        <v>695</v>
      </c>
      <c r="E197" s="432"/>
      <c r="F197" s="432"/>
      <c r="G197" s="433"/>
      <c r="H197" s="1009" t="s">
        <v>24</v>
      </c>
      <c r="I197" s="1007"/>
      <c r="J197" s="432"/>
      <c r="K197" s="432"/>
      <c r="L197" s="432"/>
      <c r="M197" s="432"/>
      <c r="N197" s="432"/>
      <c r="O197" s="777"/>
      <c r="P197" s="773"/>
      <c r="Q197" s="420"/>
      <c r="R197" s="420"/>
      <c r="S197" s="420"/>
      <c r="T197" s="420"/>
      <c r="U197" s="420"/>
      <c r="V197" s="420"/>
      <c r="W197" s="420"/>
      <c r="X197" s="420"/>
      <c r="Y197" s="420"/>
      <c r="Z197" s="420"/>
      <c r="AA197" s="420"/>
      <c r="AB197" s="420"/>
      <c r="AC197" s="420"/>
      <c r="AD197" s="420"/>
      <c r="AE197" s="420"/>
      <c r="AF197" s="420"/>
      <c r="AG197" s="420"/>
      <c r="AH197" s="420"/>
      <c r="AI197" s="420"/>
      <c r="AJ197" s="420"/>
      <c r="AK197" s="420"/>
      <c r="AL197" s="420"/>
      <c r="AM197" s="420"/>
      <c r="AN197" s="420"/>
      <c r="AO197" s="420"/>
      <c r="AP197" s="420"/>
      <c r="AQ197" s="420"/>
      <c r="AR197" s="420"/>
      <c r="AS197" s="420"/>
      <c r="AT197" s="420"/>
      <c r="AU197" s="420"/>
      <c r="AV197" s="420"/>
      <c r="AW197" s="420"/>
      <c r="AX197" s="420"/>
      <c r="AY197" s="420"/>
      <c r="AZ197" s="420"/>
      <c r="BA197" s="420"/>
      <c r="BB197" s="420"/>
      <c r="BC197" s="420"/>
      <c r="BD197" s="420"/>
      <c r="BE197" s="420"/>
      <c r="BF197" s="420"/>
      <c r="BG197" s="420"/>
      <c r="BH197" s="420"/>
      <c r="BI197" s="420"/>
      <c r="BJ197" s="420"/>
      <c r="BK197" s="420"/>
      <c r="BL197" s="420"/>
      <c r="BM197" s="420"/>
      <c r="BN197" s="420"/>
      <c r="BO197" s="420"/>
      <c r="BP197" s="420"/>
      <c r="BQ197" s="420"/>
      <c r="BR197" s="420"/>
      <c r="BS197" s="420"/>
      <c r="BT197" s="420"/>
      <c r="BU197" s="420"/>
      <c r="BV197" s="420"/>
      <c r="BW197" s="420"/>
      <c r="BX197" s="420"/>
      <c r="BY197" s="420"/>
      <c r="BZ197" s="420"/>
      <c r="CA197" s="420"/>
      <c r="CB197" s="420"/>
      <c r="CC197" s="420"/>
      <c r="CD197" s="420"/>
      <c r="CE197" s="420"/>
      <c r="CF197" s="420"/>
      <c r="CG197" s="420"/>
      <c r="CH197" s="420"/>
      <c r="CI197" s="420"/>
      <c r="CJ197" s="420"/>
      <c r="CK197" s="420"/>
      <c r="CL197" s="420"/>
      <c r="CM197" s="420"/>
      <c r="CN197" s="420"/>
      <c r="CO197" s="420"/>
      <c r="CP197" s="420"/>
      <c r="CQ197" s="420"/>
      <c r="CR197" s="420"/>
      <c r="CS197" s="420"/>
      <c r="CT197" s="420"/>
      <c r="CU197" s="420"/>
      <c r="CV197" s="420"/>
      <c r="CW197" s="420"/>
      <c r="CX197" s="420"/>
      <c r="CY197" s="420"/>
      <c r="CZ197" s="420"/>
      <c r="DA197" s="420"/>
      <c r="DB197" s="420"/>
      <c r="DC197" s="420"/>
      <c r="DD197" s="420"/>
      <c r="DE197" s="420"/>
      <c r="DF197" s="420"/>
      <c r="DG197" s="420"/>
      <c r="DH197" s="420"/>
      <c r="DI197" s="420"/>
      <c r="DJ197" s="420"/>
      <c r="DK197" s="420"/>
      <c r="DL197" s="420"/>
      <c r="DM197" s="420"/>
      <c r="DN197" s="420"/>
      <c r="DO197" s="420"/>
      <c r="DP197" s="420"/>
      <c r="DQ197" s="420"/>
      <c r="DR197" s="420"/>
      <c r="DS197" s="420"/>
      <c r="DT197" s="420"/>
      <c r="DU197" s="420"/>
      <c r="DV197" s="420"/>
      <c r="DW197" s="420"/>
      <c r="DX197" s="420"/>
      <c r="DY197" s="420"/>
      <c r="DZ197" s="420"/>
      <c r="EA197" s="420"/>
      <c r="EB197" s="420"/>
      <c r="EC197" s="420"/>
      <c r="ED197" s="420"/>
      <c r="EE197" s="420"/>
      <c r="EF197" s="420"/>
      <c r="EG197" s="420"/>
      <c r="EH197" s="420"/>
      <c r="EI197" s="420"/>
      <c r="EJ197" s="420"/>
      <c r="EK197" s="420"/>
      <c r="EL197" s="420"/>
      <c r="EM197" s="420"/>
      <c r="EN197" s="420"/>
      <c r="EO197" s="420"/>
      <c r="EP197" s="420"/>
      <c r="EQ197" s="420"/>
      <c r="ER197" s="420"/>
      <c r="ES197" s="420"/>
      <c r="ET197" s="420"/>
      <c r="EU197" s="420"/>
      <c r="EV197" s="420"/>
      <c r="EW197" s="420"/>
      <c r="EX197" s="420"/>
      <c r="EY197" s="420"/>
      <c r="EZ197" s="420"/>
      <c r="FA197" s="420"/>
      <c r="FB197" s="420"/>
      <c r="FC197" s="420"/>
      <c r="FD197" s="420"/>
      <c r="FE197" s="420"/>
      <c r="FF197" s="420"/>
      <c r="FG197" s="420"/>
      <c r="FH197" s="420"/>
      <c r="FI197" s="420"/>
      <c r="FJ197" s="420"/>
      <c r="FK197" s="420"/>
      <c r="FL197" s="420"/>
      <c r="FM197" s="420"/>
      <c r="FN197" s="420"/>
      <c r="FO197" s="420"/>
      <c r="FP197" s="420"/>
      <c r="FQ197" s="420"/>
      <c r="FR197" s="420"/>
      <c r="FS197" s="420"/>
      <c r="FT197" s="420"/>
      <c r="FU197" s="420"/>
      <c r="FV197" s="420"/>
      <c r="FW197" s="420"/>
      <c r="FX197" s="420"/>
      <c r="FY197" s="420"/>
      <c r="FZ197" s="420"/>
      <c r="GA197" s="420"/>
      <c r="GB197" s="420"/>
      <c r="GC197" s="420"/>
      <c r="GD197" s="420"/>
      <c r="GE197" s="420"/>
      <c r="GF197" s="420"/>
      <c r="GG197" s="420"/>
      <c r="GH197" s="420"/>
      <c r="GI197" s="420"/>
      <c r="GJ197" s="420"/>
      <c r="GK197" s="420"/>
      <c r="GL197" s="420"/>
      <c r="GM197" s="420"/>
      <c r="GN197" s="420"/>
      <c r="GO197" s="420"/>
      <c r="GP197" s="420"/>
      <c r="GQ197" s="420"/>
      <c r="GR197" s="420"/>
      <c r="GS197" s="420"/>
      <c r="GT197" s="420"/>
      <c r="GU197" s="420"/>
      <c r="GV197" s="420"/>
      <c r="GW197" s="420"/>
      <c r="GX197" s="420"/>
      <c r="GY197" s="420"/>
      <c r="GZ197" s="420"/>
      <c r="HA197" s="420"/>
      <c r="HB197" s="420"/>
      <c r="HC197" s="420"/>
      <c r="HD197" s="420"/>
      <c r="HE197" s="420"/>
      <c r="HF197" s="420"/>
      <c r="HG197" s="420"/>
      <c r="HH197" s="420"/>
      <c r="HI197" s="420"/>
      <c r="HJ197" s="420"/>
      <c r="HK197" s="420"/>
      <c r="HL197" s="420"/>
      <c r="HM197" s="420"/>
      <c r="HN197" s="420"/>
      <c r="HO197" s="420"/>
      <c r="HP197" s="420"/>
      <c r="HQ197" s="420"/>
      <c r="HR197" s="420"/>
      <c r="HS197" s="420"/>
      <c r="HT197" s="420"/>
      <c r="HU197" s="420"/>
      <c r="HV197" s="420"/>
      <c r="HW197" s="420"/>
      <c r="HX197" s="420"/>
      <c r="HY197" s="420"/>
      <c r="HZ197" s="420"/>
      <c r="IA197" s="420"/>
      <c r="IB197" s="420"/>
      <c r="IC197" s="420"/>
      <c r="ID197" s="420"/>
      <c r="IE197" s="420"/>
      <c r="IF197" s="420"/>
      <c r="IG197" s="420"/>
      <c r="IH197" s="420"/>
      <c r="II197" s="420"/>
      <c r="IJ197" s="420"/>
      <c r="IK197" s="420"/>
      <c r="IL197" s="420"/>
      <c r="IM197" s="420"/>
      <c r="IN197" s="420"/>
      <c r="IO197" s="420"/>
      <c r="IP197" s="420"/>
      <c r="IQ197" s="420"/>
      <c r="IR197" s="420"/>
      <c r="IS197" s="420"/>
      <c r="IT197" s="420"/>
      <c r="IU197" s="420"/>
      <c r="IV197" s="420"/>
      <c r="IW197" s="420"/>
      <c r="IX197" s="420"/>
      <c r="IY197" s="420"/>
      <c r="IZ197" s="420"/>
      <c r="JA197" s="420"/>
    </row>
    <row r="198" spans="1:261" s="768" customFormat="1" ht="18" customHeight="1" x14ac:dyDescent="0.35">
      <c r="A198" s="783">
        <v>188</v>
      </c>
      <c r="B198" s="776"/>
      <c r="C198" s="422"/>
      <c r="D198" s="1002" t="s">
        <v>311</v>
      </c>
      <c r="E198" s="432">
        <f>F198+G198+O201+P198</f>
        <v>2500</v>
      </c>
      <c r="F198" s="432"/>
      <c r="G198" s="433"/>
      <c r="H198" s="1009"/>
      <c r="I198" s="1007"/>
      <c r="J198" s="432"/>
      <c r="K198" s="432"/>
      <c r="L198" s="432"/>
      <c r="M198" s="1022">
        <v>2500</v>
      </c>
      <c r="N198" s="432"/>
      <c r="O198" s="992">
        <f>SUM(I198:N198)</f>
        <v>2500</v>
      </c>
      <c r="P198" s="773"/>
      <c r="Q198" s="420"/>
      <c r="R198" s="420"/>
      <c r="S198" s="420"/>
      <c r="T198" s="420"/>
      <c r="U198" s="420"/>
      <c r="V198" s="420"/>
      <c r="W198" s="420"/>
      <c r="X198" s="420"/>
      <c r="Y198" s="420"/>
      <c r="Z198" s="420"/>
      <c r="AA198" s="420"/>
      <c r="AB198" s="420"/>
      <c r="AC198" s="420"/>
      <c r="AD198" s="420"/>
      <c r="AE198" s="420"/>
      <c r="AF198" s="420"/>
      <c r="AG198" s="420"/>
      <c r="AH198" s="420"/>
      <c r="AI198" s="420"/>
      <c r="AJ198" s="420"/>
      <c r="AK198" s="420"/>
      <c r="AL198" s="420"/>
      <c r="AM198" s="420"/>
      <c r="AN198" s="420"/>
      <c r="AO198" s="420"/>
      <c r="AP198" s="420"/>
      <c r="AQ198" s="420"/>
      <c r="AR198" s="420"/>
      <c r="AS198" s="420"/>
      <c r="AT198" s="420"/>
      <c r="AU198" s="420"/>
      <c r="AV198" s="420"/>
      <c r="AW198" s="420"/>
      <c r="AX198" s="420"/>
      <c r="AY198" s="420"/>
      <c r="AZ198" s="420"/>
      <c r="BA198" s="420"/>
      <c r="BB198" s="420"/>
      <c r="BC198" s="420"/>
      <c r="BD198" s="420"/>
      <c r="BE198" s="420"/>
      <c r="BF198" s="420"/>
      <c r="BG198" s="420"/>
      <c r="BH198" s="420"/>
      <c r="BI198" s="420"/>
      <c r="BJ198" s="420"/>
      <c r="BK198" s="420"/>
      <c r="BL198" s="420"/>
      <c r="BM198" s="420"/>
      <c r="BN198" s="420"/>
      <c r="BO198" s="420"/>
      <c r="BP198" s="420"/>
      <c r="BQ198" s="420"/>
      <c r="BR198" s="420"/>
      <c r="BS198" s="420"/>
      <c r="BT198" s="420"/>
      <c r="BU198" s="420"/>
      <c r="BV198" s="420"/>
      <c r="BW198" s="420"/>
      <c r="BX198" s="420"/>
      <c r="BY198" s="420"/>
      <c r="BZ198" s="420"/>
      <c r="CA198" s="420"/>
      <c r="CB198" s="420"/>
      <c r="CC198" s="420"/>
      <c r="CD198" s="420"/>
      <c r="CE198" s="420"/>
      <c r="CF198" s="420"/>
      <c r="CG198" s="420"/>
      <c r="CH198" s="420"/>
      <c r="CI198" s="420"/>
      <c r="CJ198" s="420"/>
      <c r="CK198" s="420"/>
      <c r="CL198" s="420"/>
      <c r="CM198" s="420"/>
      <c r="CN198" s="420"/>
      <c r="CO198" s="420"/>
      <c r="CP198" s="420"/>
      <c r="CQ198" s="420"/>
      <c r="CR198" s="420"/>
      <c r="CS198" s="420"/>
      <c r="CT198" s="420"/>
      <c r="CU198" s="420"/>
      <c r="CV198" s="420"/>
      <c r="CW198" s="420"/>
      <c r="CX198" s="420"/>
      <c r="CY198" s="420"/>
      <c r="CZ198" s="420"/>
      <c r="DA198" s="420"/>
      <c r="DB198" s="420"/>
      <c r="DC198" s="420"/>
      <c r="DD198" s="420"/>
      <c r="DE198" s="420"/>
      <c r="DF198" s="420"/>
      <c r="DG198" s="420"/>
      <c r="DH198" s="420"/>
      <c r="DI198" s="420"/>
      <c r="DJ198" s="420"/>
      <c r="DK198" s="420"/>
      <c r="DL198" s="420"/>
      <c r="DM198" s="420"/>
      <c r="DN198" s="420"/>
      <c r="DO198" s="420"/>
      <c r="DP198" s="420"/>
      <c r="DQ198" s="420"/>
      <c r="DR198" s="420"/>
      <c r="DS198" s="420"/>
      <c r="DT198" s="420"/>
      <c r="DU198" s="420"/>
      <c r="DV198" s="420"/>
      <c r="DW198" s="420"/>
      <c r="DX198" s="420"/>
      <c r="DY198" s="420"/>
      <c r="DZ198" s="420"/>
      <c r="EA198" s="420"/>
      <c r="EB198" s="420"/>
      <c r="EC198" s="420"/>
      <c r="ED198" s="420"/>
      <c r="EE198" s="420"/>
      <c r="EF198" s="420"/>
      <c r="EG198" s="420"/>
      <c r="EH198" s="420"/>
      <c r="EI198" s="420"/>
      <c r="EJ198" s="420"/>
      <c r="EK198" s="420"/>
      <c r="EL198" s="420"/>
      <c r="EM198" s="420"/>
      <c r="EN198" s="420"/>
      <c r="EO198" s="420"/>
      <c r="EP198" s="420"/>
      <c r="EQ198" s="420"/>
      <c r="ER198" s="420"/>
      <c r="ES198" s="420"/>
      <c r="ET198" s="420"/>
      <c r="EU198" s="420"/>
      <c r="EV198" s="420"/>
      <c r="EW198" s="420"/>
      <c r="EX198" s="420"/>
      <c r="EY198" s="420"/>
      <c r="EZ198" s="420"/>
      <c r="FA198" s="420"/>
      <c r="FB198" s="420"/>
      <c r="FC198" s="420"/>
      <c r="FD198" s="420"/>
      <c r="FE198" s="420"/>
      <c r="FF198" s="420"/>
      <c r="FG198" s="420"/>
      <c r="FH198" s="420"/>
      <c r="FI198" s="420"/>
      <c r="FJ198" s="420"/>
      <c r="FK198" s="420"/>
      <c r="FL198" s="420"/>
      <c r="FM198" s="420"/>
      <c r="FN198" s="420"/>
      <c r="FO198" s="420"/>
      <c r="FP198" s="420"/>
      <c r="FQ198" s="420"/>
      <c r="FR198" s="420"/>
      <c r="FS198" s="420"/>
      <c r="FT198" s="420"/>
      <c r="FU198" s="420"/>
      <c r="FV198" s="420"/>
      <c r="FW198" s="420"/>
      <c r="FX198" s="420"/>
      <c r="FY198" s="420"/>
      <c r="FZ198" s="420"/>
      <c r="GA198" s="420"/>
      <c r="GB198" s="420"/>
      <c r="GC198" s="420"/>
      <c r="GD198" s="420"/>
      <c r="GE198" s="420"/>
      <c r="GF198" s="420"/>
      <c r="GG198" s="420"/>
      <c r="GH198" s="420"/>
      <c r="GI198" s="420"/>
      <c r="GJ198" s="420"/>
      <c r="GK198" s="420"/>
      <c r="GL198" s="420"/>
      <c r="GM198" s="420"/>
      <c r="GN198" s="420"/>
      <c r="GO198" s="420"/>
      <c r="GP198" s="420"/>
      <c r="GQ198" s="420"/>
      <c r="GR198" s="420"/>
      <c r="GS198" s="420"/>
      <c r="GT198" s="420"/>
      <c r="GU198" s="420"/>
      <c r="GV198" s="420"/>
      <c r="GW198" s="420"/>
      <c r="GX198" s="420"/>
      <c r="GY198" s="420"/>
      <c r="GZ198" s="420"/>
      <c r="HA198" s="420"/>
      <c r="HB198" s="420"/>
      <c r="HC198" s="420"/>
      <c r="HD198" s="420"/>
      <c r="HE198" s="420"/>
      <c r="HF198" s="420"/>
      <c r="HG198" s="420"/>
      <c r="HH198" s="420"/>
      <c r="HI198" s="420"/>
      <c r="HJ198" s="420"/>
      <c r="HK198" s="420"/>
      <c r="HL198" s="420"/>
      <c r="HM198" s="420"/>
      <c r="HN198" s="420"/>
      <c r="HO198" s="420"/>
      <c r="HP198" s="420"/>
      <c r="HQ198" s="420"/>
      <c r="HR198" s="420"/>
      <c r="HS198" s="420"/>
      <c r="HT198" s="420"/>
      <c r="HU198" s="420"/>
      <c r="HV198" s="420"/>
      <c r="HW198" s="420"/>
      <c r="HX198" s="420"/>
      <c r="HY198" s="420"/>
      <c r="HZ198" s="420"/>
      <c r="IA198" s="420"/>
      <c r="IB198" s="420"/>
      <c r="IC198" s="420"/>
      <c r="ID198" s="420"/>
      <c r="IE198" s="420"/>
      <c r="IF198" s="420"/>
      <c r="IG198" s="420"/>
      <c r="IH198" s="420"/>
      <c r="II198" s="420"/>
      <c r="IJ198" s="420"/>
      <c r="IK198" s="420"/>
      <c r="IL198" s="420"/>
      <c r="IM198" s="420"/>
      <c r="IN198" s="420"/>
      <c r="IO198" s="420"/>
      <c r="IP198" s="420"/>
      <c r="IQ198" s="420"/>
      <c r="IR198" s="420"/>
      <c r="IS198" s="420"/>
      <c r="IT198" s="420"/>
      <c r="IU198" s="420"/>
      <c r="IV198" s="420"/>
      <c r="IW198" s="420"/>
      <c r="IX198" s="420"/>
      <c r="IY198" s="420"/>
      <c r="IZ198" s="420"/>
      <c r="JA198" s="420"/>
    </row>
    <row r="199" spans="1:261" s="768" customFormat="1" ht="18" customHeight="1" x14ac:dyDescent="0.35">
      <c r="A199" s="783">
        <v>189</v>
      </c>
      <c r="B199" s="776"/>
      <c r="C199" s="422"/>
      <c r="D199" s="583" t="s">
        <v>1072</v>
      </c>
      <c r="E199" s="432"/>
      <c r="F199" s="432"/>
      <c r="G199" s="433"/>
      <c r="H199" s="1009"/>
      <c r="I199" s="1007"/>
      <c r="J199" s="432"/>
      <c r="K199" s="432"/>
      <c r="L199" s="432"/>
      <c r="M199" s="432">
        <v>2500</v>
      </c>
      <c r="N199" s="432"/>
      <c r="O199" s="777">
        <f>SUM(I199:N199)</f>
        <v>2500</v>
      </c>
      <c r="P199" s="773"/>
      <c r="Q199" s="420"/>
      <c r="R199" s="420"/>
      <c r="S199" s="420"/>
      <c r="T199" s="420"/>
      <c r="U199" s="420"/>
      <c r="V199" s="420"/>
      <c r="W199" s="420"/>
      <c r="X199" s="420"/>
      <c r="Y199" s="420"/>
      <c r="Z199" s="420"/>
      <c r="AA199" s="420"/>
      <c r="AB199" s="420"/>
      <c r="AC199" s="420"/>
      <c r="AD199" s="420"/>
      <c r="AE199" s="420"/>
      <c r="AF199" s="420"/>
      <c r="AG199" s="420"/>
      <c r="AH199" s="420"/>
      <c r="AI199" s="420"/>
      <c r="AJ199" s="420"/>
      <c r="AK199" s="420"/>
      <c r="AL199" s="420"/>
      <c r="AM199" s="420"/>
      <c r="AN199" s="420"/>
      <c r="AO199" s="420"/>
      <c r="AP199" s="420"/>
      <c r="AQ199" s="420"/>
      <c r="AR199" s="420"/>
      <c r="AS199" s="420"/>
      <c r="AT199" s="420"/>
      <c r="AU199" s="420"/>
      <c r="AV199" s="420"/>
      <c r="AW199" s="420"/>
      <c r="AX199" s="420"/>
      <c r="AY199" s="420"/>
      <c r="AZ199" s="420"/>
      <c r="BA199" s="420"/>
      <c r="BB199" s="420"/>
      <c r="BC199" s="420"/>
      <c r="BD199" s="420"/>
      <c r="BE199" s="420"/>
      <c r="BF199" s="420"/>
      <c r="BG199" s="420"/>
      <c r="BH199" s="420"/>
      <c r="BI199" s="420"/>
      <c r="BJ199" s="420"/>
      <c r="BK199" s="420"/>
      <c r="BL199" s="420"/>
      <c r="BM199" s="420"/>
      <c r="BN199" s="420"/>
      <c r="BO199" s="420"/>
      <c r="BP199" s="420"/>
      <c r="BQ199" s="420"/>
      <c r="BR199" s="420"/>
      <c r="BS199" s="420"/>
      <c r="BT199" s="420"/>
      <c r="BU199" s="420"/>
      <c r="BV199" s="420"/>
      <c r="BW199" s="420"/>
      <c r="BX199" s="420"/>
      <c r="BY199" s="420"/>
      <c r="BZ199" s="420"/>
      <c r="CA199" s="420"/>
      <c r="CB199" s="420"/>
      <c r="CC199" s="420"/>
      <c r="CD199" s="420"/>
      <c r="CE199" s="420"/>
      <c r="CF199" s="420"/>
      <c r="CG199" s="420"/>
      <c r="CH199" s="420"/>
      <c r="CI199" s="420"/>
      <c r="CJ199" s="420"/>
      <c r="CK199" s="420"/>
      <c r="CL199" s="420"/>
      <c r="CM199" s="420"/>
      <c r="CN199" s="420"/>
      <c r="CO199" s="420"/>
      <c r="CP199" s="420"/>
      <c r="CQ199" s="420"/>
      <c r="CR199" s="420"/>
      <c r="CS199" s="420"/>
      <c r="CT199" s="420"/>
      <c r="CU199" s="420"/>
      <c r="CV199" s="420"/>
      <c r="CW199" s="420"/>
      <c r="CX199" s="420"/>
      <c r="CY199" s="420"/>
      <c r="CZ199" s="420"/>
      <c r="DA199" s="420"/>
      <c r="DB199" s="420"/>
      <c r="DC199" s="420"/>
      <c r="DD199" s="420"/>
      <c r="DE199" s="420"/>
      <c r="DF199" s="420"/>
      <c r="DG199" s="420"/>
      <c r="DH199" s="420"/>
      <c r="DI199" s="420"/>
      <c r="DJ199" s="420"/>
      <c r="DK199" s="420"/>
      <c r="DL199" s="420"/>
      <c r="DM199" s="420"/>
      <c r="DN199" s="420"/>
      <c r="DO199" s="420"/>
      <c r="DP199" s="420"/>
      <c r="DQ199" s="420"/>
      <c r="DR199" s="420"/>
      <c r="DS199" s="420"/>
      <c r="DT199" s="420"/>
      <c r="DU199" s="420"/>
      <c r="DV199" s="420"/>
      <c r="DW199" s="420"/>
      <c r="DX199" s="420"/>
      <c r="DY199" s="420"/>
      <c r="DZ199" s="420"/>
      <c r="EA199" s="420"/>
      <c r="EB199" s="420"/>
      <c r="EC199" s="420"/>
      <c r="ED199" s="420"/>
      <c r="EE199" s="420"/>
      <c r="EF199" s="420"/>
      <c r="EG199" s="420"/>
      <c r="EH199" s="420"/>
      <c r="EI199" s="420"/>
      <c r="EJ199" s="420"/>
      <c r="EK199" s="420"/>
      <c r="EL199" s="420"/>
      <c r="EM199" s="420"/>
      <c r="EN199" s="420"/>
      <c r="EO199" s="420"/>
      <c r="EP199" s="420"/>
      <c r="EQ199" s="420"/>
      <c r="ER199" s="420"/>
      <c r="ES199" s="420"/>
      <c r="ET199" s="420"/>
      <c r="EU199" s="420"/>
      <c r="EV199" s="420"/>
      <c r="EW199" s="420"/>
      <c r="EX199" s="420"/>
      <c r="EY199" s="420"/>
      <c r="EZ199" s="420"/>
      <c r="FA199" s="420"/>
      <c r="FB199" s="420"/>
      <c r="FC199" s="420"/>
      <c r="FD199" s="420"/>
      <c r="FE199" s="420"/>
      <c r="FF199" s="420"/>
      <c r="FG199" s="420"/>
      <c r="FH199" s="420"/>
      <c r="FI199" s="420"/>
      <c r="FJ199" s="420"/>
      <c r="FK199" s="420"/>
      <c r="FL199" s="420"/>
      <c r="FM199" s="420"/>
      <c r="FN199" s="420"/>
      <c r="FO199" s="420"/>
      <c r="FP199" s="420"/>
      <c r="FQ199" s="420"/>
      <c r="FR199" s="420"/>
      <c r="FS199" s="420"/>
      <c r="FT199" s="420"/>
      <c r="FU199" s="420"/>
      <c r="FV199" s="420"/>
      <c r="FW199" s="420"/>
      <c r="FX199" s="420"/>
      <c r="FY199" s="420"/>
      <c r="FZ199" s="420"/>
      <c r="GA199" s="420"/>
      <c r="GB199" s="420"/>
      <c r="GC199" s="420"/>
      <c r="GD199" s="420"/>
      <c r="GE199" s="420"/>
      <c r="GF199" s="420"/>
      <c r="GG199" s="420"/>
      <c r="GH199" s="420"/>
      <c r="GI199" s="420"/>
      <c r="GJ199" s="420"/>
      <c r="GK199" s="420"/>
      <c r="GL199" s="420"/>
      <c r="GM199" s="420"/>
      <c r="GN199" s="420"/>
      <c r="GO199" s="420"/>
      <c r="GP199" s="420"/>
      <c r="GQ199" s="420"/>
      <c r="GR199" s="420"/>
      <c r="GS199" s="420"/>
      <c r="GT199" s="420"/>
      <c r="GU199" s="420"/>
      <c r="GV199" s="420"/>
      <c r="GW199" s="420"/>
      <c r="GX199" s="420"/>
      <c r="GY199" s="420"/>
      <c r="GZ199" s="420"/>
      <c r="HA199" s="420"/>
      <c r="HB199" s="420"/>
      <c r="HC199" s="420"/>
      <c r="HD199" s="420"/>
      <c r="HE199" s="420"/>
      <c r="HF199" s="420"/>
      <c r="HG199" s="420"/>
      <c r="HH199" s="420"/>
      <c r="HI199" s="420"/>
      <c r="HJ199" s="420"/>
      <c r="HK199" s="420"/>
      <c r="HL199" s="420"/>
      <c r="HM199" s="420"/>
      <c r="HN199" s="420"/>
      <c r="HO199" s="420"/>
      <c r="HP199" s="420"/>
      <c r="HQ199" s="420"/>
      <c r="HR199" s="420"/>
      <c r="HS199" s="420"/>
      <c r="HT199" s="420"/>
      <c r="HU199" s="420"/>
      <c r="HV199" s="420"/>
      <c r="HW199" s="420"/>
      <c r="HX199" s="420"/>
      <c r="HY199" s="420"/>
      <c r="HZ199" s="420"/>
      <c r="IA199" s="420"/>
      <c r="IB199" s="420"/>
      <c r="IC199" s="420"/>
      <c r="ID199" s="420"/>
      <c r="IE199" s="420"/>
      <c r="IF199" s="420"/>
      <c r="IG199" s="420"/>
      <c r="IH199" s="420"/>
      <c r="II199" s="420"/>
      <c r="IJ199" s="420"/>
      <c r="IK199" s="420"/>
      <c r="IL199" s="420"/>
      <c r="IM199" s="420"/>
      <c r="IN199" s="420"/>
      <c r="IO199" s="420"/>
      <c r="IP199" s="420"/>
      <c r="IQ199" s="420"/>
      <c r="IR199" s="420"/>
      <c r="IS199" s="420"/>
      <c r="IT199" s="420"/>
      <c r="IU199" s="420"/>
      <c r="IV199" s="420"/>
      <c r="IW199" s="420"/>
      <c r="IX199" s="420"/>
      <c r="IY199" s="420"/>
      <c r="IZ199" s="420"/>
      <c r="JA199" s="420"/>
    </row>
    <row r="200" spans="1:261" s="768" customFormat="1" ht="18" customHeight="1" x14ac:dyDescent="0.35">
      <c r="A200" s="783">
        <v>190</v>
      </c>
      <c r="B200" s="776"/>
      <c r="C200" s="422"/>
      <c r="D200" s="1338" t="s">
        <v>963</v>
      </c>
      <c r="E200" s="432"/>
      <c r="F200" s="432"/>
      <c r="G200" s="433"/>
      <c r="H200" s="1009"/>
      <c r="I200" s="1007"/>
      <c r="J200" s="432"/>
      <c r="K200" s="432"/>
      <c r="L200" s="432"/>
      <c r="M200" s="1086"/>
      <c r="N200" s="432"/>
      <c r="O200" s="1623">
        <f>SUM(I200:N200)</f>
        <v>0</v>
      </c>
      <c r="P200" s="773"/>
      <c r="Q200" s="420"/>
      <c r="R200" s="420"/>
      <c r="S200" s="420"/>
      <c r="T200" s="420"/>
      <c r="U200" s="420"/>
      <c r="V200" s="420"/>
      <c r="W200" s="420"/>
      <c r="X200" s="420"/>
      <c r="Y200" s="420"/>
      <c r="Z200" s="420"/>
      <c r="AA200" s="420"/>
      <c r="AB200" s="420"/>
      <c r="AC200" s="420"/>
      <c r="AD200" s="420"/>
      <c r="AE200" s="420"/>
      <c r="AF200" s="420"/>
      <c r="AG200" s="420"/>
      <c r="AH200" s="420"/>
      <c r="AI200" s="420"/>
      <c r="AJ200" s="420"/>
      <c r="AK200" s="420"/>
      <c r="AL200" s="420"/>
      <c r="AM200" s="420"/>
      <c r="AN200" s="420"/>
      <c r="AO200" s="420"/>
      <c r="AP200" s="420"/>
      <c r="AQ200" s="420"/>
      <c r="AR200" s="420"/>
      <c r="AS200" s="420"/>
      <c r="AT200" s="420"/>
      <c r="AU200" s="420"/>
      <c r="AV200" s="420"/>
      <c r="AW200" s="420"/>
      <c r="AX200" s="420"/>
      <c r="AY200" s="420"/>
      <c r="AZ200" s="420"/>
      <c r="BA200" s="420"/>
      <c r="BB200" s="420"/>
      <c r="BC200" s="420"/>
      <c r="BD200" s="420"/>
      <c r="BE200" s="420"/>
      <c r="BF200" s="420"/>
      <c r="BG200" s="420"/>
      <c r="BH200" s="420"/>
      <c r="BI200" s="420"/>
      <c r="BJ200" s="420"/>
      <c r="BK200" s="420"/>
      <c r="BL200" s="420"/>
      <c r="BM200" s="420"/>
      <c r="BN200" s="420"/>
      <c r="BO200" s="420"/>
      <c r="BP200" s="420"/>
      <c r="BQ200" s="420"/>
      <c r="BR200" s="420"/>
      <c r="BS200" s="420"/>
      <c r="BT200" s="420"/>
      <c r="BU200" s="420"/>
      <c r="BV200" s="420"/>
      <c r="BW200" s="420"/>
      <c r="BX200" s="420"/>
      <c r="BY200" s="420"/>
      <c r="BZ200" s="420"/>
      <c r="CA200" s="420"/>
      <c r="CB200" s="420"/>
      <c r="CC200" s="420"/>
      <c r="CD200" s="420"/>
      <c r="CE200" s="420"/>
      <c r="CF200" s="420"/>
      <c r="CG200" s="420"/>
      <c r="CH200" s="420"/>
      <c r="CI200" s="420"/>
      <c r="CJ200" s="420"/>
      <c r="CK200" s="420"/>
      <c r="CL200" s="420"/>
      <c r="CM200" s="420"/>
      <c r="CN200" s="420"/>
      <c r="CO200" s="420"/>
      <c r="CP200" s="420"/>
      <c r="CQ200" s="420"/>
      <c r="CR200" s="420"/>
      <c r="CS200" s="420"/>
      <c r="CT200" s="420"/>
      <c r="CU200" s="420"/>
      <c r="CV200" s="420"/>
      <c r="CW200" s="420"/>
      <c r="CX200" s="420"/>
      <c r="CY200" s="420"/>
      <c r="CZ200" s="420"/>
      <c r="DA200" s="420"/>
      <c r="DB200" s="420"/>
      <c r="DC200" s="420"/>
      <c r="DD200" s="420"/>
      <c r="DE200" s="420"/>
      <c r="DF200" s="420"/>
      <c r="DG200" s="420"/>
      <c r="DH200" s="420"/>
      <c r="DI200" s="420"/>
      <c r="DJ200" s="420"/>
      <c r="DK200" s="420"/>
      <c r="DL200" s="420"/>
      <c r="DM200" s="420"/>
      <c r="DN200" s="420"/>
      <c r="DO200" s="420"/>
      <c r="DP200" s="420"/>
      <c r="DQ200" s="420"/>
      <c r="DR200" s="420"/>
      <c r="DS200" s="420"/>
      <c r="DT200" s="420"/>
      <c r="DU200" s="420"/>
      <c r="DV200" s="420"/>
      <c r="DW200" s="420"/>
      <c r="DX200" s="420"/>
      <c r="DY200" s="420"/>
      <c r="DZ200" s="420"/>
      <c r="EA200" s="420"/>
      <c r="EB200" s="420"/>
      <c r="EC200" s="420"/>
      <c r="ED200" s="420"/>
      <c r="EE200" s="420"/>
      <c r="EF200" s="420"/>
      <c r="EG200" s="420"/>
      <c r="EH200" s="420"/>
      <c r="EI200" s="420"/>
      <c r="EJ200" s="420"/>
      <c r="EK200" s="420"/>
      <c r="EL200" s="420"/>
      <c r="EM200" s="420"/>
      <c r="EN200" s="420"/>
      <c r="EO200" s="420"/>
      <c r="EP200" s="420"/>
      <c r="EQ200" s="420"/>
      <c r="ER200" s="420"/>
      <c r="ES200" s="420"/>
      <c r="ET200" s="420"/>
      <c r="EU200" s="420"/>
      <c r="EV200" s="420"/>
      <c r="EW200" s="420"/>
      <c r="EX200" s="420"/>
      <c r="EY200" s="420"/>
      <c r="EZ200" s="420"/>
      <c r="FA200" s="420"/>
      <c r="FB200" s="420"/>
      <c r="FC200" s="420"/>
      <c r="FD200" s="420"/>
      <c r="FE200" s="420"/>
      <c r="FF200" s="420"/>
      <c r="FG200" s="420"/>
      <c r="FH200" s="420"/>
      <c r="FI200" s="420"/>
      <c r="FJ200" s="420"/>
      <c r="FK200" s="420"/>
      <c r="FL200" s="420"/>
      <c r="FM200" s="420"/>
      <c r="FN200" s="420"/>
      <c r="FO200" s="420"/>
      <c r="FP200" s="420"/>
      <c r="FQ200" s="420"/>
      <c r="FR200" s="420"/>
      <c r="FS200" s="420"/>
      <c r="FT200" s="420"/>
      <c r="FU200" s="420"/>
      <c r="FV200" s="420"/>
      <c r="FW200" s="420"/>
      <c r="FX200" s="420"/>
      <c r="FY200" s="420"/>
      <c r="FZ200" s="420"/>
      <c r="GA200" s="420"/>
      <c r="GB200" s="420"/>
      <c r="GC200" s="420"/>
      <c r="GD200" s="420"/>
      <c r="GE200" s="420"/>
      <c r="GF200" s="420"/>
      <c r="GG200" s="420"/>
      <c r="GH200" s="420"/>
      <c r="GI200" s="420"/>
      <c r="GJ200" s="420"/>
      <c r="GK200" s="420"/>
      <c r="GL200" s="420"/>
      <c r="GM200" s="420"/>
      <c r="GN200" s="420"/>
      <c r="GO200" s="420"/>
      <c r="GP200" s="420"/>
      <c r="GQ200" s="420"/>
      <c r="GR200" s="420"/>
      <c r="GS200" s="420"/>
      <c r="GT200" s="420"/>
      <c r="GU200" s="420"/>
      <c r="GV200" s="420"/>
      <c r="GW200" s="420"/>
      <c r="GX200" s="420"/>
      <c r="GY200" s="420"/>
      <c r="GZ200" s="420"/>
      <c r="HA200" s="420"/>
      <c r="HB200" s="420"/>
      <c r="HC200" s="420"/>
      <c r="HD200" s="420"/>
      <c r="HE200" s="420"/>
      <c r="HF200" s="420"/>
      <c r="HG200" s="420"/>
      <c r="HH200" s="420"/>
      <c r="HI200" s="420"/>
      <c r="HJ200" s="420"/>
      <c r="HK200" s="420"/>
      <c r="HL200" s="420"/>
      <c r="HM200" s="420"/>
      <c r="HN200" s="420"/>
      <c r="HO200" s="420"/>
      <c r="HP200" s="420"/>
      <c r="HQ200" s="420"/>
      <c r="HR200" s="420"/>
      <c r="HS200" s="420"/>
      <c r="HT200" s="420"/>
      <c r="HU200" s="420"/>
      <c r="HV200" s="420"/>
      <c r="HW200" s="420"/>
      <c r="HX200" s="420"/>
      <c r="HY200" s="420"/>
      <c r="HZ200" s="420"/>
      <c r="IA200" s="420"/>
      <c r="IB200" s="420"/>
      <c r="IC200" s="420"/>
      <c r="ID200" s="420"/>
      <c r="IE200" s="420"/>
      <c r="IF200" s="420"/>
      <c r="IG200" s="420"/>
      <c r="IH200" s="420"/>
      <c r="II200" s="420"/>
      <c r="IJ200" s="420"/>
      <c r="IK200" s="420"/>
      <c r="IL200" s="420"/>
      <c r="IM200" s="420"/>
      <c r="IN200" s="420"/>
      <c r="IO200" s="420"/>
      <c r="IP200" s="420"/>
      <c r="IQ200" s="420"/>
      <c r="IR200" s="420"/>
      <c r="IS200" s="420"/>
      <c r="IT200" s="420"/>
      <c r="IU200" s="420"/>
      <c r="IV200" s="420"/>
      <c r="IW200" s="420"/>
      <c r="IX200" s="420"/>
      <c r="IY200" s="420"/>
      <c r="IZ200" s="420"/>
      <c r="JA200" s="420"/>
    </row>
    <row r="201" spans="1:261" s="768" customFormat="1" ht="18" customHeight="1" x14ac:dyDescent="0.35">
      <c r="A201" s="783">
        <v>191</v>
      </c>
      <c r="B201" s="776"/>
      <c r="C201" s="1940"/>
      <c r="D201" s="583" t="s">
        <v>1151</v>
      </c>
      <c r="E201" s="432"/>
      <c r="F201" s="432"/>
      <c r="G201" s="433"/>
      <c r="H201" s="1009"/>
      <c r="I201" s="1007"/>
      <c r="J201" s="432"/>
      <c r="K201" s="432"/>
      <c r="L201" s="433"/>
      <c r="M201" s="432">
        <f>SUM(M199:M200)</f>
        <v>2500</v>
      </c>
      <c r="N201" s="1007"/>
      <c r="O201" s="777">
        <f>SUM(I201:N201)</f>
        <v>2500</v>
      </c>
      <c r="P201" s="773"/>
      <c r="Q201" s="420"/>
      <c r="R201" s="420"/>
      <c r="S201" s="420"/>
      <c r="T201" s="420"/>
      <c r="U201" s="420"/>
      <c r="V201" s="420"/>
      <c r="W201" s="420"/>
      <c r="X201" s="420"/>
      <c r="Y201" s="420"/>
      <c r="Z201" s="420"/>
      <c r="AA201" s="420"/>
      <c r="AB201" s="420"/>
      <c r="AC201" s="420"/>
      <c r="AD201" s="420"/>
      <c r="AE201" s="420"/>
      <c r="AF201" s="420"/>
      <c r="AG201" s="420"/>
      <c r="AH201" s="420"/>
      <c r="AI201" s="420"/>
      <c r="AJ201" s="420"/>
      <c r="AK201" s="420"/>
      <c r="AL201" s="420"/>
      <c r="AM201" s="420"/>
      <c r="AN201" s="420"/>
      <c r="AO201" s="420"/>
      <c r="AP201" s="420"/>
      <c r="AQ201" s="420"/>
      <c r="AR201" s="420"/>
      <c r="AS201" s="420"/>
      <c r="AT201" s="420"/>
      <c r="AU201" s="420"/>
      <c r="AV201" s="420"/>
      <c r="AW201" s="420"/>
      <c r="AX201" s="420"/>
      <c r="AY201" s="420"/>
      <c r="AZ201" s="420"/>
      <c r="BA201" s="420"/>
      <c r="BB201" s="420"/>
      <c r="BC201" s="420"/>
      <c r="BD201" s="420"/>
      <c r="BE201" s="420"/>
      <c r="BF201" s="420"/>
      <c r="BG201" s="420"/>
      <c r="BH201" s="420"/>
      <c r="BI201" s="420"/>
      <c r="BJ201" s="420"/>
      <c r="BK201" s="420"/>
      <c r="BL201" s="420"/>
      <c r="BM201" s="420"/>
      <c r="BN201" s="420"/>
      <c r="BO201" s="420"/>
      <c r="BP201" s="420"/>
      <c r="BQ201" s="420"/>
      <c r="BR201" s="420"/>
      <c r="BS201" s="420"/>
      <c r="BT201" s="420"/>
      <c r="BU201" s="420"/>
      <c r="BV201" s="420"/>
      <c r="BW201" s="420"/>
      <c r="BX201" s="420"/>
      <c r="BY201" s="420"/>
      <c r="BZ201" s="420"/>
      <c r="CA201" s="420"/>
      <c r="CB201" s="420"/>
      <c r="CC201" s="420"/>
      <c r="CD201" s="420"/>
      <c r="CE201" s="420"/>
      <c r="CF201" s="420"/>
      <c r="CG201" s="420"/>
      <c r="CH201" s="420"/>
      <c r="CI201" s="420"/>
      <c r="CJ201" s="420"/>
      <c r="CK201" s="420"/>
      <c r="CL201" s="420"/>
      <c r="CM201" s="420"/>
      <c r="CN201" s="420"/>
      <c r="CO201" s="420"/>
      <c r="CP201" s="420"/>
      <c r="CQ201" s="420"/>
      <c r="CR201" s="420"/>
      <c r="CS201" s="420"/>
      <c r="CT201" s="420"/>
      <c r="CU201" s="420"/>
      <c r="CV201" s="420"/>
      <c r="CW201" s="420"/>
      <c r="CX201" s="420"/>
      <c r="CY201" s="420"/>
      <c r="CZ201" s="420"/>
      <c r="DA201" s="420"/>
      <c r="DB201" s="420"/>
      <c r="DC201" s="420"/>
      <c r="DD201" s="420"/>
      <c r="DE201" s="420"/>
      <c r="DF201" s="420"/>
      <c r="DG201" s="420"/>
      <c r="DH201" s="420"/>
      <c r="DI201" s="420"/>
      <c r="DJ201" s="420"/>
      <c r="DK201" s="420"/>
      <c r="DL201" s="420"/>
      <c r="DM201" s="420"/>
      <c r="DN201" s="420"/>
      <c r="DO201" s="420"/>
      <c r="DP201" s="420"/>
      <c r="DQ201" s="420"/>
      <c r="DR201" s="420"/>
      <c r="DS201" s="420"/>
      <c r="DT201" s="420"/>
      <c r="DU201" s="420"/>
      <c r="DV201" s="420"/>
      <c r="DW201" s="420"/>
      <c r="DX201" s="420"/>
      <c r="DY201" s="420"/>
      <c r="DZ201" s="420"/>
      <c r="EA201" s="420"/>
      <c r="EB201" s="420"/>
      <c r="EC201" s="420"/>
      <c r="ED201" s="420"/>
      <c r="EE201" s="420"/>
      <c r="EF201" s="420"/>
      <c r="EG201" s="420"/>
      <c r="EH201" s="420"/>
      <c r="EI201" s="420"/>
      <c r="EJ201" s="420"/>
      <c r="EK201" s="420"/>
      <c r="EL201" s="420"/>
      <c r="EM201" s="420"/>
      <c r="EN201" s="420"/>
      <c r="EO201" s="420"/>
      <c r="EP201" s="420"/>
      <c r="EQ201" s="420"/>
      <c r="ER201" s="420"/>
      <c r="ES201" s="420"/>
      <c r="ET201" s="420"/>
      <c r="EU201" s="420"/>
      <c r="EV201" s="420"/>
      <c r="EW201" s="420"/>
      <c r="EX201" s="420"/>
      <c r="EY201" s="420"/>
      <c r="EZ201" s="420"/>
      <c r="FA201" s="420"/>
      <c r="FB201" s="420"/>
      <c r="FC201" s="420"/>
      <c r="FD201" s="420"/>
      <c r="FE201" s="420"/>
      <c r="FF201" s="420"/>
      <c r="FG201" s="420"/>
      <c r="FH201" s="420"/>
      <c r="FI201" s="420"/>
      <c r="FJ201" s="420"/>
      <c r="FK201" s="420"/>
      <c r="FL201" s="420"/>
      <c r="FM201" s="420"/>
      <c r="FN201" s="420"/>
      <c r="FO201" s="420"/>
      <c r="FP201" s="420"/>
      <c r="FQ201" s="420"/>
      <c r="FR201" s="420"/>
      <c r="FS201" s="420"/>
      <c r="FT201" s="420"/>
      <c r="FU201" s="420"/>
      <c r="FV201" s="420"/>
      <c r="FW201" s="420"/>
      <c r="FX201" s="420"/>
      <c r="FY201" s="420"/>
      <c r="FZ201" s="420"/>
      <c r="GA201" s="420"/>
      <c r="GB201" s="420"/>
      <c r="GC201" s="420"/>
      <c r="GD201" s="420"/>
      <c r="GE201" s="420"/>
      <c r="GF201" s="420"/>
      <c r="GG201" s="420"/>
      <c r="GH201" s="420"/>
      <c r="GI201" s="420"/>
      <c r="GJ201" s="420"/>
      <c r="GK201" s="420"/>
      <c r="GL201" s="420"/>
      <c r="GM201" s="420"/>
      <c r="GN201" s="420"/>
      <c r="GO201" s="420"/>
      <c r="GP201" s="420"/>
      <c r="GQ201" s="420"/>
      <c r="GR201" s="420"/>
      <c r="GS201" s="420"/>
      <c r="GT201" s="420"/>
      <c r="GU201" s="420"/>
      <c r="GV201" s="420"/>
      <c r="GW201" s="420"/>
      <c r="GX201" s="420"/>
      <c r="GY201" s="420"/>
      <c r="GZ201" s="420"/>
      <c r="HA201" s="420"/>
      <c r="HB201" s="420"/>
      <c r="HC201" s="420"/>
      <c r="HD201" s="420"/>
      <c r="HE201" s="420"/>
      <c r="HF201" s="420"/>
      <c r="HG201" s="420"/>
      <c r="HH201" s="420"/>
      <c r="HI201" s="420"/>
      <c r="HJ201" s="420"/>
      <c r="HK201" s="420"/>
      <c r="HL201" s="420"/>
      <c r="HM201" s="420"/>
      <c r="HN201" s="420"/>
      <c r="HO201" s="420"/>
      <c r="HP201" s="420"/>
      <c r="HQ201" s="420"/>
      <c r="HR201" s="420"/>
      <c r="HS201" s="420"/>
      <c r="HT201" s="420"/>
      <c r="HU201" s="420"/>
      <c r="HV201" s="420"/>
      <c r="HW201" s="420"/>
      <c r="HX201" s="420"/>
      <c r="HY201" s="420"/>
      <c r="HZ201" s="420"/>
      <c r="IA201" s="420"/>
      <c r="IB201" s="420"/>
      <c r="IC201" s="420"/>
      <c r="ID201" s="420"/>
      <c r="IE201" s="420"/>
      <c r="IF201" s="420"/>
      <c r="IG201" s="420"/>
      <c r="IH201" s="420"/>
      <c r="II201" s="420"/>
      <c r="IJ201" s="420"/>
      <c r="IK201" s="420"/>
      <c r="IL201" s="420"/>
      <c r="IM201" s="420"/>
      <c r="IN201" s="420"/>
      <c r="IO201" s="420"/>
      <c r="IP201" s="420"/>
      <c r="IQ201" s="420"/>
      <c r="IR201" s="420"/>
      <c r="IS201" s="420"/>
      <c r="IT201" s="420"/>
      <c r="IU201" s="420"/>
      <c r="IV201" s="420"/>
      <c r="IW201" s="420"/>
      <c r="IX201" s="420"/>
      <c r="IY201" s="420"/>
      <c r="IZ201" s="420"/>
      <c r="JA201" s="420"/>
    </row>
    <row r="202" spans="1:261" ht="53.25" customHeight="1" x14ac:dyDescent="0.35">
      <c r="A202" s="783">
        <v>192</v>
      </c>
      <c r="B202" s="625"/>
      <c r="C202" s="422">
        <v>39</v>
      </c>
      <c r="D202" s="423" t="s">
        <v>1052</v>
      </c>
      <c r="E202" s="432">
        <f>F202+G202+O205+P204</f>
        <v>307836</v>
      </c>
      <c r="F202" s="432">
        <f>984+40</f>
        <v>1024</v>
      </c>
      <c r="G202" s="433">
        <v>40</v>
      </c>
      <c r="H202" s="1009" t="s">
        <v>24</v>
      </c>
      <c r="I202" s="1028"/>
      <c r="J202" s="1022"/>
      <c r="K202" s="1022"/>
      <c r="L202" s="1022"/>
      <c r="M202" s="1067"/>
      <c r="N202" s="1022"/>
      <c r="O202" s="1029"/>
      <c r="P202" s="773"/>
    </row>
    <row r="203" spans="1:261" ht="18" customHeight="1" x14ac:dyDescent="0.35">
      <c r="A203" s="783">
        <v>193</v>
      </c>
      <c r="B203" s="625"/>
      <c r="C203" s="422"/>
      <c r="D203" s="583" t="s">
        <v>1072</v>
      </c>
      <c r="E203" s="432"/>
      <c r="F203" s="432"/>
      <c r="G203" s="433"/>
      <c r="H203" s="1009"/>
      <c r="I203" s="1028"/>
      <c r="J203" s="1022"/>
      <c r="K203" s="432">
        <v>582</v>
      </c>
      <c r="L203" s="432"/>
      <c r="M203" s="429">
        <v>306190</v>
      </c>
      <c r="N203" s="432"/>
      <c r="O203" s="777">
        <f>SUM(I203:N203)</f>
        <v>306772</v>
      </c>
      <c r="P203" s="1576"/>
    </row>
    <row r="204" spans="1:261" s="768" customFormat="1" ht="18" customHeight="1" x14ac:dyDescent="0.35">
      <c r="A204" s="783">
        <v>194</v>
      </c>
      <c r="B204" s="776"/>
      <c r="C204" s="422"/>
      <c r="D204" s="1338" t="s">
        <v>963</v>
      </c>
      <c r="E204" s="432"/>
      <c r="F204" s="432"/>
      <c r="G204" s="433"/>
      <c r="H204" s="1009"/>
      <c r="I204" s="432"/>
      <c r="J204" s="432"/>
      <c r="K204" s="1587"/>
      <c r="L204" s="1587"/>
      <c r="M204" s="1587"/>
      <c r="N204" s="432"/>
      <c r="O204" s="1778">
        <f>SUM(I204:N204)</f>
        <v>0</v>
      </c>
      <c r="P204" s="1576"/>
      <c r="Q204" s="420"/>
      <c r="R204" s="420"/>
      <c r="S204" s="420"/>
      <c r="T204" s="420"/>
      <c r="U204" s="420"/>
      <c r="V204" s="420"/>
      <c r="W204" s="420"/>
      <c r="X204" s="420"/>
      <c r="Y204" s="420"/>
      <c r="Z204" s="420"/>
      <c r="AA204" s="420"/>
      <c r="AB204" s="420"/>
      <c r="AC204" s="420"/>
      <c r="AD204" s="420"/>
      <c r="AE204" s="420"/>
      <c r="AF204" s="420"/>
      <c r="AG204" s="420"/>
      <c r="AH204" s="420"/>
      <c r="AI204" s="420"/>
      <c r="AJ204" s="420"/>
      <c r="AK204" s="420"/>
      <c r="AL204" s="420"/>
      <c r="AM204" s="420"/>
      <c r="AN204" s="420"/>
      <c r="AO204" s="420"/>
      <c r="AP204" s="420"/>
      <c r="AQ204" s="420"/>
      <c r="AR204" s="420"/>
      <c r="AS204" s="420"/>
      <c r="AT204" s="420"/>
      <c r="AU204" s="420"/>
      <c r="AV204" s="420"/>
      <c r="AW204" s="420"/>
      <c r="AX204" s="420"/>
      <c r="AY204" s="420"/>
      <c r="AZ204" s="420"/>
      <c r="BA204" s="420"/>
      <c r="BB204" s="420"/>
      <c r="BC204" s="420"/>
      <c r="BD204" s="420"/>
      <c r="BE204" s="420"/>
      <c r="BF204" s="420"/>
      <c r="BG204" s="420"/>
      <c r="BH204" s="420"/>
      <c r="BI204" s="420"/>
      <c r="BJ204" s="420"/>
      <c r="BK204" s="420"/>
      <c r="BL204" s="420"/>
      <c r="BM204" s="420"/>
      <c r="BN204" s="420"/>
      <c r="BO204" s="420"/>
      <c r="BP204" s="420"/>
      <c r="BQ204" s="420"/>
      <c r="BR204" s="420"/>
      <c r="BS204" s="420"/>
      <c r="BT204" s="420"/>
      <c r="BU204" s="420"/>
      <c r="BV204" s="420"/>
      <c r="BW204" s="420"/>
      <c r="BX204" s="420"/>
      <c r="BY204" s="420"/>
      <c r="BZ204" s="420"/>
      <c r="CA204" s="420"/>
      <c r="CB204" s="420"/>
      <c r="CC204" s="420"/>
      <c r="CD204" s="420"/>
      <c r="CE204" s="420"/>
      <c r="CF204" s="420"/>
      <c r="CG204" s="420"/>
      <c r="CH204" s="420"/>
      <c r="CI204" s="420"/>
      <c r="CJ204" s="420"/>
      <c r="CK204" s="420"/>
      <c r="CL204" s="420"/>
      <c r="CM204" s="420"/>
      <c r="CN204" s="420"/>
      <c r="CO204" s="420"/>
      <c r="CP204" s="420"/>
      <c r="CQ204" s="420"/>
      <c r="CR204" s="420"/>
      <c r="CS204" s="420"/>
      <c r="CT204" s="420"/>
      <c r="CU204" s="420"/>
      <c r="CV204" s="420"/>
      <c r="CW204" s="420"/>
      <c r="CX204" s="420"/>
      <c r="CY204" s="420"/>
      <c r="CZ204" s="420"/>
      <c r="DA204" s="420"/>
      <c r="DB204" s="420"/>
      <c r="DC204" s="420"/>
      <c r="DD204" s="420"/>
      <c r="DE204" s="420"/>
      <c r="DF204" s="420"/>
      <c r="DG204" s="420"/>
      <c r="DH204" s="420"/>
      <c r="DI204" s="420"/>
      <c r="DJ204" s="420"/>
      <c r="DK204" s="420"/>
      <c r="DL204" s="420"/>
      <c r="DM204" s="420"/>
      <c r="DN204" s="420"/>
      <c r="DO204" s="420"/>
      <c r="DP204" s="420"/>
      <c r="DQ204" s="420"/>
      <c r="DR204" s="420"/>
      <c r="DS204" s="420"/>
      <c r="DT204" s="420"/>
      <c r="DU204" s="420"/>
      <c r="DV204" s="420"/>
      <c r="DW204" s="420"/>
      <c r="DX204" s="420"/>
      <c r="DY204" s="420"/>
      <c r="DZ204" s="420"/>
      <c r="EA204" s="420"/>
      <c r="EB204" s="420"/>
      <c r="EC204" s="420"/>
      <c r="ED204" s="420"/>
      <c r="EE204" s="420"/>
      <c r="EF204" s="420"/>
      <c r="EG204" s="420"/>
      <c r="EH204" s="420"/>
      <c r="EI204" s="420"/>
      <c r="EJ204" s="420"/>
      <c r="EK204" s="420"/>
      <c r="EL204" s="420"/>
      <c r="EM204" s="420"/>
      <c r="EN204" s="420"/>
      <c r="EO204" s="420"/>
      <c r="EP204" s="420"/>
      <c r="EQ204" s="420"/>
      <c r="ER204" s="420"/>
      <c r="ES204" s="420"/>
      <c r="ET204" s="420"/>
      <c r="EU204" s="420"/>
      <c r="EV204" s="420"/>
      <c r="EW204" s="420"/>
      <c r="EX204" s="420"/>
      <c r="EY204" s="420"/>
      <c r="EZ204" s="420"/>
      <c r="FA204" s="420"/>
      <c r="FB204" s="420"/>
      <c r="FC204" s="420"/>
      <c r="FD204" s="420"/>
      <c r="FE204" s="420"/>
      <c r="FF204" s="420"/>
      <c r="FG204" s="420"/>
      <c r="FH204" s="420"/>
      <c r="FI204" s="420"/>
      <c r="FJ204" s="420"/>
      <c r="FK204" s="420"/>
      <c r="FL204" s="420"/>
      <c r="FM204" s="420"/>
      <c r="FN204" s="420"/>
      <c r="FO204" s="420"/>
      <c r="FP204" s="420"/>
      <c r="FQ204" s="420"/>
      <c r="FR204" s="420"/>
      <c r="FS204" s="420"/>
      <c r="FT204" s="420"/>
      <c r="FU204" s="420"/>
      <c r="FV204" s="420"/>
      <c r="FW204" s="420"/>
      <c r="FX204" s="420"/>
      <c r="FY204" s="420"/>
      <c r="FZ204" s="420"/>
      <c r="GA204" s="420"/>
      <c r="GB204" s="420"/>
      <c r="GC204" s="420"/>
      <c r="GD204" s="420"/>
      <c r="GE204" s="420"/>
      <c r="GF204" s="420"/>
      <c r="GG204" s="420"/>
      <c r="GH204" s="420"/>
      <c r="GI204" s="420"/>
      <c r="GJ204" s="420"/>
      <c r="GK204" s="420"/>
      <c r="GL204" s="420"/>
      <c r="GM204" s="420"/>
      <c r="GN204" s="420"/>
      <c r="GO204" s="420"/>
      <c r="GP204" s="420"/>
      <c r="GQ204" s="420"/>
      <c r="GR204" s="420"/>
      <c r="GS204" s="420"/>
      <c r="GT204" s="420"/>
      <c r="GU204" s="420"/>
      <c r="GV204" s="420"/>
      <c r="GW204" s="420"/>
      <c r="GX204" s="420"/>
      <c r="GY204" s="420"/>
      <c r="GZ204" s="420"/>
      <c r="HA204" s="420"/>
      <c r="HB204" s="420"/>
      <c r="HC204" s="420"/>
      <c r="HD204" s="420"/>
      <c r="HE204" s="420"/>
      <c r="HF204" s="420"/>
      <c r="HG204" s="420"/>
      <c r="HH204" s="420"/>
      <c r="HI204" s="420"/>
      <c r="HJ204" s="420"/>
      <c r="HK204" s="420"/>
      <c r="HL204" s="420"/>
      <c r="HM204" s="420"/>
      <c r="HN204" s="420"/>
      <c r="HO204" s="420"/>
      <c r="HP204" s="420"/>
      <c r="HQ204" s="420"/>
      <c r="HR204" s="420"/>
      <c r="HS204" s="420"/>
      <c r="HT204" s="420"/>
      <c r="HU204" s="420"/>
      <c r="HV204" s="420"/>
      <c r="HW204" s="420"/>
      <c r="HX204" s="420"/>
      <c r="HY204" s="420"/>
      <c r="HZ204" s="420"/>
      <c r="IA204" s="420"/>
      <c r="IB204" s="420"/>
      <c r="IC204" s="420"/>
      <c r="ID204" s="420"/>
      <c r="IE204" s="420"/>
      <c r="IF204" s="420"/>
      <c r="IG204" s="420"/>
      <c r="IH204" s="420"/>
      <c r="II204" s="420"/>
      <c r="IJ204" s="420"/>
      <c r="IK204" s="420"/>
      <c r="IL204" s="420"/>
      <c r="IM204" s="420"/>
      <c r="IN204" s="420"/>
      <c r="IO204" s="420"/>
      <c r="IP204" s="420"/>
      <c r="IQ204" s="420"/>
      <c r="IR204" s="420"/>
      <c r="IS204" s="420"/>
      <c r="IT204" s="420"/>
      <c r="IU204" s="420"/>
      <c r="IV204" s="420"/>
      <c r="IW204" s="420"/>
      <c r="IX204" s="420"/>
      <c r="IY204" s="420"/>
      <c r="IZ204" s="420"/>
      <c r="JA204" s="420"/>
    </row>
    <row r="205" spans="1:261" s="768" customFormat="1" ht="18" customHeight="1" thickBot="1" x14ac:dyDescent="0.4">
      <c r="A205" s="783">
        <v>195</v>
      </c>
      <c r="B205" s="1522"/>
      <c r="C205" s="1523"/>
      <c r="D205" s="583" t="s">
        <v>1151</v>
      </c>
      <c r="E205" s="1524"/>
      <c r="F205" s="1524"/>
      <c r="G205" s="1526"/>
      <c r="H205" s="1527"/>
      <c r="I205" s="1524"/>
      <c r="J205" s="1524"/>
      <c r="K205" s="1524">
        <f>SUM(K203:K204)</f>
        <v>582</v>
      </c>
      <c r="L205" s="1524"/>
      <c r="M205" s="1524">
        <f>SUM(M203:M204)</f>
        <v>306190</v>
      </c>
      <c r="N205" s="1524"/>
      <c r="O205" s="777">
        <f>SUM(I205:N205)</f>
        <v>306772</v>
      </c>
      <c r="P205" s="1577"/>
      <c r="Q205" s="420"/>
      <c r="R205" s="420"/>
      <c r="S205" s="420"/>
      <c r="T205" s="420"/>
      <c r="U205" s="420"/>
      <c r="V205" s="420"/>
      <c r="W205" s="420"/>
      <c r="X205" s="420"/>
      <c r="Y205" s="420"/>
      <c r="Z205" s="420"/>
      <c r="AA205" s="420"/>
      <c r="AB205" s="420"/>
      <c r="AC205" s="420"/>
      <c r="AD205" s="420"/>
      <c r="AE205" s="420"/>
      <c r="AF205" s="420"/>
      <c r="AG205" s="420"/>
      <c r="AH205" s="420"/>
      <c r="AI205" s="420"/>
      <c r="AJ205" s="420"/>
      <c r="AK205" s="420"/>
      <c r="AL205" s="420"/>
      <c r="AM205" s="420"/>
      <c r="AN205" s="420"/>
      <c r="AO205" s="420"/>
      <c r="AP205" s="420"/>
      <c r="AQ205" s="420"/>
      <c r="AR205" s="420"/>
      <c r="AS205" s="420"/>
      <c r="AT205" s="420"/>
      <c r="AU205" s="420"/>
      <c r="AV205" s="420"/>
      <c r="AW205" s="420"/>
      <c r="AX205" s="420"/>
      <c r="AY205" s="420"/>
      <c r="AZ205" s="420"/>
      <c r="BA205" s="420"/>
      <c r="BB205" s="420"/>
      <c r="BC205" s="420"/>
      <c r="BD205" s="420"/>
      <c r="BE205" s="420"/>
      <c r="BF205" s="420"/>
      <c r="BG205" s="420"/>
      <c r="BH205" s="420"/>
      <c r="BI205" s="420"/>
      <c r="BJ205" s="420"/>
      <c r="BK205" s="420"/>
      <c r="BL205" s="420"/>
      <c r="BM205" s="420"/>
      <c r="BN205" s="420"/>
      <c r="BO205" s="420"/>
      <c r="BP205" s="420"/>
      <c r="BQ205" s="420"/>
      <c r="BR205" s="420"/>
      <c r="BS205" s="420"/>
      <c r="BT205" s="420"/>
      <c r="BU205" s="420"/>
      <c r="BV205" s="420"/>
      <c r="BW205" s="420"/>
      <c r="BX205" s="420"/>
      <c r="BY205" s="420"/>
      <c r="BZ205" s="420"/>
      <c r="CA205" s="420"/>
      <c r="CB205" s="420"/>
      <c r="CC205" s="420"/>
      <c r="CD205" s="420"/>
      <c r="CE205" s="420"/>
      <c r="CF205" s="420"/>
      <c r="CG205" s="420"/>
      <c r="CH205" s="420"/>
      <c r="CI205" s="420"/>
      <c r="CJ205" s="420"/>
      <c r="CK205" s="420"/>
      <c r="CL205" s="420"/>
      <c r="CM205" s="420"/>
      <c r="CN205" s="420"/>
      <c r="CO205" s="420"/>
      <c r="CP205" s="420"/>
      <c r="CQ205" s="420"/>
      <c r="CR205" s="420"/>
      <c r="CS205" s="420"/>
      <c r="CT205" s="420"/>
      <c r="CU205" s="420"/>
      <c r="CV205" s="420"/>
      <c r="CW205" s="420"/>
      <c r="CX205" s="420"/>
      <c r="CY205" s="420"/>
      <c r="CZ205" s="420"/>
      <c r="DA205" s="420"/>
      <c r="DB205" s="420"/>
      <c r="DC205" s="420"/>
      <c r="DD205" s="420"/>
      <c r="DE205" s="420"/>
      <c r="DF205" s="420"/>
      <c r="DG205" s="420"/>
      <c r="DH205" s="420"/>
      <c r="DI205" s="420"/>
      <c r="DJ205" s="420"/>
      <c r="DK205" s="420"/>
      <c r="DL205" s="420"/>
      <c r="DM205" s="420"/>
      <c r="DN205" s="420"/>
      <c r="DO205" s="420"/>
      <c r="DP205" s="420"/>
      <c r="DQ205" s="420"/>
      <c r="DR205" s="420"/>
      <c r="DS205" s="420"/>
      <c r="DT205" s="420"/>
      <c r="DU205" s="420"/>
      <c r="DV205" s="420"/>
      <c r="DW205" s="420"/>
      <c r="DX205" s="420"/>
      <c r="DY205" s="420"/>
      <c r="DZ205" s="420"/>
      <c r="EA205" s="420"/>
      <c r="EB205" s="420"/>
      <c r="EC205" s="420"/>
      <c r="ED205" s="420"/>
      <c r="EE205" s="420"/>
      <c r="EF205" s="420"/>
      <c r="EG205" s="420"/>
      <c r="EH205" s="420"/>
      <c r="EI205" s="420"/>
      <c r="EJ205" s="420"/>
      <c r="EK205" s="420"/>
      <c r="EL205" s="420"/>
      <c r="EM205" s="420"/>
      <c r="EN205" s="420"/>
      <c r="EO205" s="420"/>
      <c r="EP205" s="420"/>
      <c r="EQ205" s="420"/>
      <c r="ER205" s="420"/>
      <c r="ES205" s="420"/>
      <c r="ET205" s="420"/>
      <c r="EU205" s="420"/>
      <c r="EV205" s="420"/>
      <c r="EW205" s="420"/>
      <c r="EX205" s="420"/>
      <c r="EY205" s="420"/>
      <c r="EZ205" s="420"/>
      <c r="FA205" s="420"/>
      <c r="FB205" s="420"/>
      <c r="FC205" s="420"/>
      <c r="FD205" s="420"/>
      <c r="FE205" s="420"/>
      <c r="FF205" s="420"/>
      <c r="FG205" s="420"/>
      <c r="FH205" s="420"/>
      <c r="FI205" s="420"/>
      <c r="FJ205" s="420"/>
      <c r="FK205" s="420"/>
      <c r="FL205" s="420"/>
      <c r="FM205" s="420"/>
      <c r="FN205" s="420"/>
      <c r="FO205" s="420"/>
      <c r="FP205" s="420"/>
      <c r="FQ205" s="420"/>
      <c r="FR205" s="420"/>
      <c r="FS205" s="420"/>
      <c r="FT205" s="420"/>
      <c r="FU205" s="420"/>
      <c r="FV205" s="420"/>
      <c r="FW205" s="420"/>
      <c r="FX205" s="420"/>
      <c r="FY205" s="420"/>
      <c r="FZ205" s="420"/>
      <c r="GA205" s="420"/>
      <c r="GB205" s="420"/>
      <c r="GC205" s="420"/>
      <c r="GD205" s="420"/>
      <c r="GE205" s="420"/>
      <c r="GF205" s="420"/>
      <c r="GG205" s="420"/>
      <c r="GH205" s="420"/>
      <c r="GI205" s="420"/>
      <c r="GJ205" s="420"/>
      <c r="GK205" s="420"/>
      <c r="GL205" s="420"/>
      <c r="GM205" s="420"/>
      <c r="GN205" s="420"/>
      <c r="GO205" s="420"/>
      <c r="GP205" s="420"/>
      <c r="GQ205" s="420"/>
      <c r="GR205" s="420"/>
      <c r="GS205" s="420"/>
      <c r="GT205" s="420"/>
      <c r="GU205" s="420"/>
      <c r="GV205" s="420"/>
      <c r="GW205" s="420"/>
      <c r="GX205" s="420"/>
      <c r="GY205" s="420"/>
      <c r="GZ205" s="420"/>
      <c r="HA205" s="420"/>
      <c r="HB205" s="420"/>
      <c r="HC205" s="420"/>
      <c r="HD205" s="420"/>
      <c r="HE205" s="420"/>
      <c r="HF205" s="420"/>
      <c r="HG205" s="420"/>
      <c r="HH205" s="420"/>
      <c r="HI205" s="420"/>
      <c r="HJ205" s="420"/>
      <c r="HK205" s="420"/>
      <c r="HL205" s="420"/>
      <c r="HM205" s="420"/>
      <c r="HN205" s="420"/>
      <c r="HO205" s="420"/>
      <c r="HP205" s="420"/>
      <c r="HQ205" s="420"/>
      <c r="HR205" s="420"/>
      <c r="HS205" s="420"/>
      <c r="HT205" s="420"/>
      <c r="HU205" s="420"/>
      <c r="HV205" s="420"/>
      <c r="HW205" s="420"/>
      <c r="HX205" s="420"/>
      <c r="HY205" s="420"/>
      <c r="HZ205" s="420"/>
      <c r="IA205" s="420"/>
      <c r="IB205" s="420"/>
      <c r="IC205" s="420"/>
      <c r="ID205" s="420"/>
      <c r="IE205" s="420"/>
      <c r="IF205" s="420"/>
      <c r="IG205" s="420"/>
      <c r="IH205" s="420"/>
      <c r="II205" s="420"/>
      <c r="IJ205" s="420"/>
      <c r="IK205" s="420"/>
      <c r="IL205" s="420"/>
      <c r="IM205" s="420"/>
      <c r="IN205" s="420"/>
      <c r="IO205" s="420"/>
      <c r="IP205" s="420"/>
      <c r="IQ205" s="420"/>
      <c r="IR205" s="420"/>
      <c r="IS205" s="420"/>
      <c r="IT205" s="420"/>
      <c r="IU205" s="420"/>
      <c r="IV205" s="420"/>
      <c r="IW205" s="420"/>
      <c r="IX205" s="420"/>
      <c r="IY205" s="420"/>
      <c r="IZ205" s="420"/>
      <c r="JA205" s="420"/>
    </row>
    <row r="206" spans="1:261" s="425" customFormat="1" ht="20.100000000000001" customHeight="1" x14ac:dyDescent="0.2">
      <c r="A206" s="783">
        <v>196</v>
      </c>
      <c r="B206" s="2311" t="s">
        <v>13</v>
      </c>
      <c r="C206" s="2312"/>
      <c r="D206" s="2312"/>
      <c r="E206" s="2312"/>
      <c r="F206" s="2312"/>
      <c r="G206" s="2313"/>
      <c r="H206" s="1580"/>
      <c r="I206" s="1971"/>
      <c r="J206" s="1971"/>
      <c r="K206" s="1971"/>
      <c r="L206" s="1971"/>
      <c r="M206" s="1971"/>
      <c r="N206" s="1971"/>
      <c r="O206" s="1971"/>
      <c r="P206" s="1582">
        <f>SUM(P11:P202)</f>
        <v>28736</v>
      </c>
    </row>
    <row r="207" spans="1:261" s="425" customFormat="1" ht="21.95" customHeight="1" x14ac:dyDescent="0.3">
      <c r="A207" s="783">
        <v>197</v>
      </c>
      <c r="B207" s="1864"/>
      <c r="C207" s="1865"/>
      <c r="D207" s="2304" t="s">
        <v>311</v>
      </c>
      <c r="E207" s="2305"/>
      <c r="F207" s="2305"/>
      <c r="G207" s="2306"/>
      <c r="H207" s="1872"/>
      <c r="I207" s="1969">
        <f t="shared" ref="I207:N207" si="18">I193+I188+I183+I178+I173+I168+I163+I158+I153+I148+I143+I138+I133+I128+I123+I118+I113+I108+I103+I98+I93+I88+I83+I78+I73+I68+I63+I58+I53+I48+I43+I38+I33+I28+I23+I18+I13+I198</f>
        <v>327</v>
      </c>
      <c r="J207" s="1969">
        <f t="shared" si="18"/>
        <v>169</v>
      </c>
      <c r="K207" s="1969">
        <f t="shared" si="18"/>
        <v>287241</v>
      </c>
      <c r="L207" s="1969">
        <f t="shared" si="18"/>
        <v>4529</v>
      </c>
      <c r="M207" s="1969">
        <f t="shared" si="18"/>
        <v>10258653</v>
      </c>
      <c r="N207" s="1969">
        <f t="shared" si="18"/>
        <v>5000</v>
      </c>
      <c r="O207" s="1970">
        <f>O193+O188+O183+O178+O173+O168+O163+O158+O153+O148+O143+O138+O133+O128+O123+O118+O113+O108+O103+O98+O93+O88+O83+O78+O73+O68+O63+O58+O53+O48+O43+O38+O33+O28+O23+O18+O13</f>
        <v>10553419</v>
      </c>
      <c r="P207" s="1873"/>
    </row>
    <row r="208" spans="1:261" s="425" customFormat="1" ht="21.95" customHeight="1" x14ac:dyDescent="0.35">
      <c r="A208" s="783">
        <v>198</v>
      </c>
      <c r="B208" s="1864"/>
      <c r="C208" s="1865"/>
      <c r="D208" s="1875" t="s">
        <v>1072</v>
      </c>
      <c r="E208" s="1986"/>
      <c r="F208" s="1986"/>
      <c r="G208" s="1987"/>
      <c r="H208" s="1872"/>
      <c r="I208" s="1876">
        <f>I194+I189+I184+I179+I174+I169+I164+I159+I154+I149+I144+I139+I134+I129+I124+I119+I114+I109+I104+I99+I94+I89+I84+I79+I74+I69+I64+I59+I54+I49+I44+I39+I34+I29+I24+I19+I14+I199+I203</f>
        <v>5870</v>
      </c>
      <c r="J208" s="1876">
        <f t="shared" ref="J208:N208" si="19">J194+J189+J184+J179+J174+J169+J164+J159+J154+J149+J144+J139+J134+J129+J124+J119+J114+J109+J104+J99+J94+J89+J84+J79+J74+J69+J64+J59+J54+J49+J44+J39+J34+J29+J24+J19+J14+J199+J203</f>
        <v>1261</v>
      </c>
      <c r="K208" s="1876">
        <f t="shared" si="19"/>
        <v>122497</v>
      </c>
      <c r="L208" s="1876">
        <f t="shared" si="19"/>
        <v>115708</v>
      </c>
      <c r="M208" s="1876">
        <f t="shared" si="19"/>
        <v>8868447</v>
      </c>
      <c r="N208" s="1876">
        <f t="shared" si="19"/>
        <v>1536576</v>
      </c>
      <c r="O208" s="777">
        <f>SUM(I208:N208)</f>
        <v>10650359</v>
      </c>
      <c r="P208" s="1873"/>
    </row>
    <row r="209" spans="1:16" s="425" customFormat="1" ht="21.95" customHeight="1" x14ac:dyDescent="0.3">
      <c r="A209" s="783">
        <v>199</v>
      </c>
      <c r="B209" s="1534"/>
      <c r="C209" s="1535"/>
      <c r="D209" s="2235" t="s">
        <v>963</v>
      </c>
      <c r="E209" s="2307"/>
      <c r="F209" s="2307"/>
      <c r="G209" s="2308"/>
      <c r="H209" s="1530"/>
      <c r="I209" s="1341">
        <f>I204+I195+I190+I185+I180+I175+I170+I165+I160+I155+I150+I145+I140+I135+I130+I125+I120+I115+I110+I105+I100+I95+I90+I85+I80+I75+I70+I65+I60+I55+I50+I45+I40+I35+I30+I25+I20+I15+I200</f>
        <v>0</v>
      </c>
      <c r="J209" s="1341">
        <f t="shared" ref="J209:N209" si="20">J204+J195+J190+J185+J180+J175+J170+J165+J160+J155+J150+J145+J140+J135+J130+J125+J120+J115+J110+J105+J100+J95+J90+J85+J80+J75+J70+J65+J60+J55+J50+J45+J40+J35+J30+J25+J20+J15+J200</f>
        <v>0</v>
      </c>
      <c r="K209" s="1341">
        <f t="shared" si="20"/>
        <v>-10750</v>
      </c>
      <c r="L209" s="1341">
        <f t="shared" si="20"/>
        <v>28234</v>
      </c>
      <c r="M209" s="1341">
        <f t="shared" si="20"/>
        <v>-771853</v>
      </c>
      <c r="N209" s="1341">
        <f t="shared" si="20"/>
        <v>894154</v>
      </c>
      <c r="O209" s="1988">
        <f>SUM(I209:N209)</f>
        <v>139785</v>
      </c>
      <c r="P209" s="1538"/>
    </row>
    <row r="210" spans="1:16" s="425" customFormat="1" ht="21.95" customHeight="1" thickBot="1" x14ac:dyDescent="0.4">
      <c r="A210" s="783">
        <v>200</v>
      </c>
      <c r="B210" s="1536"/>
      <c r="C210" s="1537"/>
      <c r="D210" s="2232" t="s">
        <v>1151</v>
      </c>
      <c r="E210" s="2309"/>
      <c r="F210" s="2309"/>
      <c r="G210" s="2310"/>
      <c r="H210" s="1532"/>
      <c r="I210" s="1533">
        <f>SUM(I208:I209)</f>
        <v>5870</v>
      </c>
      <c r="J210" s="1533">
        <f t="shared" ref="J210:N210" si="21">SUM(J208:J209)</f>
        <v>1261</v>
      </c>
      <c r="K210" s="1533">
        <f t="shared" si="21"/>
        <v>111747</v>
      </c>
      <c r="L210" s="1533">
        <f t="shared" si="21"/>
        <v>143942</v>
      </c>
      <c r="M210" s="1533">
        <f t="shared" si="21"/>
        <v>8096594</v>
      </c>
      <c r="N210" s="1533">
        <f t="shared" si="21"/>
        <v>2430730</v>
      </c>
      <c r="O210" s="1566">
        <f>SUM(I210:N210)</f>
        <v>10790144</v>
      </c>
      <c r="P210" s="1539"/>
    </row>
    <row r="211" spans="1:16" ht="18" customHeight="1" x14ac:dyDescent="0.35">
      <c r="B211" s="774" t="s">
        <v>27</v>
      </c>
      <c r="C211" s="775"/>
      <c r="D211" s="774"/>
      <c r="E211" s="434"/>
      <c r="F211" s="435"/>
      <c r="G211" s="434"/>
      <c r="H211" s="761"/>
      <c r="I211" s="434"/>
      <c r="J211" s="434"/>
      <c r="K211" s="434"/>
      <c r="L211" s="434"/>
      <c r="M211" s="434"/>
      <c r="N211" s="434"/>
      <c r="O211" s="785"/>
    </row>
    <row r="212" spans="1:16" ht="18" customHeight="1" x14ac:dyDescent="0.35">
      <c r="B212" s="774" t="s">
        <v>28</v>
      </c>
      <c r="C212" s="775"/>
      <c r="D212" s="774"/>
      <c r="E212" s="643"/>
      <c r="F212" s="435"/>
      <c r="G212" s="434"/>
      <c r="H212" s="761"/>
      <c r="I212" s="434"/>
      <c r="J212" s="434"/>
      <c r="K212" s="434"/>
      <c r="L212" s="434"/>
      <c r="M212" s="434"/>
      <c r="N212" s="434"/>
      <c r="O212" s="785"/>
    </row>
    <row r="213" spans="1:16" ht="18" customHeight="1" x14ac:dyDescent="0.35">
      <c r="B213" s="774" t="s">
        <v>29</v>
      </c>
      <c r="C213" s="775"/>
      <c r="D213" s="774"/>
      <c r="E213" s="643"/>
      <c r="F213" s="435"/>
      <c r="G213" s="434"/>
      <c r="H213" s="761"/>
      <c r="I213" s="434"/>
      <c r="J213" s="434"/>
      <c r="K213" s="434"/>
      <c r="L213" s="434"/>
      <c r="M213" s="434"/>
      <c r="N213" s="434"/>
      <c r="O213" s="785"/>
    </row>
    <row r="214" spans="1:16" x14ac:dyDescent="0.35">
      <c r="B214" s="431" t="s">
        <v>649</v>
      </c>
      <c r="C214" s="431"/>
    </row>
  </sheetData>
  <mergeCells count="21">
    <mergeCell ref="B1:P1"/>
    <mergeCell ref="B2:P2"/>
    <mergeCell ref="Q8:R8"/>
    <mergeCell ref="B8:B10"/>
    <mergeCell ref="E8:E10"/>
    <mergeCell ref="A4:P4"/>
    <mergeCell ref="A5:P5"/>
    <mergeCell ref="D8:D10"/>
    <mergeCell ref="F8:F10"/>
    <mergeCell ref="G8:G10"/>
    <mergeCell ref="I8:O8"/>
    <mergeCell ref="P8:P10"/>
    <mergeCell ref="I9:L9"/>
    <mergeCell ref="M9:N9"/>
    <mergeCell ref="O9:O10"/>
    <mergeCell ref="H8:H10"/>
    <mergeCell ref="D207:G207"/>
    <mergeCell ref="D209:G209"/>
    <mergeCell ref="D210:G210"/>
    <mergeCell ref="B206:G206"/>
    <mergeCell ref="C8:C10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60" fitToHeight="0" orientation="landscape" r:id="rId1"/>
  <headerFooter>
    <oddFooter>&amp;C- &amp;P -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A83"/>
  <sheetViews>
    <sheetView view="pageBreakPreview" topLeftCell="A13" zoomScale="88" zoomScaleNormal="100" zoomScaleSheetLayoutView="88" workbookViewId="0">
      <selection activeCell="I78" sqref="I78"/>
    </sheetView>
  </sheetViews>
  <sheetFormatPr defaultColWidth="9.140625" defaultRowHeight="17.25" x14ac:dyDescent="0.35"/>
  <cols>
    <col min="1" max="1" width="3.7109375" style="760" customWidth="1"/>
    <col min="2" max="3" width="5.7109375" style="898" customWidth="1"/>
    <col min="4" max="4" width="62.7109375" style="420" customWidth="1"/>
    <col min="5" max="5" width="12.7109375" style="897" customWidth="1"/>
    <col min="6" max="7" width="10.7109375" style="897" customWidth="1"/>
    <col min="8" max="8" width="6.7109375" style="763" customWidth="1"/>
    <col min="9" max="14" width="14.85546875" style="897" customWidth="1"/>
    <col min="15" max="15" width="15.7109375" style="784" customWidth="1"/>
    <col min="16" max="16" width="13.85546875" style="897" customWidth="1"/>
    <col min="17" max="16384" width="9.140625" style="420"/>
  </cols>
  <sheetData>
    <row r="1" spans="1:261" ht="18" customHeight="1" x14ac:dyDescent="0.3">
      <c r="A1" s="2261" t="s">
        <v>669</v>
      </c>
      <c r="B1" s="2261"/>
      <c r="C1" s="2261"/>
      <c r="D1" s="2261"/>
      <c r="E1" s="643"/>
      <c r="F1" s="643"/>
      <c r="G1" s="643"/>
      <c r="H1" s="761"/>
      <c r="I1" s="2298"/>
      <c r="J1" s="2298"/>
      <c r="K1" s="2298"/>
      <c r="L1" s="2298"/>
      <c r="M1" s="2298"/>
      <c r="N1" s="2298"/>
      <c r="O1" s="2298"/>
      <c r="P1" s="2298"/>
      <c r="Q1" s="762"/>
      <c r="R1" s="762"/>
      <c r="S1" s="762"/>
      <c r="T1" s="762"/>
      <c r="U1" s="762"/>
      <c r="V1" s="762"/>
      <c r="W1" s="762"/>
      <c r="X1" s="762"/>
      <c r="Y1" s="762"/>
      <c r="Z1" s="762"/>
      <c r="AA1" s="762"/>
      <c r="AB1" s="762"/>
      <c r="AC1" s="762"/>
      <c r="AD1" s="762"/>
      <c r="AE1" s="762"/>
      <c r="AF1" s="762"/>
      <c r="AG1" s="762"/>
      <c r="AH1" s="762"/>
      <c r="AI1" s="762"/>
      <c r="AJ1" s="762"/>
      <c r="AK1" s="762"/>
      <c r="AL1" s="762"/>
      <c r="AM1" s="762"/>
      <c r="AN1" s="762"/>
      <c r="AO1" s="762"/>
      <c r="AP1" s="762"/>
      <c r="AQ1" s="762"/>
      <c r="AR1" s="762"/>
      <c r="AS1" s="762"/>
      <c r="AT1" s="762"/>
      <c r="AU1" s="762"/>
      <c r="AV1" s="762"/>
      <c r="AW1" s="762"/>
      <c r="AX1" s="762"/>
      <c r="AY1" s="762"/>
      <c r="AZ1" s="762"/>
      <c r="BA1" s="762"/>
      <c r="BB1" s="762"/>
      <c r="BC1" s="762"/>
      <c r="BD1" s="762"/>
      <c r="BE1" s="762"/>
      <c r="BF1" s="762"/>
      <c r="BG1" s="762"/>
      <c r="BH1" s="762"/>
      <c r="BI1" s="762"/>
      <c r="BJ1" s="762"/>
      <c r="BK1" s="762"/>
      <c r="BL1" s="762"/>
      <c r="BM1" s="762"/>
      <c r="BN1" s="762"/>
      <c r="BO1" s="762"/>
      <c r="BP1" s="762"/>
      <c r="BQ1" s="762"/>
      <c r="BR1" s="762"/>
      <c r="BS1" s="762"/>
      <c r="BT1" s="762"/>
      <c r="BU1" s="762"/>
      <c r="BV1" s="762"/>
      <c r="BW1" s="762"/>
      <c r="BX1" s="762"/>
      <c r="BY1" s="762"/>
      <c r="BZ1" s="762"/>
      <c r="CA1" s="762"/>
      <c r="CB1" s="762"/>
      <c r="CC1" s="762"/>
      <c r="CD1" s="762"/>
      <c r="CE1" s="762"/>
      <c r="CF1" s="762"/>
      <c r="CG1" s="762"/>
      <c r="CH1" s="762"/>
      <c r="CI1" s="762"/>
      <c r="CJ1" s="762"/>
      <c r="CK1" s="762"/>
      <c r="CL1" s="762"/>
      <c r="CM1" s="762"/>
      <c r="CN1" s="762"/>
      <c r="CO1" s="762"/>
      <c r="CP1" s="762"/>
      <c r="CQ1" s="762"/>
      <c r="CR1" s="762"/>
      <c r="CS1" s="762"/>
      <c r="CT1" s="762"/>
      <c r="CU1" s="762"/>
      <c r="CV1" s="762"/>
      <c r="CW1" s="762"/>
      <c r="CX1" s="762"/>
      <c r="CY1" s="762"/>
      <c r="CZ1" s="762"/>
      <c r="DA1" s="762"/>
      <c r="DB1" s="762"/>
      <c r="DC1" s="762"/>
      <c r="DD1" s="762"/>
      <c r="DE1" s="762"/>
      <c r="DF1" s="762"/>
      <c r="DG1" s="762"/>
      <c r="DH1" s="762"/>
      <c r="DI1" s="762"/>
      <c r="DJ1" s="762"/>
      <c r="DK1" s="762"/>
      <c r="DL1" s="762"/>
      <c r="DM1" s="762"/>
      <c r="DN1" s="762"/>
      <c r="DO1" s="762"/>
      <c r="DP1" s="762"/>
      <c r="DQ1" s="762"/>
      <c r="DR1" s="762"/>
      <c r="DS1" s="762"/>
      <c r="DT1" s="762"/>
      <c r="DU1" s="762"/>
      <c r="DV1" s="762"/>
      <c r="DW1" s="762"/>
      <c r="DX1" s="762"/>
      <c r="DY1" s="762"/>
      <c r="DZ1" s="762"/>
      <c r="EA1" s="762"/>
      <c r="EB1" s="762"/>
      <c r="EC1" s="762"/>
      <c r="ED1" s="762"/>
      <c r="EE1" s="762"/>
      <c r="EF1" s="762"/>
      <c r="EG1" s="762"/>
      <c r="EH1" s="762"/>
      <c r="EI1" s="762"/>
      <c r="EJ1" s="762"/>
      <c r="EK1" s="762"/>
      <c r="EL1" s="762"/>
      <c r="EM1" s="762"/>
      <c r="EN1" s="762"/>
      <c r="EO1" s="762"/>
      <c r="EP1" s="762"/>
      <c r="EQ1" s="762"/>
      <c r="ER1" s="762"/>
      <c r="ES1" s="762"/>
      <c r="ET1" s="762"/>
      <c r="EU1" s="762"/>
      <c r="EV1" s="762"/>
      <c r="EW1" s="762"/>
      <c r="EX1" s="762"/>
      <c r="EY1" s="762"/>
      <c r="EZ1" s="762"/>
      <c r="FA1" s="762"/>
      <c r="FB1" s="762"/>
      <c r="FC1" s="762"/>
      <c r="FD1" s="762"/>
      <c r="FE1" s="762"/>
      <c r="FF1" s="762"/>
      <c r="FG1" s="762"/>
      <c r="FH1" s="762"/>
      <c r="FI1" s="762"/>
      <c r="FJ1" s="762"/>
      <c r="FK1" s="762"/>
      <c r="FL1" s="762"/>
      <c r="FM1" s="762"/>
      <c r="FN1" s="762"/>
      <c r="FO1" s="762"/>
      <c r="FP1" s="762"/>
      <c r="FQ1" s="762"/>
      <c r="FR1" s="762"/>
      <c r="FS1" s="762"/>
      <c r="FT1" s="762"/>
      <c r="FU1" s="762"/>
      <c r="FV1" s="762"/>
      <c r="FW1" s="762"/>
      <c r="FX1" s="762"/>
      <c r="FY1" s="762"/>
      <c r="FZ1" s="762"/>
      <c r="GA1" s="762"/>
      <c r="GB1" s="762"/>
      <c r="GC1" s="762"/>
      <c r="GD1" s="762"/>
      <c r="GE1" s="762"/>
      <c r="GF1" s="762"/>
      <c r="GG1" s="762"/>
      <c r="GH1" s="762"/>
      <c r="GI1" s="762"/>
      <c r="GJ1" s="762"/>
      <c r="GK1" s="762"/>
      <c r="GL1" s="762"/>
      <c r="GM1" s="762"/>
      <c r="GN1" s="762"/>
      <c r="GO1" s="762"/>
      <c r="GP1" s="762"/>
      <c r="GQ1" s="762"/>
      <c r="GR1" s="762"/>
      <c r="GS1" s="762"/>
      <c r="GT1" s="762"/>
      <c r="GU1" s="762"/>
      <c r="GV1" s="762"/>
      <c r="GW1" s="762"/>
      <c r="GX1" s="762"/>
      <c r="GY1" s="762"/>
      <c r="GZ1" s="762"/>
      <c r="HA1" s="762"/>
      <c r="HB1" s="762"/>
      <c r="HC1" s="762"/>
      <c r="HD1" s="762"/>
      <c r="HE1" s="762"/>
      <c r="HF1" s="762"/>
      <c r="HG1" s="762"/>
      <c r="HH1" s="762"/>
      <c r="HI1" s="762"/>
      <c r="HJ1" s="762"/>
      <c r="HK1" s="762"/>
      <c r="HL1" s="762"/>
      <c r="HM1" s="762"/>
      <c r="HN1" s="762"/>
      <c r="HO1" s="762"/>
      <c r="HP1" s="762"/>
      <c r="HQ1" s="762"/>
      <c r="HR1" s="762"/>
      <c r="HS1" s="762"/>
      <c r="HT1" s="762"/>
      <c r="HU1" s="762"/>
      <c r="HV1" s="762"/>
      <c r="HW1" s="762"/>
      <c r="HX1" s="762"/>
      <c r="HY1" s="762"/>
      <c r="HZ1" s="762"/>
      <c r="IA1" s="762"/>
      <c r="IB1" s="762"/>
      <c r="IC1" s="762"/>
      <c r="ID1" s="762"/>
      <c r="IE1" s="762"/>
      <c r="IF1" s="762"/>
      <c r="IG1" s="762"/>
      <c r="IH1" s="762"/>
      <c r="II1" s="762"/>
      <c r="IJ1" s="762"/>
      <c r="IK1" s="762"/>
      <c r="IL1" s="762"/>
      <c r="IM1" s="762"/>
      <c r="IN1" s="762"/>
      <c r="IO1" s="762"/>
      <c r="IP1" s="762"/>
    </row>
    <row r="2" spans="1:261" ht="24.75" customHeight="1" x14ac:dyDescent="0.35">
      <c r="A2" s="2265" t="s">
        <v>14</v>
      </c>
      <c r="B2" s="2265"/>
      <c r="C2" s="2265"/>
      <c r="D2" s="2265"/>
      <c r="E2" s="2265"/>
      <c r="F2" s="2265"/>
      <c r="G2" s="2265"/>
      <c r="H2" s="2265"/>
      <c r="I2" s="2265"/>
      <c r="J2" s="2265"/>
      <c r="K2" s="2265"/>
      <c r="L2" s="2265"/>
      <c r="M2" s="2265"/>
      <c r="N2" s="2265"/>
      <c r="O2" s="2265"/>
      <c r="P2" s="2265"/>
    </row>
    <row r="3" spans="1:261" ht="24.75" customHeight="1" x14ac:dyDescent="0.35">
      <c r="A3" s="2324" t="s">
        <v>1155</v>
      </c>
      <c r="B3" s="2324"/>
      <c r="C3" s="2324"/>
      <c r="D3" s="2324"/>
      <c r="E3" s="2324"/>
      <c r="F3" s="2324"/>
      <c r="G3" s="2324"/>
      <c r="H3" s="2324"/>
      <c r="I3" s="2324"/>
      <c r="J3" s="2324"/>
      <c r="K3" s="2324"/>
      <c r="L3" s="2324"/>
      <c r="M3" s="2324"/>
      <c r="N3" s="2324"/>
      <c r="O3" s="2324"/>
      <c r="P3" s="2324"/>
    </row>
    <row r="4" spans="1:261" s="978" customFormat="1" ht="18" customHeight="1" x14ac:dyDescent="0.3">
      <c r="A4" s="760"/>
      <c r="B4" s="760"/>
      <c r="C4" s="760"/>
      <c r="E4" s="718"/>
      <c r="F4" s="718"/>
      <c r="G4" s="718"/>
      <c r="H4" s="979"/>
      <c r="I4" s="718"/>
      <c r="J4" s="718"/>
      <c r="K4" s="718"/>
      <c r="L4" s="718"/>
      <c r="M4" s="718"/>
      <c r="N4" s="718"/>
      <c r="O4" s="980"/>
      <c r="P4" s="724" t="s">
        <v>0</v>
      </c>
    </row>
    <row r="5" spans="1:261" s="984" customFormat="1" ht="18" customHeight="1" thickBot="1" x14ac:dyDescent="0.35">
      <c r="A5" s="981"/>
      <c r="B5" s="982" t="s">
        <v>1</v>
      </c>
      <c r="C5" s="983" t="s">
        <v>3</v>
      </c>
      <c r="D5" s="983" t="s">
        <v>2</v>
      </c>
      <c r="E5" s="983" t="s">
        <v>4</v>
      </c>
      <c r="F5" s="983" t="s">
        <v>5</v>
      </c>
      <c r="G5" s="983" t="s">
        <v>15</v>
      </c>
      <c r="H5" s="983" t="s">
        <v>16</v>
      </c>
      <c r="I5" s="983" t="s">
        <v>17</v>
      </c>
      <c r="J5" s="983" t="s">
        <v>36</v>
      </c>
      <c r="K5" s="983" t="s">
        <v>30</v>
      </c>
      <c r="L5" s="983" t="s">
        <v>23</v>
      </c>
      <c r="M5" s="983" t="s">
        <v>37</v>
      </c>
      <c r="N5" s="983" t="s">
        <v>38</v>
      </c>
      <c r="O5" s="983" t="s">
        <v>160</v>
      </c>
      <c r="P5" s="983" t="s">
        <v>161</v>
      </c>
      <c r="Q5" s="981"/>
      <c r="R5" s="981"/>
      <c r="S5" s="981"/>
      <c r="T5" s="981"/>
      <c r="U5" s="981"/>
      <c r="V5" s="981"/>
      <c r="W5" s="981"/>
      <c r="X5" s="981"/>
      <c r="Y5" s="981"/>
      <c r="Z5" s="981"/>
      <c r="AA5" s="981"/>
      <c r="AB5" s="981"/>
      <c r="AC5" s="981"/>
      <c r="AD5" s="981"/>
      <c r="AE5" s="981"/>
      <c r="AF5" s="981"/>
      <c r="AG5" s="981"/>
      <c r="AH5" s="981"/>
      <c r="AI5" s="981"/>
      <c r="AJ5" s="981"/>
      <c r="AK5" s="981"/>
      <c r="AL5" s="981"/>
      <c r="AM5" s="981"/>
      <c r="AN5" s="981"/>
      <c r="AO5" s="981"/>
      <c r="AP5" s="981"/>
      <c r="AQ5" s="981"/>
      <c r="AR5" s="981"/>
      <c r="AS5" s="981"/>
      <c r="AT5" s="981"/>
      <c r="AU5" s="981"/>
      <c r="AV5" s="981"/>
      <c r="AW5" s="981"/>
      <c r="AX5" s="981"/>
      <c r="AY5" s="981"/>
      <c r="AZ5" s="981"/>
      <c r="BA5" s="981"/>
      <c r="BB5" s="981"/>
      <c r="BC5" s="981"/>
      <c r="BD5" s="981"/>
      <c r="BE5" s="981"/>
      <c r="BF5" s="981"/>
      <c r="BG5" s="981"/>
      <c r="BH5" s="981"/>
      <c r="BI5" s="981"/>
      <c r="BJ5" s="981"/>
      <c r="BK5" s="981"/>
      <c r="BL5" s="981"/>
      <c r="BM5" s="981"/>
      <c r="BN5" s="981"/>
      <c r="BO5" s="981"/>
      <c r="BP5" s="981"/>
      <c r="BQ5" s="981"/>
      <c r="BR5" s="981"/>
      <c r="BS5" s="981"/>
      <c r="BT5" s="981"/>
      <c r="BU5" s="981"/>
      <c r="BV5" s="981"/>
      <c r="BW5" s="981"/>
      <c r="BX5" s="981"/>
      <c r="BY5" s="981"/>
      <c r="BZ5" s="981"/>
      <c r="CA5" s="981"/>
      <c r="CB5" s="981"/>
      <c r="CC5" s="981"/>
      <c r="CD5" s="981"/>
      <c r="CE5" s="981"/>
      <c r="CF5" s="981"/>
      <c r="CG5" s="981"/>
      <c r="CH5" s="981"/>
      <c r="CI5" s="981"/>
      <c r="CJ5" s="981"/>
      <c r="CK5" s="981"/>
      <c r="CL5" s="981"/>
      <c r="CM5" s="981"/>
      <c r="CN5" s="981"/>
      <c r="CO5" s="981"/>
      <c r="CP5" s="981"/>
      <c r="CQ5" s="981"/>
      <c r="CR5" s="981"/>
      <c r="CS5" s="981"/>
      <c r="CT5" s="981"/>
      <c r="CU5" s="981"/>
      <c r="CV5" s="981"/>
      <c r="CW5" s="981"/>
      <c r="CX5" s="981"/>
      <c r="CY5" s="981"/>
      <c r="CZ5" s="981"/>
      <c r="DA5" s="981"/>
      <c r="DB5" s="981"/>
      <c r="DC5" s="981"/>
      <c r="DD5" s="981"/>
      <c r="DE5" s="981"/>
      <c r="DF5" s="981"/>
      <c r="DG5" s="981"/>
      <c r="DH5" s="981"/>
      <c r="DI5" s="981"/>
      <c r="DJ5" s="981"/>
      <c r="DK5" s="981"/>
      <c r="DL5" s="981"/>
      <c r="DM5" s="981"/>
      <c r="DN5" s="981"/>
      <c r="DO5" s="981"/>
      <c r="DP5" s="981"/>
      <c r="DQ5" s="981"/>
      <c r="DR5" s="981"/>
      <c r="DS5" s="981"/>
      <c r="DT5" s="981"/>
      <c r="DU5" s="981"/>
      <c r="DV5" s="981"/>
      <c r="DW5" s="981"/>
      <c r="DX5" s="981"/>
      <c r="DY5" s="981"/>
      <c r="DZ5" s="981"/>
      <c r="EA5" s="981"/>
      <c r="EB5" s="981"/>
      <c r="EC5" s="981"/>
      <c r="ED5" s="981"/>
      <c r="EE5" s="981"/>
      <c r="EF5" s="981"/>
      <c r="EG5" s="981"/>
      <c r="EH5" s="981"/>
      <c r="EI5" s="981"/>
      <c r="EJ5" s="981"/>
      <c r="EK5" s="981"/>
      <c r="EL5" s="981"/>
      <c r="EM5" s="981"/>
      <c r="EN5" s="981"/>
      <c r="EO5" s="981"/>
      <c r="EP5" s="981"/>
      <c r="EQ5" s="981"/>
      <c r="ER5" s="981"/>
      <c r="ES5" s="981"/>
      <c r="ET5" s="981"/>
      <c r="EU5" s="981"/>
      <c r="EV5" s="981"/>
      <c r="EW5" s="981"/>
      <c r="EX5" s="981"/>
      <c r="EY5" s="981"/>
      <c r="EZ5" s="981"/>
      <c r="FA5" s="981"/>
      <c r="FB5" s="981"/>
      <c r="FC5" s="981"/>
      <c r="FD5" s="981"/>
      <c r="FE5" s="981"/>
      <c r="FF5" s="981"/>
      <c r="FG5" s="981"/>
      <c r="FH5" s="981"/>
      <c r="FI5" s="981"/>
      <c r="FJ5" s="981"/>
      <c r="FK5" s="981"/>
      <c r="FL5" s="981"/>
      <c r="FM5" s="981"/>
      <c r="FN5" s="981"/>
      <c r="FO5" s="981"/>
      <c r="FP5" s="981"/>
      <c r="FQ5" s="981"/>
      <c r="FR5" s="981"/>
      <c r="FS5" s="981"/>
      <c r="FT5" s="981"/>
      <c r="FU5" s="981"/>
      <c r="FV5" s="981"/>
      <c r="FW5" s="981"/>
      <c r="FX5" s="981"/>
      <c r="FY5" s="981"/>
      <c r="FZ5" s="981"/>
      <c r="GA5" s="981"/>
      <c r="GB5" s="981"/>
      <c r="GC5" s="981"/>
      <c r="GD5" s="981"/>
      <c r="GE5" s="981"/>
      <c r="GF5" s="981"/>
      <c r="GG5" s="981"/>
      <c r="GH5" s="981"/>
      <c r="GI5" s="981"/>
      <c r="GJ5" s="981"/>
      <c r="GK5" s="981"/>
      <c r="GL5" s="981"/>
      <c r="GM5" s="981"/>
      <c r="GN5" s="981"/>
      <c r="GO5" s="981"/>
      <c r="GP5" s="981"/>
      <c r="GQ5" s="981"/>
      <c r="GR5" s="981"/>
      <c r="GS5" s="981"/>
      <c r="GT5" s="981"/>
      <c r="GU5" s="981"/>
      <c r="GV5" s="981"/>
      <c r="GW5" s="981"/>
      <c r="GX5" s="981"/>
      <c r="GY5" s="981"/>
      <c r="GZ5" s="981"/>
      <c r="HA5" s="981"/>
      <c r="HB5" s="981"/>
      <c r="HC5" s="981"/>
      <c r="HD5" s="981"/>
      <c r="HE5" s="981"/>
      <c r="HF5" s="981"/>
      <c r="HG5" s="981"/>
      <c r="HH5" s="981"/>
      <c r="HI5" s="981"/>
      <c r="HJ5" s="981"/>
      <c r="HK5" s="981"/>
      <c r="HL5" s="981"/>
      <c r="HM5" s="981"/>
      <c r="HN5" s="981"/>
      <c r="HO5" s="981"/>
      <c r="HP5" s="981"/>
      <c r="HQ5" s="981"/>
      <c r="HR5" s="981"/>
      <c r="HS5" s="981"/>
      <c r="HT5" s="981"/>
      <c r="HU5" s="981"/>
      <c r="HV5" s="981"/>
      <c r="HW5" s="981"/>
      <c r="HX5" s="981"/>
      <c r="HY5" s="981"/>
      <c r="HZ5" s="981"/>
      <c r="IA5" s="981"/>
      <c r="IB5" s="981"/>
      <c r="IC5" s="981"/>
      <c r="ID5" s="981"/>
      <c r="IE5" s="981"/>
      <c r="IF5" s="981"/>
      <c r="IG5" s="981"/>
      <c r="IH5" s="981"/>
      <c r="II5" s="981"/>
      <c r="IJ5" s="981"/>
      <c r="IK5" s="981"/>
      <c r="IL5" s="981"/>
      <c r="IM5" s="981"/>
      <c r="IN5" s="981"/>
      <c r="IO5" s="981"/>
      <c r="IP5" s="981"/>
    </row>
    <row r="6" spans="1:261" ht="22.5" customHeight="1" x14ac:dyDescent="0.3">
      <c r="B6" s="2318" t="s">
        <v>18</v>
      </c>
      <c r="C6" s="2314" t="s">
        <v>19</v>
      </c>
      <c r="D6" s="2325" t="s">
        <v>6</v>
      </c>
      <c r="E6" s="2321" t="s">
        <v>648</v>
      </c>
      <c r="F6" s="2321" t="s">
        <v>960</v>
      </c>
      <c r="G6" s="2328" t="s">
        <v>1020</v>
      </c>
      <c r="H6" s="2282" t="s">
        <v>20</v>
      </c>
      <c r="I6" s="2331" t="s">
        <v>634</v>
      </c>
      <c r="J6" s="2321"/>
      <c r="K6" s="2321"/>
      <c r="L6" s="2321"/>
      <c r="M6" s="2321"/>
      <c r="N6" s="2321"/>
      <c r="O6" s="2332"/>
      <c r="P6" s="2333" t="s">
        <v>644</v>
      </c>
      <c r="Q6" s="2317"/>
      <c r="R6" s="2317"/>
    </row>
    <row r="7" spans="1:261" ht="33" customHeight="1" x14ac:dyDescent="0.3">
      <c r="B7" s="2319"/>
      <c r="C7" s="2315"/>
      <c r="D7" s="2326"/>
      <c r="E7" s="2322"/>
      <c r="F7" s="2322"/>
      <c r="G7" s="2329"/>
      <c r="H7" s="2283"/>
      <c r="I7" s="2336" t="s">
        <v>650</v>
      </c>
      <c r="J7" s="2337"/>
      <c r="K7" s="2338"/>
      <c r="L7" s="2338"/>
      <c r="M7" s="2339" t="s">
        <v>163</v>
      </c>
      <c r="N7" s="2339"/>
      <c r="O7" s="2340" t="s">
        <v>129</v>
      </c>
      <c r="P7" s="2334"/>
    </row>
    <row r="8" spans="1:261" ht="53.25" customHeight="1" thickBot="1" x14ac:dyDescent="0.35">
      <c r="B8" s="2320"/>
      <c r="C8" s="2316"/>
      <c r="D8" s="2327"/>
      <c r="E8" s="2323"/>
      <c r="F8" s="2323"/>
      <c r="G8" s="2330"/>
      <c r="H8" s="2284"/>
      <c r="I8" s="1003" t="s">
        <v>40</v>
      </c>
      <c r="J8" s="764" t="s">
        <v>645</v>
      </c>
      <c r="K8" s="765" t="s">
        <v>42</v>
      </c>
      <c r="L8" s="765" t="s">
        <v>647</v>
      </c>
      <c r="M8" s="764" t="s">
        <v>231</v>
      </c>
      <c r="N8" s="764" t="s">
        <v>164</v>
      </c>
      <c r="O8" s="2341"/>
      <c r="P8" s="2335"/>
    </row>
    <row r="9" spans="1:261" s="768" customFormat="1" ht="22.5" customHeight="1" x14ac:dyDescent="0.35">
      <c r="A9" s="783">
        <v>1</v>
      </c>
      <c r="B9" s="766">
        <v>18</v>
      </c>
      <c r="C9" s="778" t="s">
        <v>14</v>
      </c>
      <c r="D9" s="991"/>
      <c r="E9" s="429"/>
      <c r="F9" s="427"/>
      <c r="G9" s="428"/>
      <c r="H9" s="1008"/>
      <c r="I9" s="1004"/>
      <c r="J9" s="786"/>
      <c r="K9" s="786"/>
      <c r="L9" s="786"/>
      <c r="M9" s="786"/>
      <c r="N9" s="786"/>
      <c r="O9" s="767"/>
      <c r="P9" s="770"/>
      <c r="Q9" s="420"/>
      <c r="R9" s="420"/>
      <c r="S9" s="420"/>
      <c r="T9" s="420"/>
      <c r="U9" s="420"/>
      <c r="V9" s="420"/>
      <c r="W9" s="420"/>
      <c r="X9" s="420"/>
      <c r="Y9" s="420"/>
      <c r="Z9" s="420"/>
      <c r="AA9" s="420"/>
      <c r="AB9" s="420"/>
      <c r="AC9" s="420"/>
      <c r="AD9" s="420"/>
      <c r="AE9" s="420"/>
      <c r="AF9" s="420"/>
      <c r="AG9" s="420"/>
      <c r="AH9" s="420"/>
      <c r="AI9" s="420"/>
      <c r="AJ9" s="420"/>
      <c r="AK9" s="420"/>
      <c r="AL9" s="420"/>
      <c r="AM9" s="420"/>
      <c r="AN9" s="420"/>
      <c r="AO9" s="420"/>
      <c r="AP9" s="420"/>
      <c r="AQ9" s="420"/>
      <c r="AR9" s="420"/>
      <c r="AS9" s="420"/>
      <c r="AT9" s="420"/>
      <c r="AU9" s="420"/>
      <c r="AV9" s="420"/>
      <c r="AW9" s="420"/>
      <c r="AX9" s="420"/>
      <c r="AY9" s="420"/>
      <c r="AZ9" s="420"/>
      <c r="BA9" s="420"/>
      <c r="BB9" s="420"/>
      <c r="BC9" s="420"/>
      <c r="BD9" s="420"/>
      <c r="BE9" s="420"/>
      <c r="BF9" s="420"/>
      <c r="BG9" s="420"/>
      <c r="BH9" s="420"/>
      <c r="BI9" s="420"/>
      <c r="BJ9" s="420"/>
      <c r="BK9" s="420"/>
      <c r="BL9" s="420"/>
      <c r="BM9" s="420"/>
      <c r="BN9" s="420"/>
      <c r="BO9" s="420"/>
      <c r="BP9" s="420"/>
      <c r="BQ9" s="420"/>
      <c r="BR9" s="420"/>
      <c r="BS9" s="420"/>
      <c r="BT9" s="420"/>
      <c r="BU9" s="420"/>
      <c r="BV9" s="420"/>
      <c r="BW9" s="420"/>
      <c r="BX9" s="420"/>
      <c r="BY9" s="420"/>
      <c r="BZ9" s="420"/>
      <c r="CA9" s="420"/>
      <c r="CB9" s="420"/>
      <c r="CC9" s="420"/>
      <c r="CD9" s="420"/>
      <c r="CE9" s="420"/>
      <c r="CF9" s="420"/>
      <c r="CG9" s="420"/>
      <c r="CH9" s="420"/>
      <c r="CI9" s="420"/>
      <c r="CJ9" s="420"/>
      <c r="CK9" s="420"/>
      <c r="CL9" s="420"/>
      <c r="CM9" s="420"/>
      <c r="CN9" s="420"/>
      <c r="CO9" s="420"/>
      <c r="CP9" s="420"/>
      <c r="CQ9" s="420"/>
      <c r="CR9" s="420"/>
      <c r="CS9" s="420"/>
      <c r="CT9" s="420"/>
      <c r="CU9" s="420"/>
      <c r="CV9" s="420"/>
      <c r="CW9" s="420"/>
      <c r="CX9" s="420"/>
      <c r="CY9" s="420"/>
      <c r="CZ9" s="420"/>
      <c r="DA9" s="420"/>
      <c r="DB9" s="420"/>
      <c r="DC9" s="420"/>
      <c r="DD9" s="420"/>
      <c r="DE9" s="420"/>
      <c r="DF9" s="420"/>
      <c r="DG9" s="420"/>
      <c r="DH9" s="420"/>
      <c r="DI9" s="420"/>
      <c r="DJ9" s="420"/>
      <c r="DK9" s="420"/>
      <c r="DL9" s="420"/>
      <c r="DM9" s="420"/>
      <c r="DN9" s="420"/>
      <c r="DO9" s="420"/>
      <c r="DP9" s="420"/>
      <c r="DQ9" s="420"/>
      <c r="DR9" s="420"/>
      <c r="DS9" s="420"/>
      <c r="DT9" s="420"/>
      <c r="DU9" s="420"/>
      <c r="DV9" s="420"/>
      <c r="DW9" s="420"/>
      <c r="DX9" s="420"/>
      <c r="DY9" s="420"/>
      <c r="DZ9" s="420"/>
      <c r="EA9" s="420"/>
      <c r="EB9" s="420"/>
      <c r="EC9" s="420"/>
      <c r="ED9" s="420"/>
      <c r="EE9" s="420"/>
      <c r="EF9" s="420"/>
      <c r="EG9" s="420"/>
      <c r="EH9" s="420"/>
      <c r="EI9" s="420"/>
      <c r="EJ9" s="420"/>
      <c r="EK9" s="420"/>
      <c r="EL9" s="420"/>
      <c r="EM9" s="420"/>
      <c r="EN9" s="420"/>
      <c r="EO9" s="420"/>
      <c r="EP9" s="420"/>
      <c r="EQ9" s="420"/>
      <c r="ER9" s="420"/>
      <c r="ES9" s="420"/>
      <c r="ET9" s="420"/>
      <c r="EU9" s="420"/>
      <c r="EV9" s="420"/>
      <c r="EW9" s="420"/>
      <c r="EX9" s="420"/>
      <c r="EY9" s="420"/>
      <c r="EZ9" s="420"/>
      <c r="FA9" s="420"/>
      <c r="FB9" s="420"/>
      <c r="FC9" s="420"/>
      <c r="FD9" s="420"/>
      <c r="FE9" s="420"/>
      <c r="FF9" s="420"/>
      <c r="FG9" s="420"/>
      <c r="FH9" s="420"/>
      <c r="FI9" s="420"/>
      <c r="FJ9" s="420"/>
      <c r="FK9" s="420"/>
      <c r="FL9" s="420"/>
      <c r="FM9" s="420"/>
      <c r="FN9" s="420"/>
      <c r="FO9" s="420"/>
      <c r="FP9" s="420"/>
      <c r="FQ9" s="420"/>
      <c r="FR9" s="420"/>
      <c r="FS9" s="420"/>
      <c r="FT9" s="420"/>
      <c r="FU9" s="420"/>
      <c r="FV9" s="420"/>
      <c r="FW9" s="420"/>
      <c r="FX9" s="420"/>
      <c r="FY9" s="420"/>
      <c r="FZ9" s="420"/>
      <c r="GA9" s="420"/>
      <c r="GB9" s="420"/>
      <c r="GC9" s="420"/>
      <c r="GD9" s="420"/>
      <c r="GE9" s="420"/>
      <c r="GF9" s="420"/>
      <c r="GG9" s="420"/>
      <c r="GH9" s="420"/>
      <c r="GI9" s="420"/>
      <c r="GJ9" s="420"/>
      <c r="GK9" s="420"/>
      <c r="GL9" s="420"/>
      <c r="GM9" s="420"/>
      <c r="GN9" s="420"/>
      <c r="GO9" s="420"/>
      <c r="GP9" s="420"/>
      <c r="GQ9" s="420"/>
      <c r="GR9" s="420"/>
      <c r="GS9" s="420"/>
      <c r="GT9" s="420"/>
      <c r="GU9" s="420"/>
      <c r="GV9" s="420"/>
      <c r="GW9" s="420"/>
      <c r="GX9" s="420"/>
      <c r="GY9" s="420"/>
      <c r="GZ9" s="420"/>
      <c r="HA9" s="420"/>
      <c r="HB9" s="420"/>
      <c r="HC9" s="420"/>
      <c r="HD9" s="420"/>
      <c r="HE9" s="420"/>
      <c r="HF9" s="420"/>
      <c r="HG9" s="420"/>
      <c r="HH9" s="420"/>
      <c r="HI9" s="420"/>
      <c r="HJ9" s="420"/>
      <c r="HK9" s="420"/>
      <c r="HL9" s="420"/>
      <c r="HM9" s="420"/>
      <c r="HN9" s="420"/>
      <c r="HO9" s="420"/>
      <c r="HP9" s="420"/>
      <c r="HQ9" s="420"/>
      <c r="HR9" s="420"/>
      <c r="HS9" s="420"/>
      <c r="HT9" s="420"/>
      <c r="HU9" s="420"/>
      <c r="HV9" s="420"/>
      <c r="HW9" s="420"/>
      <c r="HX9" s="420"/>
      <c r="HY9" s="420"/>
      <c r="HZ9" s="420"/>
      <c r="IA9" s="420"/>
      <c r="IB9" s="420"/>
      <c r="IC9" s="420"/>
      <c r="ID9" s="420"/>
      <c r="IE9" s="420"/>
      <c r="IF9" s="420"/>
      <c r="IG9" s="420"/>
      <c r="IH9" s="420"/>
      <c r="II9" s="420"/>
      <c r="IJ9" s="420"/>
      <c r="IK9" s="420"/>
      <c r="IL9" s="420"/>
      <c r="IM9" s="420"/>
      <c r="IN9" s="420"/>
      <c r="IO9" s="420"/>
      <c r="IP9" s="420"/>
      <c r="IQ9" s="420"/>
      <c r="IR9" s="420"/>
      <c r="IS9" s="420"/>
      <c r="IT9" s="420"/>
      <c r="IU9" s="420"/>
      <c r="IV9" s="420"/>
      <c r="IW9" s="420"/>
      <c r="IX9" s="420"/>
      <c r="IY9" s="420"/>
      <c r="IZ9" s="420"/>
      <c r="JA9" s="420"/>
    </row>
    <row r="10" spans="1:261" s="768" customFormat="1" ht="22.5" customHeight="1" x14ac:dyDescent="0.35">
      <c r="A10" s="783">
        <v>2</v>
      </c>
      <c r="B10" s="776"/>
      <c r="C10" s="466">
        <v>1</v>
      </c>
      <c r="D10" s="771" t="s">
        <v>699</v>
      </c>
      <c r="E10" s="432"/>
      <c r="F10" s="772"/>
      <c r="G10" s="433"/>
      <c r="H10" s="1009" t="s">
        <v>24</v>
      </c>
      <c r="I10" s="1027"/>
      <c r="J10" s="1023"/>
      <c r="K10" s="1023"/>
      <c r="L10" s="1023"/>
      <c r="M10" s="1023"/>
      <c r="N10" s="1023"/>
      <c r="O10" s="777"/>
      <c r="P10" s="773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420"/>
      <c r="AJ10" s="420"/>
      <c r="AK10" s="420"/>
      <c r="AL10" s="420"/>
      <c r="AM10" s="420"/>
      <c r="AN10" s="420"/>
      <c r="AO10" s="420"/>
      <c r="AP10" s="420"/>
      <c r="AQ10" s="420"/>
      <c r="AR10" s="420"/>
      <c r="AS10" s="420"/>
      <c r="AT10" s="420"/>
      <c r="AU10" s="420"/>
      <c r="AV10" s="420"/>
      <c r="AW10" s="420"/>
      <c r="AX10" s="420"/>
      <c r="AY10" s="420"/>
      <c r="AZ10" s="420"/>
      <c r="BA10" s="420"/>
      <c r="BB10" s="420"/>
      <c r="BC10" s="420"/>
      <c r="BD10" s="420"/>
      <c r="BE10" s="420"/>
      <c r="BF10" s="420"/>
      <c r="BG10" s="420"/>
      <c r="BH10" s="420"/>
      <c r="BI10" s="420"/>
      <c r="BJ10" s="420"/>
      <c r="BK10" s="420"/>
      <c r="BL10" s="420"/>
      <c r="BM10" s="420"/>
      <c r="BN10" s="420"/>
      <c r="BO10" s="420"/>
      <c r="BP10" s="420"/>
      <c r="BQ10" s="420"/>
      <c r="BR10" s="420"/>
      <c r="BS10" s="420"/>
      <c r="BT10" s="420"/>
      <c r="BU10" s="420"/>
      <c r="BV10" s="420"/>
      <c r="BW10" s="420"/>
      <c r="BX10" s="420"/>
      <c r="BY10" s="420"/>
      <c r="BZ10" s="420"/>
      <c r="CA10" s="420"/>
      <c r="CB10" s="420"/>
      <c r="CC10" s="420"/>
      <c r="CD10" s="420"/>
      <c r="CE10" s="420"/>
      <c r="CF10" s="420"/>
      <c r="CG10" s="420"/>
      <c r="CH10" s="420"/>
      <c r="CI10" s="420"/>
      <c r="CJ10" s="420"/>
      <c r="CK10" s="420"/>
      <c r="CL10" s="420"/>
      <c r="CM10" s="420"/>
      <c r="CN10" s="420"/>
      <c r="CO10" s="420"/>
      <c r="CP10" s="420"/>
      <c r="CQ10" s="420"/>
      <c r="CR10" s="420"/>
      <c r="CS10" s="420"/>
      <c r="CT10" s="420"/>
      <c r="CU10" s="420"/>
      <c r="CV10" s="420"/>
      <c r="CW10" s="420"/>
      <c r="CX10" s="420"/>
      <c r="CY10" s="420"/>
      <c r="CZ10" s="420"/>
      <c r="DA10" s="420"/>
      <c r="DB10" s="420"/>
      <c r="DC10" s="420"/>
      <c r="DD10" s="420"/>
      <c r="DE10" s="420"/>
      <c r="DF10" s="420"/>
      <c r="DG10" s="420"/>
      <c r="DH10" s="420"/>
      <c r="DI10" s="420"/>
      <c r="DJ10" s="420"/>
      <c r="DK10" s="420"/>
      <c r="DL10" s="420"/>
      <c r="DM10" s="420"/>
      <c r="DN10" s="420"/>
      <c r="DO10" s="420"/>
      <c r="DP10" s="420"/>
      <c r="DQ10" s="420"/>
      <c r="DR10" s="420"/>
      <c r="DS10" s="420"/>
      <c r="DT10" s="420"/>
      <c r="DU10" s="420"/>
      <c r="DV10" s="420"/>
      <c r="DW10" s="420"/>
      <c r="DX10" s="420"/>
      <c r="DY10" s="420"/>
      <c r="DZ10" s="420"/>
      <c r="EA10" s="420"/>
      <c r="EB10" s="420"/>
      <c r="EC10" s="420"/>
      <c r="ED10" s="420"/>
      <c r="EE10" s="420"/>
      <c r="EF10" s="420"/>
      <c r="EG10" s="420"/>
      <c r="EH10" s="420"/>
      <c r="EI10" s="420"/>
      <c r="EJ10" s="420"/>
      <c r="EK10" s="420"/>
      <c r="EL10" s="420"/>
      <c r="EM10" s="420"/>
      <c r="EN10" s="420"/>
      <c r="EO10" s="420"/>
      <c r="EP10" s="420"/>
      <c r="EQ10" s="420"/>
      <c r="ER10" s="420"/>
      <c r="ES10" s="420"/>
      <c r="ET10" s="420"/>
      <c r="EU10" s="420"/>
      <c r="EV10" s="420"/>
      <c r="EW10" s="420"/>
      <c r="EX10" s="420"/>
      <c r="EY10" s="420"/>
      <c r="EZ10" s="420"/>
      <c r="FA10" s="420"/>
      <c r="FB10" s="420"/>
      <c r="FC10" s="420"/>
      <c r="FD10" s="420"/>
      <c r="FE10" s="420"/>
      <c r="FF10" s="420"/>
      <c r="FG10" s="420"/>
      <c r="FH10" s="420"/>
      <c r="FI10" s="420"/>
      <c r="FJ10" s="420"/>
      <c r="FK10" s="420"/>
      <c r="FL10" s="420"/>
      <c r="FM10" s="420"/>
      <c r="FN10" s="420"/>
      <c r="FO10" s="420"/>
      <c r="FP10" s="420"/>
      <c r="FQ10" s="420"/>
      <c r="FR10" s="420"/>
      <c r="FS10" s="420"/>
      <c r="FT10" s="420"/>
      <c r="FU10" s="420"/>
      <c r="FV10" s="420"/>
      <c r="FW10" s="420"/>
      <c r="FX10" s="420"/>
      <c r="FY10" s="420"/>
      <c r="FZ10" s="420"/>
      <c r="GA10" s="420"/>
      <c r="GB10" s="420"/>
      <c r="GC10" s="420"/>
      <c r="GD10" s="420"/>
      <c r="GE10" s="420"/>
      <c r="GF10" s="420"/>
      <c r="GG10" s="420"/>
      <c r="GH10" s="420"/>
      <c r="GI10" s="420"/>
      <c r="GJ10" s="420"/>
      <c r="GK10" s="420"/>
      <c r="GL10" s="420"/>
      <c r="GM10" s="420"/>
      <c r="GN10" s="420"/>
      <c r="GO10" s="420"/>
      <c r="GP10" s="420"/>
      <c r="GQ10" s="420"/>
      <c r="GR10" s="420"/>
      <c r="GS10" s="420"/>
      <c r="GT10" s="420"/>
      <c r="GU10" s="420"/>
      <c r="GV10" s="420"/>
      <c r="GW10" s="420"/>
      <c r="GX10" s="420"/>
      <c r="GY10" s="420"/>
      <c r="GZ10" s="420"/>
      <c r="HA10" s="420"/>
      <c r="HB10" s="420"/>
      <c r="HC10" s="420"/>
      <c r="HD10" s="420"/>
      <c r="HE10" s="420"/>
      <c r="HF10" s="420"/>
      <c r="HG10" s="420"/>
      <c r="HH10" s="420"/>
      <c r="HI10" s="420"/>
      <c r="HJ10" s="420"/>
      <c r="HK10" s="420"/>
      <c r="HL10" s="420"/>
      <c r="HM10" s="420"/>
      <c r="HN10" s="420"/>
      <c r="HO10" s="420"/>
      <c r="HP10" s="420"/>
      <c r="HQ10" s="420"/>
      <c r="HR10" s="420"/>
      <c r="HS10" s="420"/>
      <c r="HT10" s="420"/>
      <c r="HU10" s="420"/>
      <c r="HV10" s="420"/>
      <c r="HW10" s="420"/>
      <c r="HX10" s="420"/>
      <c r="HY10" s="420"/>
      <c r="HZ10" s="420"/>
      <c r="IA10" s="420"/>
      <c r="IB10" s="420"/>
      <c r="IC10" s="420"/>
      <c r="ID10" s="420"/>
      <c r="IE10" s="420"/>
      <c r="IF10" s="420"/>
      <c r="IG10" s="420"/>
      <c r="IH10" s="420"/>
      <c r="II10" s="420"/>
      <c r="IJ10" s="420"/>
      <c r="IK10" s="420"/>
      <c r="IL10" s="420"/>
      <c r="IM10" s="420"/>
      <c r="IN10" s="420"/>
      <c r="IO10" s="420"/>
      <c r="IP10" s="420"/>
      <c r="IQ10" s="420"/>
      <c r="IR10" s="420"/>
      <c r="IS10" s="420"/>
      <c r="IT10" s="420"/>
      <c r="IU10" s="420"/>
      <c r="IV10" s="420"/>
      <c r="IW10" s="420"/>
      <c r="IX10" s="420"/>
      <c r="IY10" s="420"/>
      <c r="IZ10" s="420"/>
      <c r="JA10" s="420"/>
    </row>
    <row r="11" spans="1:261" s="1001" customFormat="1" ht="18" customHeight="1" x14ac:dyDescent="0.35">
      <c r="A11" s="783">
        <v>3</v>
      </c>
      <c r="B11" s="993"/>
      <c r="C11" s="994"/>
      <c r="D11" s="995" t="s">
        <v>311</v>
      </c>
      <c r="E11" s="432">
        <f>F11+G11+O14+P11</f>
        <v>8822998</v>
      </c>
      <c r="F11" s="772"/>
      <c r="G11" s="433">
        <f>106200</f>
        <v>106200</v>
      </c>
      <c r="H11" s="1010"/>
      <c r="I11" s="1027"/>
      <c r="J11" s="1023"/>
      <c r="K11" s="1023">
        <v>34384</v>
      </c>
      <c r="L11" s="1023"/>
      <c r="M11" s="1023">
        <v>694452</v>
      </c>
      <c r="N11" s="1023"/>
      <c r="O11" s="992">
        <f>SUM(I11:N11)</f>
        <v>728836</v>
      </c>
      <c r="P11" s="773">
        <v>4397322</v>
      </c>
      <c r="Q11" s="1032"/>
    </row>
    <row r="12" spans="1:261" s="1001" customFormat="1" ht="18" customHeight="1" x14ac:dyDescent="0.35">
      <c r="A12" s="783">
        <v>4</v>
      </c>
      <c r="B12" s="993"/>
      <c r="C12" s="994"/>
      <c r="D12" s="583" t="s">
        <v>1072</v>
      </c>
      <c r="E12" s="432"/>
      <c r="F12" s="772"/>
      <c r="G12" s="433"/>
      <c r="H12" s="1010"/>
      <c r="I12" s="1027"/>
      <c r="J12" s="1023"/>
      <c r="K12" s="1548">
        <v>97709</v>
      </c>
      <c r="L12" s="1548"/>
      <c r="M12" s="1548">
        <v>4221767</v>
      </c>
      <c r="N12" s="769"/>
      <c r="O12" s="777">
        <f>SUM(I12:N12)</f>
        <v>4319476</v>
      </c>
      <c r="P12" s="773"/>
      <c r="Q12" s="1032"/>
    </row>
    <row r="13" spans="1:261" s="1001" customFormat="1" ht="18" customHeight="1" x14ac:dyDescent="0.35">
      <c r="A13" s="783">
        <v>5</v>
      </c>
      <c r="B13" s="993"/>
      <c r="C13" s="994"/>
      <c r="D13" s="1338" t="s">
        <v>986</v>
      </c>
      <c r="E13" s="432"/>
      <c r="F13" s="772"/>
      <c r="G13" s="433"/>
      <c r="H13" s="1010"/>
      <c r="I13" s="1005"/>
      <c r="J13" s="769"/>
      <c r="K13" s="1810"/>
      <c r="L13" s="1810"/>
      <c r="M13" s="1810"/>
      <c r="N13" s="769"/>
      <c r="O13" s="777">
        <f>SUM(I13:N13)</f>
        <v>0</v>
      </c>
      <c r="P13" s="773"/>
      <c r="Q13" s="1032"/>
    </row>
    <row r="14" spans="1:261" s="1001" customFormat="1" ht="18" customHeight="1" x14ac:dyDescent="0.35">
      <c r="A14" s="783">
        <v>6</v>
      </c>
      <c r="B14" s="993"/>
      <c r="C14" s="994"/>
      <c r="D14" s="583" t="s">
        <v>1151</v>
      </c>
      <c r="E14" s="432"/>
      <c r="F14" s="772"/>
      <c r="G14" s="433"/>
      <c r="H14" s="1010"/>
      <c r="I14" s="1005"/>
      <c r="J14" s="769"/>
      <c r="K14" s="1548">
        <f>SUM(K12:K13)</f>
        <v>97709</v>
      </c>
      <c r="L14" s="1548"/>
      <c r="M14" s="1548">
        <f t="shared" ref="M14" si="0">SUM(M12:M13)</f>
        <v>4221767</v>
      </c>
      <c r="N14" s="769"/>
      <c r="O14" s="777">
        <f>SUM(I14:N14)</f>
        <v>4319476</v>
      </c>
      <c r="P14" s="773"/>
      <c r="Q14" s="1032"/>
    </row>
    <row r="15" spans="1:261" s="768" customFormat="1" ht="22.5" customHeight="1" x14ac:dyDescent="0.35">
      <c r="A15" s="783">
        <v>7</v>
      </c>
      <c r="B15" s="776"/>
      <c r="C15" s="466">
        <v>2</v>
      </c>
      <c r="D15" s="771" t="s">
        <v>700</v>
      </c>
      <c r="E15" s="432"/>
      <c r="F15" s="772"/>
      <c r="G15" s="433"/>
      <c r="H15" s="1009" t="s">
        <v>24</v>
      </c>
      <c r="I15" s="1027"/>
      <c r="J15" s="1023"/>
      <c r="K15" s="1023"/>
      <c r="L15" s="1023"/>
      <c r="M15" s="1023"/>
      <c r="N15" s="1023"/>
      <c r="O15" s="777"/>
      <c r="P15" s="773"/>
      <c r="Q15" s="420"/>
      <c r="R15" s="420"/>
      <c r="S15" s="420"/>
      <c r="T15" s="420"/>
      <c r="U15" s="420"/>
      <c r="V15" s="420"/>
      <c r="W15" s="420"/>
      <c r="X15" s="420"/>
      <c r="Y15" s="420"/>
      <c r="Z15" s="420"/>
      <c r="AA15" s="420"/>
      <c r="AB15" s="420"/>
      <c r="AC15" s="420"/>
      <c r="AD15" s="420"/>
      <c r="AE15" s="420"/>
      <c r="AF15" s="420"/>
      <c r="AG15" s="420"/>
      <c r="AH15" s="420"/>
      <c r="AI15" s="420"/>
      <c r="AJ15" s="420"/>
      <c r="AK15" s="420"/>
      <c r="AL15" s="420"/>
      <c r="AM15" s="420"/>
      <c r="AN15" s="420"/>
      <c r="AO15" s="420"/>
      <c r="AP15" s="420"/>
      <c r="AQ15" s="420"/>
      <c r="AR15" s="420"/>
      <c r="AS15" s="420"/>
      <c r="AT15" s="420"/>
      <c r="AU15" s="420"/>
      <c r="AV15" s="420"/>
      <c r="AW15" s="420"/>
      <c r="AX15" s="420"/>
      <c r="AY15" s="420"/>
      <c r="AZ15" s="420"/>
      <c r="BA15" s="420"/>
      <c r="BB15" s="420"/>
      <c r="BC15" s="420"/>
      <c r="BD15" s="420"/>
      <c r="BE15" s="420"/>
      <c r="BF15" s="420"/>
      <c r="BG15" s="420"/>
      <c r="BH15" s="420"/>
      <c r="BI15" s="420"/>
      <c r="BJ15" s="420"/>
      <c r="BK15" s="420"/>
      <c r="BL15" s="420"/>
      <c r="BM15" s="420"/>
      <c r="BN15" s="420"/>
      <c r="BO15" s="420"/>
      <c r="BP15" s="420"/>
      <c r="BQ15" s="420"/>
      <c r="BR15" s="420"/>
      <c r="BS15" s="420"/>
      <c r="BT15" s="420"/>
      <c r="BU15" s="420"/>
      <c r="BV15" s="420"/>
      <c r="BW15" s="420"/>
      <c r="BX15" s="420"/>
      <c r="BY15" s="420"/>
      <c r="BZ15" s="420"/>
      <c r="CA15" s="420"/>
      <c r="CB15" s="420"/>
      <c r="CC15" s="420"/>
      <c r="CD15" s="420"/>
      <c r="CE15" s="420"/>
      <c r="CF15" s="420"/>
      <c r="CG15" s="420"/>
      <c r="CH15" s="420"/>
      <c r="CI15" s="420"/>
      <c r="CJ15" s="420"/>
      <c r="CK15" s="420"/>
      <c r="CL15" s="420"/>
      <c r="CM15" s="420"/>
      <c r="CN15" s="420"/>
      <c r="CO15" s="420"/>
      <c r="CP15" s="420"/>
      <c r="CQ15" s="420"/>
      <c r="CR15" s="420"/>
      <c r="CS15" s="420"/>
      <c r="CT15" s="420"/>
      <c r="CU15" s="420"/>
      <c r="CV15" s="420"/>
      <c r="CW15" s="420"/>
      <c r="CX15" s="420"/>
      <c r="CY15" s="420"/>
      <c r="CZ15" s="420"/>
      <c r="DA15" s="420"/>
      <c r="DB15" s="420"/>
      <c r="DC15" s="420"/>
      <c r="DD15" s="420"/>
      <c r="DE15" s="420"/>
      <c r="DF15" s="420"/>
      <c r="DG15" s="420"/>
      <c r="DH15" s="420"/>
      <c r="DI15" s="420"/>
      <c r="DJ15" s="420"/>
      <c r="DK15" s="420"/>
      <c r="DL15" s="420"/>
      <c r="DM15" s="420"/>
      <c r="DN15" s="420"/>
      <c r="DO15" s="420"/>
      <c r="DP15" s="420"/>
      <c r="DQ15" s="420"/>
      <c r="DR15" s="420"/>
      <c r="DS15" s="420"/>
      <c r="DT15" s="420"/>
      <c r="DU15" s="420"/>
      <c r="DV15" s="420"/>
      <c r="DW15" s="420"/>
      <c r="DX15" s="420"/>
      <c r="DY15" s="420"/>
      <c r="DZ15" s="420"/>
      <c r="EA15" s="420"/>
      <c r="EB15" s="420"/>
      <c r="EC15" s="420"/>
      <c r="ED15" s="420"/>
      <c r="EE15" s="420"/>
      <c r="EF15" s="420"/>
      <c r="EG15" s="420"/>
      <c r="EH15" s="420"/>
      <c r="EI15" s="420"/>
      <c r="EJ15" s="420"/>
      <c r="EK15" s="420"/>
      <c r="EL15" s="420"/>
      <c r="EM15" s="420"/>
      <c r="EN15" s="420"/>
      <c r="EO15" s="420"/>
      <c r="EP15" s="420"/>
      <c r="EQ15" s="420"/>
      <c r="ER15" s="420"/>
      <c r="ES15" s="420"/>
      <c r="ET15" s="420"/>
      <c r="EU15" s="420"/>
      <c r="EV15" s="420"/>
      <c r="EW15" s="420"/>
      <c r="EX15" s="420"/>
      <c r="EY15" s="420"/>
      <c r="EZ15" s="420"/>
      <c r="FA15" s="420"/>
      <c r="FB15" s="420"/>
      <c r="FC15" s="420"/>
      <c r="FD15" s="420"/>
      <c r="FE15" s="420"/>
      <c r="FF15" s="420"/>
      <c r="FG15" s="420"/>
      <c r="FH15" s="420"/>
      <c r="FI15" s="420"/>
      <c r="FJ15" s="420"/>
      <c r="FK15" s="420"/>
      <c r="FL15" s="420"/>
      <c r="FM15" s="420"/>
      <c r="FN15" s="420"/>
      <c r="FO15" s="420"/>
      <c r="FP15" s="420"/>
      <c r="FQ15" s="420"/>
      <c r="FR15" s="420"/>
      <c r="FS15" s="420"/>
      <c r="FT15" s="420"/>
      <c r="FU15" s="420"/>
      <c r="FV15" s="420"/>
      <c r="FW15" s="420"/>
      <c r="FX15" s="420"/>
      <c r="FY15" s="420"/>
      <c r="FZ15" s="420"/>
      <c r="GA15" s="420"/>
      <c r="GB15" s="420"/>
      <c r="GC15" s="420"/>
      <c r="GD15" s="420"/>
      <c r="GE15" s="420"/>
      <c r="GF15" s="420"/>
      <c r="GG15" s="420"/>
      <c r="GH15" s="420"/>
      <c r="GI15" s="420"/>
      <c r="GJ15" s="420"/>
      <c r="GK15" s="420"/>
      <c r="GL15" s="420"/>
      <c r="GM15" s="420"/>
      <c r="GN15" s="420"/>
      <c r="GO15" s="420"/>
      <c r="GP15" s="420"/>
      <c r="GQ15" s="420"/>
      <c r="GR15" s="420"/>
      <c r="GS15" s="420"/>
      <c r="GT15" s="420"/>
      <c r="GU15" s="420"/>
      <c r="GV15" s="420"/>
      <c r="GW15" s="420"/>
      <c r="GX15" s="420"/>
      <c r="GY15" s="420"/>
      <c r="GZ15" s="420"/>
      <c r="HA15" s="420"/>
      <c r="HB15" s="420"/>
      <c r="HC15" s="420"/>
      <c r="HD15" s="420"/>
      <c r="HE15" s="420"/>
      <c r="HF15" s="420"/>
      <c r="HG15" s="420"/>
      <c r="HH15" s="420"/>
      <c r="HI15" s="420"/>
      <c r="HJ15" s="420"/>
      <c r="HK15" s="420"/>
      <c r="HL15" s="420"/>
      <c r="HM15" s="420"/>
      <c r="HN15" s="420"/>
      <c r="HO15" s="420"/>
      <c r="HP15" s="420"/>
      <c r="HQ15" s="420"/>
      <c r="HR15" s="420"/>
      <c r="HS15" s="420"/>
      <c r="HT15" s="420"/>
      <c r="HU15" s="420"/>
      <c r="HV15" s="420"/>
      <c r="HW15" s="420"/>
      <c r="HX15" s="420"/>
      <c r="HY15" s="420"/>
      <c r="HZ15" s="420"/>
      <c r="IA15" s="420"/>
      <c r="IB15" s="420"/>
      <c r="IC15" s="420"/>
      <c r="ID15" s="420"/>
      <c r="IE15" s="420"/>
      <c r="IF15" s="420"/>
      <c r="IG15" s="420"/>
      <c r="IH15" s="420"/>
      <c r="II15" s="420"/>
      <c r="IJ15" s="420"/>
      <c r="IK15" s="420"/>
      <c r="IL15" s="420"/>
      <c r="IM15" s="420"/>
      <c r="IN15" s="420"/>
      <c r="IO15" s="420"/>
      <c r="IP15" s="420"/>
      <c r="IQ15" s="420"/>
      <c r="IR15" s="420"/>
      <c r="IS15" s="420"/>
      <c r="IT15" s="420"/>
      <c r="IU15" s="420"/>
      <c r="IV15" s="420"/>
      <c r="IW15" s="420"/>
      <c r="IX15" s="420"/>
      <c r="IY15" s="420"/>
      <c r="IZ15" s="420"/>
      <c r="JA15" s="420"/>
    </row>
    <row r="16" spans="1:261" s="1001" customFormat="1" ht="18" customHeight="1" x14ac:dyDescent="0.35">
      <c r="A16" s="783">
        <v>8</v>
      </c>
      <c r="B16" s="993"/>
      <c r="C16" s="994"/>
      <c r="D16" s="995" t="s">
        <v>311</v>
      </c>
      <c r="E16" s="432">
        <f>F16+G16+O19+P16</f>
        <v>14460580</v>
      </c>
      <c r="F16" s="772">
        <v>324476</v>
      </c>
      <c r="G16" s="433">
        <f>2834+481562</f>
        <v>484396</v>
      </c>
      <c r="H16" s="1010"/>
      <c r="I16" s="1027"/>
      <c r="J16" s="1023"/>
      <c r="K16" s="1023">
        <v>499</v>
      </c>
      <c r="L16" s="1023"/>
      <c r="M16" s="1023">
        <v>3870629</v>
      </c>
      <c r="N16" s="1023"/>
      <c r="O16" s="992">
        <f>SUM(I16:N16)</f>
        <v>3871128</v>
      </c>
      <c r="P16" s="773">
        <v>9780580</v>
      </c>
      <c r="Q16" s="1032"/>
    </row>
    <row r="17" spans="1:261" s="1001" customFormat="1" ht="18" customHeight="1" x14ac:dyDescent="0.35">
      <c r="A17" s="783">
        <v>9</v>
      </c>
      <c r="B17" s="993"/>
      <c r="C17" s="994"/>
      <c r="D17" s="583" t="s">
        <v>1072</v>
      </c>
      <c r="E17" s="432"/>
      <c r="F17" s="772"/>
      <c r="G17" s="433"/>
      <c r="H17" s="1010"/>
      <c r="I17" s="1027"/>
      <c r="J17" s="1023"/>
      <c r="K17" s="1548">
        <v>5715</v>
      </c>
      <c r="L17" s="1548"/>
      <c r="M17" s="1548">
        <v>3865413</v>
      </c>
      <c r="N17" s="1023"/>
      <c r="O17" s="992">
        <f>SUM(I17:N17)</f>
        <v>3871128</v>
      </c>
      <c r="P17" s="773"/>
      <c r="Q17" s="1032"/>
    </row>
    <row r="18" spans="1:261" s="1001" customFormat="1" ht="18" customHeight="1" x14ac:dyDescent="0.35">
      <c r="A18" s="783">
        <v>10</v>
      </c>
      <c r="B18" s="993"/>
      <c r="C18" s="994"/>
      <c r="D18" s="1338" t="s">
        <v>963</v>
      </c>
      <c r="E18" s="432"/>
      <c r="F18" s="772"/>
      <c r="G18" s="433"/>
      <c r="H18" s="1010"/>
      <c r="I18" s="1005"/>
      <c r="J18" s="769"/>
      <c r="K18" s="1810"/>
      <c r="L18" s="1810"/>
      <c r="M18" s="1810"/>
      <c r="N18" s="769"/>
      <c r="O18" s="777">
        <f>SUM(I18:N18)</f>
        <v>0</v>
      </c>
      <c r="P18" s="773"/>
      <c r="Q18" s="1032"/>
    </row>
    <row r="19" spans="1:261" s="1001" customFormat="1" ht="18" customHeight="1" x14ac:dyDescent="0.35">
      <c r="A19" s="783">
        <v>11</v>
      </c>
      <c r="B19" s="993"/>
      <c r="C19" s="994"/>
      <c r="D19" s="583" t="s">
        <v>1151</v>
      </c>
      <c r="E19" s="432"/>
      <c r="F19" s="772"/>
      <c r="G19" s="433"/>
      <c r="H19" s="1010"/>
      <c r="I19" s="1005"/>
      <c r="J19" s="769"/>
      <c r="K19" s="1548">
        <f>SUM(K17:K18)</f>
        <v>5715</v>
      </c>
      <c r="L19" s="1548"/>
      <c r="M19" s="1548">
        <f>SUM(M17:M18)</f>
        <v>3865413</v>
      </c>
      <c r="N19" s="769"/>
      <c r="O19" s="777">
        <f>SUM(I19:N19)</f>
        <v>3871128</v>
      </c>
      <c r="P19" s="773"/>
      <c r="Q19" s="1032"/>
    </row>
    <row r="20" spans="1:261" s="768" customFormat="1" ht="22.5" customHeight="1" x14ac:dyDescent="0.35">
      <c r="A20" s="783">
        <v>12</v>
      </c>
      <c r="B20" s="776"/>
      <c r="C20" s="422">
        <v>3</v>
      </c>
      <c r="D20" s="1273" t="s">
        <v>701</v>
      </c>
      <c r="E20" s="432"/>
      <c r="F20" s="772"/>
      <c r="G20" s="433"/>
      <c r="H20" s="1009" t="s">
        <v>24</v>
      </c>
      <c r="I20" s="1027"/>
      <c r="J20" s="1023"/>
      <c r="K20" s="1023"/>
      <c r="L20" s="1023"/>
      <c r="M20" s="1023"/>
      <c r="N20" s="1023"/>
      <c r="O20" s="777"/>
      <c r="P20" s="773"/>
      <c r="Q20" s="420"/>
      <c r="R20" s="420"/>
      <c r="S20" s="420"/>
      <c r="T20" s="420"/>
      <c r="U20" s="420"/>
      <c r="V20" s="420"/>
      <c r="W20" s="420"/>
      <c r="X20" s="420"/>
      <c r="Y20" s="420"/>
      <c r="Z20" s="420"/>
      <c r="AA20" s="420"/>
      <c r="AB20" s="420"/>
      <c r="AC20" s="420"/>
      <c r="AD20" s="420"/>
      <c r="AE20" s="420"/>
      <c r="AF20" s="420"/>
      <c r="AG20" s="420"/>
      <c r="AH20" s="420"/>
      <c r="AI20" s="420"/>
      <c r="AJ20" s="420"/>
      <c r="AK20" s="420"/>
      <c r="AL20" s="420"/>
      <c r="AM20" s="420"/>
      <c r="AN20" s="420"/>
      <c r="AO20" s="420"/>
      <c r="AP20" s="420"/>
      <c r="AQ20" s="420"/>
      <c r="AR20" s="420"/>
      <c r="AS20" s="420"/>
      <c r="AT20" s="420"/>
      <c r="AU20" s="420"/>
      <c r="AV20" s="420"/>
      <c r="AW20" s="420"/>
      <c r="AX20" s="420"/>
      <c r="AY20" s="420"/>
      <c r="AZ20" s="420"/>
      <c r="BA20" s="420"/>
      <c r="BB20" s="420"/>
      <c r="BC20" s="420"/>
      <c r="BD20" s="420"/>
      <c r="BE20" s="420"/>
      <c r="BF20" s="420"/>
      <c r="BG20" s="420"/>
      <c r="BH20" s="420"/>
      <c r="BI20" s="420"/>
      <c r="BJ20" s="420"/>
      <c r="BK20" s="420"/>
      <c r="BL20" s="420"/>
      <c r="BM20" s="420"/>
      <c r="BN20" s="420"/>
      <c r="BO20" s="420"/>
      <c r="BP20" s="420"/>
      <c r="BQ20" s="420"/>
      <c r="BR20" s="420"/>
      <c r="BS20" s="420"/>
      <c r="BT20" s="420"/>
      <c r="BU20" s="420"/>
      <c r="BV20" s="420"/>
      <c r="BW20" s="420"/>
      <c r="BX20" s="420"/>
      <c r="BY20" s="420"/>
      <c r="BZ20" s="420"/>
      <c r="CA20" s="420"/>
      <c r="CB20" s="420"/>
      <c r="CC20" s="420"/>
      <c r="CD20" s="420"/>
      <c r="CE20" s="420"/>
      <c r="CF20" s="420"/>
      <c r="CG20" s="420"/>
      <c r="CH20" s="420"/>
      <c r="CI20" s="420"/>
      <c r="CJ20" s="420"/>
      <c r="CK20" s="420"/>
      <c r="CL20" s="420"/>
      <c r="CM20" s="420"/>
      <c r="CN20" s="420"/>
      <c r="CO20" s="420"/>
      <c r="CP20" s="420"/>
      <c r="CQ20" s="420"/>
      <c r="CR20" s="420"/>
      <c r="CS20" s="420"/>
      <c r="CT20" s="420"/>
      <c r="CU20" s="420"/>
      <c r="CV20" s="420"/>
      <c r="CW20" s="420"/>
      <c r="CX20" s="420"/>
      <c r="CY20" s="420"/>
      <c r="CZ20" s="420"/>
      <c r="DA20" s="420"/>
      <c r="DB20" s="420"/>
      <c r="DC20" s="420"/>
      <c r="DD20" s="420"/>
      <c r="DE20" s="420"/>
      <c r="DF20" s="420"/>
      <c r="DG20" s="420"/>
      <c r="DH20" s="420"/>
      <c r="DI20" s="420"/>
      <c r="DJ20" s="420"/>
      <c r="DK20" s="420"/>
      <c r="DL20" s="420"/>
      <c r="DM20" s="420"/>
      <c r="DN20" s="420"/>
      <c r="DO20" s="420"/>
      <c r="DP20" s="420"/>
      <c r="DQ20" s="420"/>
      <c r="DR20" s="420"/>
      <c r="DS20" s="420"/>
      <c r="DT20" s="420"/>
      <c r="DU20" s="420"/>
      <c r="DV20" s="420"/>
      <c r="DW20" s="420"/>
      <c r="DX20" s="420"/>
      <c r="DY20" s="420"/>
      <c r="DZ20" s="420"/>
      <c r="EA20" s="420"/>
      <c r="EB20" s="420"/>
      <c r="EC20" s="420"/>
      <c r="ED20" s="420"/>
      <c r="EE20" s="420"/>
      <c r="EF20" s="420"/>
      <c r="EG20" s="420"/>
      <c r="EH20" s="420"/>
      <c r="EI20" s="420"/>
      <c r="EJ20" s="420"/>
      <c r="EK20" s="420"/>
      <c r="EL20" s="420"/>
      <c r="EM20" s="420"/>
      <c r="EN20" s="420"/>
      <c r="EO20" s="420"/>
      <c r="EP20" s="420"/>
      <c r="EQ20" s="420"/>
      <c r="ER20" s="420"/>
      <c r="ES20" s="420"/>
      <c r="ET20" s="420"/>
      <c r="EU20" s="420"/>
      <c r="EV20" s="420"/>
      <c r="EW20" s="420"/>
      <c r="EX20" s="420"/>
      <c r="EY20" s="420"/>
      <c r="EZ20" s="420"/>
      <c r="FA20" s="420"/>
      <c r="FB20" s="420"/>
      <c r="FC20" s="420"/>
      <c r="FD20" s="420"/>
      <c r="FE20" s="420"/>
      <c r="FF20" s="420"/>
      <c r="FG20" s="420"/>
      <c r="FH20" s="420"/>
      <c r="FI20" s="420"/>
      <c r="FJ20" s="420"/>
      <c r="FK20" s="420"/>
      <c r="FL20" s="420"/>
      <c r="FM20" s="420"/>
      <c r="FN20" s="420"/>
      <c r="FO20" s="420"/>
      <c r="FP20" s="420"/>
      <c r="FQ20" s="420"/>
      <c r="FR20" s="420"/>
      <c r="FS20" s="420"/>
      <c r="FT20" s="420"/>
      <c r="FU20" s="420"/>
      <c r="FV20" s="420"/>
      <c r="FW20" s="420"/>
      <c r="FX20" s="420"/>
      <c r="FY20" s="420"/>
      <c r="FZ20" s="420"/>
      <c r="GA20" s="420"/>
      <c r="GB20" s="420"/>
      <c r="GC20" s="420"/>
      <c r="GD20" s="420"/>
      <c r="GE20" s="420"/>
      <c r="GF20" s="420"/>
      <c r="GG20" s="420"/>
      <c r="GH20" s="420"/>
      <c r="GI20" s="420"/>
      <c r="GJ20" s="420"/>
      <c r="GK20" s="420"/>
      <c r="GL20" s="420"/>
      <c r="GM20" s="420"/>
      <c r="GN20" s="420"/>
      <c r="GO20" s="420"/>
      <c r="GP20" s="420"/>
      <c r="GQ20" s="420"/>
      <c r="GR20" s="420"/>
      <c r="GS20" s="420"/>
      <c r="GT20" s="420"/>
      <c r="GU20" s="420"/>
      <c r="GV20" s="420"/>
      <c r="GW20" s="420"/>
      <c r="GX20" s="420"/>
      <c r="GY20" s="420"/>
      <c r="GZ20" s="420"/>
      <c r="HA20" s="420"/>
      <c r="HB20" s="420"/>
      <c r="HC20" s="420"/>
      <c r="HD20" s="420"/>
      <c r="HE20" s="420"/>
      <c r="HF20" s="420"/>
      <c r="HG20" s="420"/>
      <c r="HH20" s="420"/>
      <c r="HI20" s="420"/>
      <c r="HJ20" s="420"/>
      <c r="HK20" s="420"/>
      <c r="HL20" s="420"/>
      <c r="HM20" s="420"/>
      <c r="HN20" s="420"/>
      <c r="HO20" s="420"/>
      <c r="HP20" s="420"/>
      <c r="HQ20" s="420"/>
      <c r="HR20" s="420"/>
      <c r="HS20" s="420"/>
      <c r="HT20" s="420"/>
      <c r="HU20" s="420"/>
      <c r="HV20" s="420"/>
      <c r="HW20" s="420"/>
      <c r="HX20" s="420"/>
      <c r="HY20" s="420"/>
      <c r="HZ20" s="420"/>
      <c r="IA20" s="420"/>
      <c r="IB20" s="420"/>
      <c r="IC20" s="420"/>
      <c r="ID20" s="420"/>
      <c r="IE20" s="420"/>
      <c r="IF20" s="420"/>
      <c r="IG20" s="420"/>
      <c r="IH20" s="420"/>
      <c r="II20" s="420"/>
      <c r="IJ20" s="420"/>
      <c r="IK20" s="420"/>
      <c r="IL20" s="420"/>
      <c r="IM20" s="420"/>
      <c r="IN20" s="420"/>
      <c r="IO20" s="420"/>
      <c r="IP20" s="420"/>
      <c r="IQ20" s="420"/>
      <c r="IR20" s="420"/>
      <c r="IS20" s="420"/>
      <c r="IT20" s="420"/>
      <c r="IU20" s="420"/>
      <c r="IV20" s="420"/>
      <c r="IW20" s="420"/>
      <c r="IX20" s="420"/>
      <c r="IY20" s="420"/>
      <c r="IZ20" s="420"/>
      <c r="JA20" s="420"/>
    </row>
    <row r="21" spans="1:261" s="1001" customFormat="1" ht="18" customHeight="1" x14ac:dyDescent="0.35">
      <c r="A21" s="783">
        <v>13</v>
      </c>
      <c r="B21" s="993"/>
      <c r="C21" s="994"/>
      <c r="D21" s="995" t="s">
        <v>311</v>
      </c>
      <c r="E21" s="432">
        <f>F21+G21+O24+P21</f>
        <v>1793189</v>
      </c>
      <c r="F21" s="772">
        <v>1281902</v>
      </c>
      <c r="G21" s="433">
        <f>1692</f>
        <v>1692</v>
      </c>
      <c r="H21" s="1010"/>
      <c r="I21" s="1027"/>
      <c r="J21" s="1023"/>
      <c r="K21" s="1023">
        <v>658</v>
      </c>
      <c r="L21" s="1023"/>
      <c r="M21" s="1023">
        <f>371256+137681</f>
        <v>508937</v>
      </c>
      <c r="N21" s="1023"/>
      <c r="O21" s="992">
        <f>SUM(I21:N21)</f>
        <v>509595</v>
      </c>
      <c r="P21" s="773"/>
      <c r="Q21" s="1032"/>
    </row>
    <row r="22" spans="1:261" s="1001" customFormat="1" ht="18" customHeight="1" x14ac:dyDescent="0.35">
      <c r="A22" s="783">
        <v>14</v>
      </c>
      <c r="B22" s="993"/>
      <c r="C22" s="994"/>
      <c r="D22" s="583" t="s">
        <v>1072</v>
      </c>
      <c r="E22" s="432"/>
      <c r="F22" s="772"/>
      <c r="G22" s="433"/>
      <c r="H22" s="1010"/>
      <c r="I22" s="1027"/>
      <c r="J22" s="1023"/>
      <c r="K22" s="1548">
        <v>658</v>
      </c>
      <c r="L22" s="1548"/>
      <c r="M22" s="1548">
        <v>508937</v>
      </c>
      <c r="N22" s="769"/>
      <c r="O22" s="777">
        <f>SUM(I22:N22)</f>
        <v>509595</v>
      </c>
      <c r="P22" s="773"/>
      <c r="Q22" s="1032"/>
    </row>
    <row r="23" spans="1:261" s="1001" customFormat="1" ht="18" customHeight="1" x14ac:dyDescent="0.35">
      <c r="A23" s="783">
        <v>15</v>
      </c>
      <c r="B23" s="993"/>
      <c r="C23" s="994"/>
      <c r="D23" s="1338" t="s">
        <v>963</v>
      </c>
      <c r="E23" s="432"/>
      <c r="F23" s="772"/>
      <c r="G23" s="433"/>
      <c r="H23" s="1010"/>
      <c r="I23" s="1005"/>
      <c r="J23" s="769"/>
      <c r="K23" s="769"/>
      <c r="L23" s="769"/>
      <c r="M23" s="769"/>
      <c r="N23" s="769"/>
      <c r="O23" s="777">
        <f>SUM(I23:N23)</f>
        <v>0</v>
      </c>
      <c r="P23" s="773"/>
      <c r="Q23" s="1032"/>
    </row>
    <row r="24" spans="1:261" s="1001" customFormat="1" ht="18" customHeight="1" x14ac:dyDescent="0.35">
      <c r="A24" s="783">
        <v>16</v>
      </c>
      <c r="B24" s="993"/>
      <c r="C24" s="994"/>
      <c r="D24" s="583" t="s">
        <v>1151</v>
      </c>
      <c r="E24" s="432"/>
      <c r="F24" s="772"/>
      <c r="G24" s="433"/>
      <c r="H24" s="1010"/>
      <c r="I24" s="1005"/>
      <c r="J24" s="769"/>
      <c r="K24" s="1548">
        <f>SUM(K22:K23)</f>
        <v>658</v>
      </c>
      <c r="L24" s="1548"/>
      <c r="M24" s="1548">
        <f>SUM(M22:M23)</f>
        <v>508937</v>
      </c>
      <c r="N24" s="769"/>
      <c r="O24" s="777">
        <f>SUM(I24:N24)</f>
        <v>509595</v>
      </c>
      <c r="P24" s="773"/>
      <c r="Q24" s="1032"/>
    </row>
    <row r="25" spans="1:261" s="768" customFormat="1" ht="49.5" customHeight="1" x14ac:dyDescent="0.35">
      <c r="A25" s="783">
        <v>17</v>
      </c>
      <c r="B25" s="776"/>
      <c r="C25" s="422">
        <v>4</v>
      </c>
      <c r="D25" s="1030" t="s">
        <v>702</v>
      </c>
      <c r="E25" s="432"/>
      <c r="F25" s="772"/>
      <c r="G25" s="433"/>
      <c r="H25" s="1009" t="s">
        <v>24</v>
      </c>
      <c r="I25" s="1027"/>
      <c r="J25" s="1023"/>
      <c r="K25" s="1023"/>
      <c r="L25" s="1023"/>
      <c r="M25" s="1023"/>
      <c r="N25" s="1023"/>
      <c r="O25" s="777"/>
      <c r="P25" s="773"/>
      <c r="Q25" s="420"/>
      <c r="R25" s="420"/>
      <c r="S25" s="420"/>
      <c r="T25" s="420"/>
      <c r="U25" s="420"/>
      <c r="V25" s="420"/>
      <c r="W25" s="420"/>
      <c r="X25" s="420"/>
      <c r="Y25" s="420"/>
      <c r="Z25" s="420"/>
      <c r="AA25" s="420"/>
      <c r="AB25" s="420"/>
      <c r="AC25" s="420"/>
      <c r="AD25" s="420"/>
      <c r="AE25" s="420"/>
      <c r="AF25" s="420"/>
      <c r="AG25" s="420"/>
      <c r="AH25" s="420"/>
      <c r="AI25" s="420"/>
      <c r="AJ25" s="420"/>
      <c r="AK25" s="420"/>
      <c r="AL25" s="420"/>
      <c r="AM25" s="420"/>
      <c r="AN25" s="420"/>
      <c r="AO25" s="420"/>
      <c r="AP25" s="420"/>
      <c r="AQ25" s="420"/>
      <c r="AR25" s="420"/>
      <c r="AS25" s="420"/>
      <c r="AT25" s="420"/>
      <c r="AU25" s="420"/>
      <c r="AV25" s="420"/>
      <c r="AW25" s="420"/>
      <c r="AX25" s="420"/>
      <c r="AY25" s="420"/>
      <c r="AZ25" s="420"/>
      <c r="BA25" s="420"/>
      <c r="BB25" s="420"/>
      <c r="BC25" s="420"/>
      <c r="BD25" s="420"/>
      <c r="BE25" s="420"/>
      <c r="BF25" s="420"/>
      <c r="BG25" s="420"/>
      <c r="BH25" s="420"/>
      <c r="BI25" s="420"/>
      <c r="BJ25" s="420"/>
      <c r="BK25" s="420"/>
      <c r="BL25" s="420"/>
      <c r="BM25" s="420"/>
      <c r="BN25" s="420"/>
      <c r="BO25" s="420"/>
      <c r="BP25" s="420"/>
      <c r="BQ25" s="420"/>
      <c r="BR25" s="420"/>
      <c r="BS25" s="420"/>
      <c r="BT25" s="420"/>
      <c r="BU25" s="420"/>
      <c r="BV25" s="420"/>
      <c r="BW25" s="420"/>
      <c r="BX25" s="420"/>
      <c r="BY25" s="420"/>
      <c r="BZ25" s="420"/>
      <c r="CA25" s="420"/>
      <c r="CB25" s="420"/>
      <c r="CC25" s="420"/>
      <c r="CD25" s="420"/>
      <c r="CE25" s="420"/>
      <c r="CF25" s="420"/>
      <c r="CG25" s="420"/>
      <c r="CH25" s="420"/>
      <c r="CI25" s="420"/>
      <c r="CJ25" s="420"/>
      <c r="CK25" s="420"/>
      <c r="CL25" s="420"/>
      <c r="CM25" s="420"/>
      <c r="CN25" s="420"/>
      <c r="CO25" s="420"/>
      <c r="CP25" s="420"/>
      <c r="CQ25" s="420"/>
      <c r="CR25" s="420"/>
      <c r="CS25" s="420"/>
      <c r="CT25" s="420"/>
      <c r="CU25" s="420"/>
      <c r="CV25" s="420"/>
      <c r="CW25" s="420"/>
      <c r="CX25" s="420"/>
      <c r="CY25" s="420"/>
      <c r="CZ25" s="420"/>
      <c r="DA25" s="420"/>
      <c r="DB25" s="420"/>
      <c r="DC25" s="420"/>
      <c r="DD25" s="420"/>
      <c r="DE25" s="420"/>
      <c r="DF25" s="420"/>
      <c r="DG25" s="420"/>
      <c r="DH25" s="420"/>
      <c r="DI25" s="420"/>
      <c r="DJ25" s="420"/>
      <c r="DK25" s="420"/>
      <c r="DL25" s="420"/>
      <c r="DM25" s="420"/>
      <c r="DN25" s="420"/>
      <c r="DO25" s="420"/>
      <c r="DP25" s="420"/>
      <c r="DQ25" s="420"/>
      <c r="DR25" s="420"/>
      <c r="DS25" s="420"/>
      <c r="DT25" s="420"/>
      <c r="DU25" s="420"/>
      <c r="DV25" s="420"/>
      <c r="DW25" s="420"/>
      <c r="DX25" s="420"/>
      <c r="DY25" s="420"/>
      <c r="DZ25" s="420"/>
      <c r="EA25" s="420"/>
      <c r="EB25" s="420"/>
      <c r="EC25" s="420"/>
      <c r="ED25" s="420"/>
      <c r="EE25" s="420"/>
      <c r="EF25" s="420"/>
      <c r="EG25" s="420"/>
      <c r="EH25" s="420"/>
      <c r="EI25" s="420"/>
      <c r="EJ25" s="420"/>
      <c r="EK25" s="420"/>
      <c r="EL25" s="420"/>
      <c r="EM25" s="420"/>
      <c r="EN25" s="420"/>
      <c r="EO25" s="420"/>
      <c r="EP25" s="420"/>
      <c r="EQ25" s="420"/>
      <c r="ER25" s="420"/>
      <c r="ES25" s="420"/>
      <c r="ET25" s="420"/>
      <c r="EU25" s="420"/>
      <c r="EV25" s="420"/>
      <c r="EW25" s="420"/>
      <c r="EX25" s="420"/>
      <c r="EY25" s="420"/>
      <c r="EZ25" s="420"/>
      <c r="FA25" s="420"/>
      <c r="FB25" s="420"/>
      <c r="FC25" s="420"/>
      <c r="FD25" s="420"/>
      <c r="FE25" s="420"/>
      <c r="FF25" s="420"/>
      <c r="FG25" s="420"/>
      <c r="FH25" s="420"/>
      <c r="FI25" s="420"/>
      <c r="FJ25" s="420"/>
      <c r="FK25" s="420"/>
      <c r="FL25" s="420"/>
      <c r="FM25" s="420"/>
      <c r="FN25" s="420"/>
      <c r="FO25" s="420"/>
      <c r="FP25" s="420"/>
      <c r="FQ25" s="420"/>
      <c r="FR25" s="420"/>
      <c r="FS25" s="420"/>
      <c r="FT25" s="420"/>
      <c r="FU25" s="420"/>
      <c r="FV25" s="420"/>
      <c r="FW25" s="420"/>
      <c r="FX25" s="420"/>
      <c r="FY25" s="420"/>
      <c r="FZ25" s="420"/>
      <c r="GA25" s="420"/>
      <c r="GB25" s="420"/>
      <c r="GC25" s="420"/>
      <c r="GD25" s="420"/>
      <c r="GE25" s="420"/>
      <c r="GF25" s="420"/>
      <c r="GG25" s="420"/>
      <c r="GH25" s="420"/>
      <c r="GI25" s="420"/>
      <c r="GJ25" s="420"/>
      <c r="GK25" s="420"/>
      <c r="GL25" s="420"/>
      <c r="GM25" s="420"/>
      <c r="GN25" s="420"/>
      <c r="GO25" s="420"/>
      <c r="GP25" s="420"/>
      <c r="GQ25" s="420"/>
      <c r="GR25" s="420"/>
      <c r="GS25" s="420"/>
      <c r="GT25" s="420"/>
      <c r="GU25" s="420"/>
      <c r="GV25" s="420"/>
      <c r="GW25" s="420"/>
      <c r="GX25" s="420"/>
      <c r="GY25" s="420"/>
      <c r="GZ25" s="420"/>
      <c r="HA25" s="420"/>
      <c r="HB25" s="420"/>
      <c r="HC25" s="420"/>
      <c r="HD25" s="420"/>
      <c r="HE25" s="420"/>
      <c r="HF25" s="420"/>
      <c r="HG25" s="420"/>
      <c r="HH25" s="420"/>
      <c r="HI25" s="420"/>
      <c r="HJ25" s="420"/>
      <c r="HK25" s="420"/>
      <c r="HL25" s="420"/>
      <c r="HM25" s="420"/>
      <c r="HN25" s="420"/>
      <c r="HO25" s="420"/>
      <c r="HP25" s="420"/>
      <c r="HQ25" s="420"/>
      <c r="HR25" s="420"/>
      <c r="HS25" s="420"/>
      <c r="HT25" s="420"/>
      <c r="HU25" s="420"/>
      <c r="HV25" s="420"/>
      <c r="HW25" s="420"/>
      <c r="HX25" s="420"/>
      <c r="HY25" s="420"/>
      <c r="HZ25" s="420"/>
      <c r="IA25" s="420"/>
      <c r="IB25" s="420"/>
      <c r="IC25" s="420"/>
      <c r="ID25" s="420"/>
      <c r="IE25" s="420"/>
      <c r="IF25" s="420"/>
      <c r="IG25" s="420"/>
      <c r="IH25" s="420"/>
      <c r="II25" s="420"/>
      <c r="IJ25" s="420"/>
      <c r="IK25" s="420"/>
      <c r="IL25" s="420"/>
      <c r="IM25" s="420"/>
      <c r="IN25" s="420"/>
      <c r="IO25" s="420"/>
      <c r="IP25" s="420"/>
      <c r="IQ25" s="420"/>
      <c r="IR25" s="420"/>
      <c r="IS25" s="420"/>
      <c r="IT25" s="420"/>
      <c r="IU25" s="420"/>
      <c r="IV25" s="420"/>
      <c r="IW25" s="420"/>
      <c r="IX25" s="420"/>
      <c r="IY25" s="420"/>
      <c r="IZ25" s="420"/>
      <c r="JA25" s="420"/>
    </row>
    <row r="26" spans="1:261" s="1001" customFormat="1" ht="18" customHeight="1" x14ac:dyDescent="0.35">
      <c r="A26" s="783">
        <v>18</v>
      </c>
      <c r="B26" s="993"/>
      <c r="C26" s="994"/>
      <c r="D26" s="1002" t="s">
        <v>311</v>
      </c>
      <c r="E26" s="432">
        <f>F26+G26+O29+P26</f>
        <v>1658925</v>
      </c>
      <c r="F26" s="772">
        <v>7043</v>
      </c>
      <c r="G26" s="433">
        <f>15189+980</f>
        <v>16169</v>
      </c>
      <c r="H26" s="1010"/>
      <c r="I26" s="1027"/>
      <c r="J26" s="1023"/>
      <c r="K26" s="1023"/>
      <c r="L26" s="1023"/>
      <c r="M26" s="1023">
        <f>78617+738788</f>
        <v>817405</v>
      </c>
      <c r="N26" s="1023"/>
      <c r="O26" s="992">
        <f>SUM(I26:N26)</f>
        <v>817405</v>
      </c>
      <c r="P26" s="773">
        <f>818308</f>
        <v>818308</v>
      </c>
      <c r="Q26" s="1032"/>
    </row>
    <row r="27" spans="1:261" s="1001" customFormat="1" ht="18" customHeight="1" x14ac:dyDescent="0.35">
      <c r="A27" s="783">
        <v>19</v>
      </c>
      <c r="B27" s="993"/>
      <c r="C27" s="994"/>
      <c r="D27" s="583" t="s">
        <v>1072</v>
      </c>
      <c r="E27" s="432"/>
      <c r="F27" s="772"/>
      <c r="G27" s="433"/>
      <c r="H27" s="1010"/>
      <c r="I27" s="1027"/>
      <c r="J27" s="1023"/>
      <c r="K27" s="1548">
        <v>15710</v>
      </c>
      <c r="L27" s="1023"/>
      <c r="M27" s="1548">
        <f>817405-15710</f>
        <v>801695</v>
      </c>
      <c r="N27" s="769"/>
      <c r="O27" s="777">
        <f>SUM(I27:N27)</f>
        <v>817405</v>
      </c>
      <c r="P27" s="773"/>
      <c r="Q27" s="1032"/>
    </row>
    <row r="28" spans="1:261" s="1001" customFormat="1" ht="18" customHeight="1" x14ac:dyDescent="0.35">
      <c r="A28" s="783">
        <v>20</v>
      </c>
      <c r="B28" s="993"/>
      <c r="C28" s="994"/>
      <c r="D28" s="1338" t="s">
        <v>986</v>
      </c>
      <c r="E28" s="432"/>
      <c r="F28" s="772"/>
      <c r="G28" s="433"/>
      <c r="H28" s="1010"/>
      <c r="I28" s="1005"/>
      <c r="J28" s="769"/>
      <c r="K28" s="2002"/>
      <c r="L28" s="2002"/>
      <c r="M28" s="2002"/>
      <c r="N28" s="1810"/>
      <c r="O28" s="1778">
        <f>SUM(I28:N28)</f>
        <v>0</v>
      </c>
      <c r="P28" s="773"/>
      <c r="Q28" s="1032"/>
    </row>
    <row r="29" spans="1:261" s="1001" customFormat="1" ht="18" customHeight="1" x14ac:dyDescent="0.35">
      <c r="A29" s="783">
        <v>21</v>
      </c>
      <c r="B29" s="993"/>
      <c r="C29" s="994"/>
      <c r="D29" s="583" t="s">
        <v>1151</v>
      </c>
      <c r="E29" s="432"/>
      <c r="F29" s="772"/>
      <c r="G29" s="433"/>
      <c r="H29" s="1010"/>
      <c r="I29" s="1005"/>
      <c r="J29" s="769"/>
      <c r="K29" s="1548">
        <f>SUM(K27:K28)</f>
        <v>15710</v>
      </c>
      <c r="L29" s="769"/>
      <c r="M29" s="1548">
        <f>SUM(M27:M28)</f>
        <v>801695</v>
      </c>
      <c r="N29" s="769"/>
      <c r="O29" s="777">
        <f>SUM(I29:N29)</f>
        <v>817405</v>
      </c>
      <c r="P29" s="773"/>
      <c r="Q29" s="1032"/>
    </row>
    <row r="30" spans="1:261" s="768" customFormat="1" ht="22.5" customHeight="1" x14ac:dyDescent="0.35">
      <c r="A30" s="783">
        <v>22</v>
      </c>
      <c r="B30" s="776"/>
      <c r="C30" s="466">
        <v>5</v>
      </c>
      <c r="D30" s="771" t="s">
        <v>703</v>
      </c>
      <c r="E30" s="432"/>
      <c r="F30" s="432"/>
      <c r="G30" s="433"/>
      <c r="H30" s="1009" t="s">
        <v>24</v>
      </c>
      <c r="I30" s="1028"/>
      <c r="J30" s="1022"/>
      <c r="K30" s="1022"/>
      <c r="L30" s="1022"/>
      <c r="M30" s="1022"/>
      <c r="N30" s="1022"/>
      <c r="O30" s="782"/>
      <c r="P30" s="773"/>
      <c r="Q30" s="420"/>
      <c r="R30" s="420"/>
      <c r="S30" s="420"/>
      <c r="T30" s="420"/>
      <c r="U30" s="420"/>
      <c r="V30" s="420"/>
      <c r="W30" s="420"/>
      <c r="X30" s="420"/>
      <c r="Y30" s="420"/>
      <c r="Z30" s="420"/>
      <c r="AA30" s="420"/>
      <c r="AB30" s="420"/>
      <c r="AC30" s="420"/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0"/>
      <c r="AO30" s="420"/>
      <c r="AP30" s="420"/>
      <c r="AQ30" s="420"/>
      <c r="AR30" s="420"/>
      <c r="AS30" s="420"/>
      <c r="AT30" s="420"/>
      <c r="AU30" s="420"/>
      <c r="AV30" s="420"/>
      <c r="AW30" s="420"/>
      <c r="AX30" s="420"/>
      <c r="AY30" s="420"/>
      <c r="AZ30" s="420"/>
      <c r="BA30" s="420"/>
      <c r="BB30" s="420"/>
      <c r="BC30" s="420"/>
      <c r="BD30" s="420"/>
      <c r="BE30" s="420"/>
      <c r="BF30" s="420"/>
      <c r="BG30" s="420"/>
      <c r="BH30" s="420"/>
      <c r="BI30" s="420"/>
      <c r="BJ30" s="420"/>
      <c r="BK30" s="420"/>
      <c r="BL30" s="420"/>
      <c r="BM30" s="420"/>
      <c r="BN30" s="420"/>
      <c r="BO30" s="420"/>
      <c r="BP30" s="420"/>
      <c r="BQ30" s="420"/>
      <c r="BR30" s="420"/>
      <c r="BS30" s="420"/>
      <c r="BT30" s="420"/>
      <c r="BU30" s="420"/>
      <c r="BV30" s="420"/>
      <c r="BW30" s="420"/>
      <c r="BX30" s="420"/>
      <c r="BY30" s="420"/>
      <c r="BZ30" s="420"/>
      <c r="CA30" s="420"/>
      <c r="CB30" s="420"/>
      <c r="CC30" s="420"/>
      <c r="CD30" s="420"/>
      <c r="CE30" s="420"/>
      <c r="CF30" s="420"/>
      <c r="CG30" s="420"/>
      <c r="CH30" s="420"/>
      <c r="CI30" s="420"/>
      <c r="CJ30" s="420"/>
      <c r="CK30" s="420"/>
      <c r="CL30" s="420"/>
      <c r="CM30" s="420"/>
      <c r="CN30" s="420"/>
      <c r="CO30" s="420"/>
      <c r="CP30" s="420"/>
      <c r="CQ30" s="420"/>
      <c r="CR30" s="420"/>
      <c r="CS30" s="420"/>
      <c r="CT30" s="420"/>
      <c r="CU30" s="420"/>
      <c r="CV30" s="420"/>
      <c r="CW30" s="420"/>
      <c r="CX30" s="420"/>
      <c r="CY30" s="420"/>
      <c r="CZ30" s="420"/>
      <c r="DA30" s="420"/>
      <c r="DB30" s="420"/>
      <c r="DC30" s="420"/>
      <c r="DD30" s="420"/>
      <c r="DE30" s="420"/>
      <c r="DF30" s="420"/>
      <c r="DG30" s="420"/>
      <c r="DH30" s="420"/>
      <c r="DI30" s="420"/>
      <c r="DJ30" s="420"/>
      <c r="DK30" s="420"/>
      <c r="DL30" s="420"/>
      <c r="DM30" s="420"/>
      <c r="DN30" s="420"/>
      <c r="DO30" s="420"/>
      <c r="DP30" s="420"/>
      <c r="DQ30" s="420"/>
      <c r="DR30" s="420"/>
      <c r="DS30" s="420"/>
      <c r="DT30" s="420"/>
      <c r="DU30" s="420"/>
      <c r="DV30" s="420"/>
      <c r="DW30" s="420"/>
      <c r="DX30" s="420"/>
      <c r="DY30" s="420"/>
      <c r="DZ30" s="420"/>
      <c r="EA30" s="420"/>
      <c r="EB30" s="420"/>
      <c r="EC30" s="420"/>
      <c r="ED30" s="420"/>
      <c r="EE30" s="420"/>
      <c r="EF30" s="420"/>
      <c r="EG30" s="420"/>
      <c r="EH30" s="420"/>
      <c r="EI30" s="420"/>
      <c r="EJ30" s="420"/>
      <c r="EK30" s="420"/>
      <c r="EL30" s="420"/>
      <c r="EM30" s="420"/>
      <c r="EN30" s="420"/>
      <c r="EO30" s="420"/>
      <c r="EP30" s="420"/>
      <c r="EQ30" s="420"/>
      <c r="ER30" s="420"/>
      <c r="ES30" s="420"/>
      <c r="ET30" s="420"/>
      <c r="EU30" s="420"/>
      <c r="EV30" s="420"/>
      <c r="EW30" s="420"/>
      <c r="EX30" s="420"/>
      <c r="EY30" s="420"/>
      <c r="EZ30" s="420"/>
      <c r="FA30" s="420"/>
      <c r="FB30" s="420"/>
      <c r="FC30" s="420"/>
      <c r="FD30" s="420"/>
      <c r="FE30" s="420"/>
      <c r="FF30" s="420"/>
      <c r="FG30" s="420"/>
      <c r="FH30" s="420"/>
      <c r="FI30" s="420"/>
      <c r="FJ30" s="420"/>
      <c r="FK30" s="420"/>
      <c r="FL30" s="420"/>
      <c r="FM30" s="420"/>
      <c r="FN30" s="420"/>
      <c r="FO30" s="420"/>
      <c r="FP30" s="420"/>
      <c r="FQ30" s="420"/>
      <c r="FR30" s="420"/>
      <c r="FS30" s="420"/>
      <c r="FT30" s="420"/>
      <c r="FU30" s="420"/>
      <c r="FV30" s="420"/>
      <c r="FW30" s="420"/>
      <c r="FX30" s="420"/>
      <c r="FY30" s="420"/>
      <c r="FZ30" s="420"/>
      <c r="GA30" s="420"/>
      <c r="GB30" s="420"/>
      <c r="GC30" s="420"/>
      <c r="GD30" s="420"/>
      <c r="GE30" s="420"/>
      <c r="GF30" s="420"/>
      <c r="GG30" s="420"/>
      <c r="GH30" s="420"/>
      <c r="GI30" s="420"/>
      <c r="GJ30" s="420"/>
      <c r="GK30" s="420"/>
      <c r="GL30" s="420"/>
      <c r="GM30" s="420"/>
      <c r="GN30" s="420"/>
      <c r="GO30" s="420"/>
      <c r="GP30" s="420"/>
      <c r="GQ30" s="420"/>
      <c r="GR30" s="420"/>
      <c r="GS30" s="420"/>
      <c r="GT30" s="420"/>
      <c r="GU30" s="420"/>
      <c r="GV30" s="420"/>
      <c r="GW30" s="420"/>
      <c r="GX30" s="420"/>
      <c r="GY30" s="420"/>
      <c r="GZ30" s="420"/>
      <c r="HA30" s="420"/>
      <c r="HB30" s="420"/>
      <c r="HC30" s="420"/>
      <c r="HD30" s="420"/>
      <c r="HE30" s="420"/>
      <c r="HF30" s="420"/>
      <c r="HG30" s="420"/>
      <c r="HH30" s="420"/>
      <c r="HI30" s="420"/>
      <c r="HJ30" s="420"/>
      <c r="HK30" s="420"/>
      <c r="HL30" s="420"/>
      <c r="HM30" s="420"/>
      <c r="HN30" s="420"/>
      <c r="HO30" s="420"/>
      <c r="HP30" s="420"/>
      <c r="HQ30" s="420"/>
      <c r="HR30" s="420"/>
      <c r="HS30" s="420"/>
      <c r="HT30" s="420"/>
      <c r="HU30" s="420"/>
      <c r="HV30" s="420"/>
      <c r="HW30" s="420"/>
      <c r="HX30" s="420"/>
      <c r="HY30" s="420"/>
      <c r="HZ30" s="420"/>
      <c r="IA30" s="420"/>
      <c r="IB30" s="420"/>
      <c r="IC30" s="420"/>
      <c r="ID30" s="420"/>
      <c r="IE30" s="420"/>
      <c r="IF30" s="420"/>
      <c r="IG30" s="420"/>
      <c r="IH30" s="420"/>
      <c r="II30" s="420"/>
      <c r="IJ30" s="420"/>
      <c r="IK30" s="420"/>
      <c r="IL30" s="420"/>
      <c r="IM30" s="420"/>
      <c r="IN30" s="420"/>
      <c r="IO30" s="420"/>
      <c r="IP30" s="420"/>
      <c r="IQ30" s="420"/>
      <c r="IR30" s="420"/>
      <c r="IS30" s="420"/>
      <c r="IT30" s="420"/>
      <c r="IU30" s="420"/>
      <c r="IV30" s="420"/>
      <c r="IW30" s="420"/>
      <c r="IX30" s="420"/>
      <c r="IY30" s="420"/>
      <c r="IZ30" s="420"/>
      <c r="JA30" s="420"/>
    </row>
    <row r="31" spans="1:261" ht="18" customHeight="1" x14ac:dyDescent="0.35">
      <c r="A31" s="783">
        <v>23</v>
      </c>
      <c r="B31" s="625"/>
      <c r="C31" s="466"/>
      <c r="D31" s="1002" t="s">
        <v>311</v>
      </c>
      <c r="E31" s="432">
        <f>F31+G31+O34+P31</f>
        <v>76282</v>
      </c>
      <c r="F31" s="432">
        <v>10737</v>
      </c>
      <c r="G31" s="433">
        <v>25052</v>
      </c>
      <c r="H31" s="1009"/>
      <c r="I31" s="1028"/>
      <c r="J31" s="1022"/>
      <c r="K31" s="1022"/>
      <c r="L31" s="1022"/>
      <c r="M31" s="1022"/>
      <c r="N31" s="1022">
        <v>40493</v>
      </c>
      <c r="O31" s="992">
        <f>SUM(I31:N31)</f>
        <v>40493</v>
      </c>
      <c r="P31" s="773"/>
    </row>
    <row r="32" spans="1:261" ht="18" customHeight="1" x14ac:dyDescent="0.35">
      <c r="A32" s="783">
        <v>24</v>
      </c>
      <c r="B32" s="625"/>
      <c r="C32" s="466"/>
      <c r="D32" s="583" t="s">
        <v>1072</v>
      </c>
      <c r="E32" s="432"/>
      <c r="F32" s="432"/>
      <c r="G32" s="433"/>
      <c r="H32" s="1009"/>
      <c r="I32" s="1028"/>
      <c r="J32" s="1022"/>
      <c r="K32" s="1022"/>
      <c r="L32" s="1022"/>
      <c r="M32" s="1022"/>
      <c r="N32" s="1869">
        <v>40493</v>
      </c>
      <c r="O32" s="777">
        <f>SUM(I32:N32)</f>
        <v>40493</v>
      </c>
      <c r="P32" s="773"/>
    </row>
    <row r="33" spans="1:261" ht="18" customHeight="1" x14ac:dyDescent="0.35">
      <c r="A33" s="783">
        <v>25</v>
      </c>
      <c r="B33" s="625"/>
      <c r="C33" s="466"/>
      <c r="D33" s="1338" t="s">
        <v>963</v>
      </c>
      <c r="E33" s="432"/>
      <c r="F33" s="432"/>
      <c r="G33" s="433"/>
      <c r="H33" s="1009"/>
      <c r="I33" s="1007"/>
      <c r="J33" s="432"/>
      <c r="K33" s="432"/>
      <c r="L33" s="432"/>
      <c r="M33" s="432"/>
      <c r="N33" s="432"/>
      <c r="O33" s="777">
        <f>SUM(I33:N33)</f>
        <v>0</v>
      </c>
      <c r="P33" s="773"/>
    </row>
    <row r="34" spans="1:261" ht="18" customHeight="1" x14ac:dyDescent="0.35">
      <c r="A34" s="783">
        <v>26</v>
      </c>
      <c r="B34" s="625"/>
      <c r="C34" s="466"/>
      <c r="D34" s="583" t="s">
        <v>1151</v>
      </c>
      <c r="E34" s="432"/>
      <c r="F34" s="432"/>
      <c r="G34" s="433"/>
      <c r="H34" s="1009"/>
      <c r="I34" s="1007"/>
      <c r="J34" s="432"/>
      <c r="K34" s="432"/>
      <c r="L34" s="432"/>
      <c r="M34" s="432"/>
      <c r="N34" s="1869">
        <f>SUM(N32:N33)</f>
        <v>40493</v>
      </c>
      <c r="O34" s="777">
        <f>SUM(I34:N34)</f>
        <v>40493</v>
      </c>
      <c r="P34" s="773"/>
    </row>
    <row r="35" spans="1:261" s="768" customFormat="1" ht="22.5" customHeight="1" x14ac:dyDescent="0.35">
      <c r="A35" s="783">
        <v>27</v>
      </c>
      <c r="B35" s="776"/>
      <c r="C35" s="466">
        <v>6</v>
      </c>
      <c r="D35" s="423" t="s">
        <v>1060</v>
      </c>
      <c r="E35" s="432"/>
      <c r="F35" s="772"/>
      <c r="G35" s="433"/>
      <c r="H35" s="1009" t="s">
        <v>24</v>
      </c>
      <c r="I35" s="1027"/>
      <c r="J35" s="1023"/>
      <c r="K35" s="1023"/>
      <c r="L35" s="1023"/>
      <c r="M35" s="1023"/>
      <c r="N35" s="1023"/>
      <c r="O35" s="777"/>
      <c r="P35" s="773"/>
      <c r="Q35" s="420"/>
      <c r="R35" s="420"/>
      <c r="S35" s="420"/>
      <c r="T35" s="420"/>
      <c r="U35" s="420"/>
      <c r="V35" s="420"/>
      <c r="W35" s="420"/>
      <c r="X35" s="420"/>
      <c r="Y35" s="420"/>
      <c r="Z35" s="420"/>
      <c r="AA35" s="420"/>
      <c r="AB35" s="420"/>
      <c r="AC35" s="420"/>
      <c r="AD35" s="420"/>
      <c r="AE35" s="420"/>
      <c r="AF35" s="420"/>
      <c r="AG35" s="420"/>
      <c r="AH35" s="420"/>
      <c r="AI35" s="420"/>
      <c r="AJ35" s="420"/>
      <c r="AK35" s="420"/>
      <c r="AL35" s="420"/>
      <c r="AM35" s="420"/>
      <c r="AN35" s="420"/>
      <c r="AO35" s="420"/>
      <c r="AP35" s="420"/>
      <c r="AQ35" s="420"/>
      <c r="AR35" s="420"/>
      <c r="AS35" s="420"/>
      <c r="AT35" s="420"/>
      <c r="AU35" s="420"/>
      <c r="AV35" s="420"/>
      <c r="AW35" s="420"/>
      <c r="AX35" s="420"/>
      <c r="AY35" s="420"/>
      <c r="AZ35" s="420"/>
      <c r="BA35" s="420"/>
      <c r="BB35" s="420"/>
      <c r="BC35" s="420"/>
      <c r="BD35" s="420"/>
      <c r="BE35" s="420"/>
      <c r="BF35" s="420"/>
      <c r="BG35" s="420"/>
      <c r="BH35" s="420"/>
      <c r="BI35" s="420"/>
      <c r="BJ35" s="420"/>
      <c r="BK35" s="420"/>
      <c r="BL35" s="420"/>
      <c r="BM35" s="420"/>
      <c r="BN35" s="420"/>
      <c r="BO35" s="420"/>
      <c r="BP35" s="420"/>
      <c r="BQ35" s="420"/>
      <c r="BR35" s="420"/>
      <c r="BS35" s="420"/>
      <c r="BT35" s="420"/>
      <c r="BU35" s="420"/>
      <c r="BV35" s="420"/>
      <c r="BW35" s="420"/>
      <c r="BX35" s="420"/>
      <c r="BY35" s="420"/>
      <c r="BZ35" s="420"/>
      <c r="CA35" s="420"/>
      <c r="CB35" s="420"/>
      <c r="CC35" s="420"/>
      <c r="CD35" s="420"/>
      <c r="CE35" s="420"/>
      <c r="CF35" s="420"/>
      <c r="CG35" s="420"/>
      <c r="CH35" s="420"/>
      <c r="CI35" s="420"/>
      <c r="CJ35" s="420"/>
      <c r="CK35" s="420"/>
      <c r="CL35" s="420"/>
      <c r="CM35" s="420"/>
      <c r="CN35" s="420"/>
      <c r="CO35" s="420"/>
      <c r="CP35" s="420"/>
      <c r="CQ35" s="420"/>
      <c r="CR35" s="420"/>
      <c r="CS35" s="420"/>
      <c r="CT35" s="420"/>
      <c r="CU35" s="420"/>
      <c r="CV35" s="420"/>
      <c r="CW35" s="420"/>
      <c r="CX35" s="420"/>
      <c r="CY35" s="420"/>
      <c r="CZ35" s="420"/>
      <c r="DA35" s="420"/>
      <c r="DB35" s="420"/>
      <c r="DC35" s="420"/>
      <c r="DD35" s="420"/>
      <c r="DE35" s="420"/>
      <c r="DF35" s="420"/>
      <c r="DG35" s="420"/>
      <c r="DH35" s="420"/>
      <c r="DI35" s="420"/>
      <c r="DJ35" s="420"/>
      <c r="DK35" s="420"/>
      <c r="DL35" s="420"/>
      <c r="DM35" s="420"/>
      <c r="DN35" s="420"/>
      <c r="DO35" s="420"/>
      <c r="DP35" s="420"/>
      <c r="DQ35" s="420"/>
      <c r="DR35" s="420"/>
      <c r="DS35" s="420"/>
      <c r="DT35" s="420"/>
      <c r="DU35" s="420"/>
      <c r="DV35" s="420"/>
      <c r="DW35" s="420"/>
      <c r="DX35" s="420"/>
      <c r="DY35" s="420"/>
      <c r="DZ35" s="420"/>
      <c r="EA35" s="420"/>
      <c r="EB35" s="420"/>
      <c r="EC35" s="420"/>
      <c r="ED35" s="420"/>
      <c r="EE35" s="420"/>
      <c r="EF35" s="420"/>
      <c r="EG35" s="420"/>
      <c r="EH35" s="420"/>
      <c r="EI35" s="420"/>
      <c r="EJ35" s="420"/>
      <c r="EK35" s="420"/>
      <c r="EL35" s="420"/>
      <c r="EM35" s="420"/>
      <c r="EN35" s="420"/>
      <c r="EO35" s="420"/>
      <c r="EP35" s="420"/>
      <c r="EQ35" s="420"/>
      <c r="ER35" s="420"/>
      <c r="ES35" s="420"/>
      <c r="ET35" s="420"/>
      <c r="EU35" s="420"/>
      <c r="EV35" s="420"/>
      <c r="EW35" s="420"/>
      <c r="EX35" s="420"/>
      <c r="EY35" s="420"/>
      <c r="EZ35" s="420"/>
      <c r="FA35" s="420"/>
      <c r="FB35" s="420"/>
      <c r="FC35" s="420"/>
      <c r="FD35" s="420"/>
      <c r="FE35" s="420"/>
      <c r="FF35" s="420"/>
      <c r="FG35" s="420"/>
      <c r="FH35" s="420"/>
      <c r="FI35" s="420"/>
      <c r="FJ35" s="420"/>
      <c r="FK35" s="420"/>
      <c r="FL35" s="420"/>
      <c r="FM35" s="420"/>
      <c r="FN35" s="420"/>
      <c r="FO35" s="420"/>
      <c r="FP35" s="420"/>
      <c r="FQ35" s="420"/>
      <c r="FR35" s="420"/>
      <c r="FS35" s="420"/>
      <c r="FT35" s="420"/>
      <c r="FU35" s="420"/>
      <c r="FV35" s="420"/>
      <c r="FW35" s="420"/>
      <c r="FX35" s="420"/>
      <c r="FY35" s="420"/>
      <c r="FZ35" s="420"/>
      <c r="GA35" s="420"/>
      <c r="GB35" s="420"/>
      <c r="GC35" s="420"/>
      <c r="GD35" s="420"/>
      <c r="GE35" s="420"/>
      <c r="GF35" s="420"/>
      <c r="GG35" s="420"/>
      <c r="GH35" s="420"/>
      <c r="GI35" s="420"/>
      <c r="GJ35" s="420"/>
      <c r="GK35" s="420"/>
      <c r="GL35" s="420"/>
      <c r="GM35" s="420"/>
      <c r="GN35" s="420"/>
      <c r="GO35" s="420"/>
      <c r="GP35" s="420"/>
      <c r="GQ35" s="420"/>
      <c r="GR35" s="420"/>
      <c r="GS35" s="420"/>
      <c r="GT35" s="420"/>
      <c r="GU35" s="420"/>
      <c r="GV35" s="420"/>
      <c r="GW35" s="420"/>
      <c r="GX35" s="420"/>
      <c r="GY35" s="420"/>
      <c r="GZ35" s="420"/>
      <c r="HA35" s="420"/>
      <c r="HB35" s="420"/>
      <c r="HC35" s="420"/>
      <c r="HD35" s="420"/>
      <c r="HE35" s="420"/>
      <c r="HF35" s="420"/>
      <c r="HG35" s="420"/>
      <c r="HH35" s="420"/>
      <c r="HI35" s="420"/>
      <c r="HJ35" s="420"/>
      <c r="HK35" s="420"/>
      <c r="HL35" s="420"/>
      <c r="HM35" s="420"/>
      <c r="HN35" s="420"/>
      <c r="HO35" s="420"/>
      <c r="HP35" s="420"/>
      <c r="HQ35" s="420"/>
      <c r="HR35" s="420"/>
      <c r="HS35" s="420"/>
      <c r="HT35" s="420"/>
      <c r="HU35" s="420"/>
      <c r="HV35" s="420"/>
      <c r="HW35" s="420"/>
      <c r="HX35" s="420"/>
      <c r="HY35" s="420"/>
      <c r="HZ35" s="420"/>
      <c r="IA35" s="420"/>
      <c r="IB35" s="420"/>
      <c r="IC35" s="420"/>
      <c r="ID35" s="420"/>
      <c r="IE35" s="420"/>
      <c r="IF35" s="420"/>
      <c r="IG35" s="420"/>
      <c r="IH35" s="420"/>
      <c r="II35" s="420"/>
      <c r="IJ35" s="420"/>
      <c r="IK35" s="420"/>
      <c r="IL35" s="420"/>
      <c r="IM35" s="420"/>
      <c r="IN35" s="420"/>
      <c r="IO35" s="420"/>
      <c r="IP35" s="420"/>
      <c r="IQ35" s="420"/>
      <c r="IR35" s="420"/>
      <c r="IS35" s="420"/>
      <c r="IT35" s="420"/>
      <c r="IU35" s="420"/>
      <c r="IV35" s="420"/>
      <c r="IW35" s="420"/>
      <c r="IX35" s="420"/>
      <c r="IY35" s="420"/>
      <c r="IZ35" s="420"/>
      <c r="JA35" s="420"/>
    </row>
    <row r="36" spans="1:261" ht="18" customHeight="1" x14ac:dyDescent="0.35">
      <c r="A36" s="783">
        <v>28</v>
      </c>
      <c r="B36" s="625"/>
      <c r="C36" s="466"/>
      <c r="D36" s="1002" t="s">
        <v>311</v>
      </c>
      <c r="E36" s="432">
        <f>F36+G36+O39+P36</f>
        <v>250000</v>
      </c>
      <c r="F36" s="772"/>
      <c r="G36" s="433"/>
      <c r="H36" s="1009"/>
      <c r="I36" s="1027"/>
      <c r="J36" s="1023"/>
      <c r="K36" s="1023">
        <v>500</v>
      </c>
      <c r="L36" s="1023"/>
      <c r="M36" s="1023">
        <v>249500</v>
      </c>
      <c r="N36" s="1023"/>
      <c r="O36" s="992">
        <f>SUM(I36:N36)</f>
        <v>250000</v>
      </c>
      <c r="P36" s="773"/>
    </row>
    <row r="37" spans="1:261" ht="18" customHeight="1" x14ac:dyDescent="0.35">
      <c r="A37" s="783">
        <v>29</v>
      </c>
      <c r="B37" s="625"/>
      <c r="C37" s="466"/>
      <c r="D37" s="583" t="s">
        <v>1072</v>
      </c>
      <c r="E37" s="432"/>
      <c r="F37" s="772"/>
      <c r="G37" s="433"/>
      <c r="H37" s="1009"/>
      <c r="I37" s="1027"/>
      <c r="J37" s="1023"/>
      <c r="K37" s="1548">
        <v>500</v>
      </c>
      <c r="L37" s="1548"/>
      <c r="M37" s="1548">
        <v>249500</v>
      </c>
      <c r="N37" s="1548"/>
      <c r="O37" s="777">
        <f>SUM(I37:N37)</f>
        <v>250000</v>
      </c>
      <c r="P37" s="773"/>
    </row>
    <row r="38" spans="1:261" ht="18" customHeight="1" x14ac:dyDescent="0.35">
      <c r="A38" s="783">
        <v>30</v>
      </c>
      <c r="B38" s="625"/>
      <c r="C38" s="466"/>
      <c r="D38" s="1338" t="s">
        <v>963</v>
      </c>
      <c r="E38" s="432"/>
      <c r="F38" s="772"/>
      <c r="G38" s="433"/>
      <c r="H38" s="1009"/>
      <c r="I38" s="1005"/>
      <c r="J38" s="769"/>
      <c r="K38" s="769"/>
      <c r="L38" s="769"/>
      <c r="M38" s="769"/>
      <c r="N38" s="769"/>
      <c r="O38" s="777">
        <f>SUM(I38:N38)</f>
        <v>0</v>
      </c>
      <c r="P38" s="773"/>
    </row>
    <row r="39" spans="1:261" ht="18" customHeight="1" x14ac:dyDescent="0.35">
      <c r="A39" s="783">
        <v>31</v>
      </c>
      <c r="B39" s="625"/>
      <c r="C39" s="466"/>
      <c r="D39" s="583" t="s">
        <v>1151</v>
      </c>
      <c r="E39" s="432"/>
      <c r="F39" s="772"/>
      <c r="G39" s="433"/>
      <c r="H39" s="1009"/>
      <c r="I39" s="1005"/>
      <c r="J39" s="769"/>
      <c r="K39" s="1548">
        <f>SUM(K37:K38)</f>
        <v>500</v>
      </c>
      <c r="L39" s="1548"/>
      <c r="M39" s="1548">
        <f>SUM(M37:M38)</f>
        <v>249500</v>
      </c>
      <c r="N39" s="769"/>
      <c r="O39" s="777">
        <f>SUM(I39:N39)</f>
        <v>250000</v>
      </c>
      <c r="P39" s="773"/>
    </row>
    <row r="40" spans="1:261" ht="22.5" customHeight="1" x14ac:dyDescent="0.35">
      <c r="A40" s="783">
        <v>32</v>
      </c>
      <c r="B40" s="625"/>
      <c r="C40" s="466">
        <v>7</v>
      </c>
      <c r="D40" s="780" t="s">
        <v>1110</v>
      </c>
      <c r="E40" s="432"/>
      <c r="F40" s="772"/>
      <c r="G40" s="433"/>
      <c r="H40" s="1009" t="s">
        <v>24</v>
      </c>
      <c r="I40" s="1027"/>
      <c r="J40" s="1023"/>
      <c r="K40" s="1023"/>
      <c r="L40" s="1023"/>
      <c r="M40" s="1023"/>
      <c r="N40" s="1023"/>
      <c r="O40" s="777"/>
      <c r="P40" s="773"/>
    </row>
    <row r="41" spans="1:261" s="768" customFormat="1" ht="18" customHeight="1" x14ac:dyDescent="0.35">
      <c r="A41" s="783">
        <v>33</v>
      </c>
      <c r="B41" s="776"/>
      <c r="C41" s="422"/>
      <c r="D41" s="1002" t="s">
        <v>311</v>
      </c>
      <c r="E41" s="432">
        <f>F41+G41+O44+P41</f>
        <v>957296</v>
      </c>
      <c r="F41" s="772"/>
      <c r="G41" s="433">
        <v>820</v>
      </c>
      <c r="H41" s="1009"/>
      <c r="I41" s="1027"/>
      <c r="J41" s="1023"/>
      <c r="K41" s="1023"/>
      <c r="L41" s="1023"/>
      <c r="M41" s="1023">
        <v>360738</v>
      </c>
      <c r="N41" s="1023"/>
      <c r="O41" s="992">
        <f>SUM(I41:N41)</f>
        <v>360738</v>
      </c>
      <c r="P41" s="773">
        <f>611414-7838-603576</f>
        <v>0</v>
      </c>
      <c r="Q41" s="420"/>
      <c r="R41" s="420"/>
      <c r="S41" s="420"/>
      <c r="T41" s="420"/>
      <c r="U41" s="420"/>
      <c r="V41" s="420"/>
      <c r="W41" s="420"/>
      <c r="X41" s="420"/>
      <c r="Y41" s="420"/>
      <c r="Z41" s="420"/>
      <c r="AA41" s="420"/>
      <c r="AB41" s="420"/>
      <c r="AC41" s="420"/>
      <c r="AD41" s="420"/>
      <c r="AE41" s="420"/>
      <c r="AF41" s="420"/>
      <c r="AG41" s="420"/>
      <c r="AH41" s="420"/>
      <c r="AI41" s="420"/>
      <c r="AJ41" s="420"/>
      <c r="AK41" s="420"/>
      <c r="AL41" s="420"/>
      <c r="AM41" s="420"/>
      <c r="AN41" s="420"/>
      <c r="AO41" s="420"/>
      <c r="AP41" s="420"/>
      <c r="AQ41" s="420"/>
      <c r="AR41" s="420"/>
      <c r="AS41" s="420"/>
      <c r="AT41" s="420"/>
      <c r="AU41" s="420"/>
      <c r="AV41" s="420"/>
      <c r="AW41" s="420"/>
      <c r="AX41" s="420"/>
      <c r="AY41" s="420"/>
      <c r="AZ41" s="420"/>
      <c r="BA41" s="420"/>
      <c r="BB41" s="420"/>
      <c r="BC41" s="420"/>
      <c r="BD41" s="420"/>
      <c r="BE41" s="420"/>
      <c r="BF41" s="420"/>
      <c r="BG41" s="420"/>
      <c r="BH41" s="420"/>
      <c r="BI41" s="420"/>
      <c r="BJ41" s="420"/>
      <c r="BK41" s="420"/>
      <c r="BL41" s="420"/>
      <c r="BM41" s="420"/>
      <c r="BN41" s="420"/>
      <c r="BO41" s="420"/>
      <c r="BP41" s="420"/>
      <c r="BQ41" s="420"/>
      <c r="BR41" s="420"/>
      <c r="BS41" s="420"/>
      <c r="BT41" s="420"/>
      <c r="BU41" s="420"/>
      <c r="BV41" s="420"/>
      <c r="BW41" s="420"/>
      <c r="BX41" s="420"/>
      <c r="BY41" s="420"/>
      <c r="BZ41" s="420"/>
      <c r="CA41" s="420"/>
      <c r="CB41" s="420"/>
      <c r="CC41" s="420"/>
      <c r="CD41" s="420"/>
      <c r="CE41" s="420"/>
      <c r="CF41" s="420"/>
      <c r="CG41" s="420"/>
      <c r="CH41" s="420"/>
      <c r="CI41" s="420"/>
      <c r="CJ41" s="420"/>
      <c r="CK41" s="420"/>
      <c r="CL41" s="420"/>
      <c r="CM41" s="420"/>
      <c r="CN41" s="420"/>
      <c r="CO41" s="420"/>
      <c r="CP41" s="420"/>
      <c r="CQ41" s="420"/>
      <c r="CR41" s="420"/>
      <c r="CS41" s="420"/>
      <c r="CT41" s="420"/>
      <c r="CU41" s="420"/>
      <c r="CV41" s="420"/>
      <c r="CW41" s="420"/>
      <c r="CX41" s="420"/>
      <c r="CY41" s="420"/>
      <c r="CZ41" s="420"/>
      <c r="DA41" s="420"/>
      <c r="DB41" s="420"/>
      <c r="DC41" s="420"/>
      <c r="DD41" s="420"/>
      <c r="DE41" s="420"/>
      <c r="DF41" s="420"/>
      <c r="DG41" s="420"/>
      <c r="DH41" s="420"/>
      <c r="DI41" s="420"/>
      <c r="DJ41" s="420"/>
      <c r="DK41" s="420"/>
      <c r="DL41" s="420"/>
      <c r="DM41" s="420"/>
      <c r="DN41" s="420"/>
      <c r="DO41" s="420"/>
      <c r="DP41" s="420"/>
      <c r="DQ41" s="420"/>
      <c r="DR41" s="420"/>
      <c r="DS41" s="420"/>
      <c r="DT41" s="420"/>
      <c r="DU41" s="420"/>
      <c r="DV41" s="420"/>
      <c r="DW41" s="420"/>
      <c r="DX41" s="420"/>
      <c r="DY41" s="420"/>
      <c r="DZ41" s="420"/>
      <c r="EA41" s="420"/>
      <c r="EB41" s="420"/>
      <c r="EC41" s="420"/>
      <c r="ED41" s="420"/>
      <c r="EE41" s="420"/>
      <c r="EF41" s="420"/>
      <c r="EG41" s="420"/>
      <c r="EH41" s="420"/>
      <c r="EI41" s="420"/>
      <c r="EJ41" s="420"/>
      <c r="EK41" s="420"/>
      <c r="EL41" s="420"/>
      <c r="EM41" s="420"/>
      <c r="EN41" s="420"/>
      <c r="EO41" s="420"/>
      <c r="EP41" s="420"/>
      <c r="EQ41" s="420"/>
      <c r="ER41" s="420"/>
      <c r="ES41" s="420"/>
      <c r="ET41" s="420"/>
      <c r="EU41" s="420"/>
      <c r="EV41" s="420"/>
      <c r="EW41" s="420"/>
      <c r="EX41" s="420"/>
      <c r="EY41" s="420"/>
      <c r="EZ41" s="420"/>
      <c r="FA41" s="420"/>
      <c r="FB41" s="420"/>
      <c r="FC41" s="420"/>
      <c r="FD41" s="420"/>
      <c r="FE41" s="420"/>
      <c r="FF41" s="420"/>
      <c r="FG41" s="420"/>
      <c r="FH41" s="420"/>
      <c r="FI41" s="420"/>
      <c r="FJ41" s="420"/>
      <c r="FK41" s="420"/>
      <c r="FL41" s="420"/>
      <c r="FM41" s="420"/>
      <c r="FN41" s="420"/>
      <c r="FO41" s="420"/>
      <c r="FP41" s="420"/>
      <c r="FQ41" s="420"/>
      <c r="FR41" s="420"/>
      <c r="FS41" s="420"/>
      <c r="FT41" s="420"/>
      <c r="FU41" s="420"/>
      <c r="FV41" s="420"/>
      <c r="FW41" s="420"/>
      <c r="FX41" s="420"/>
      <c r="FY41" s="420"/>
      <c r="FZ41" s="420"/>
      <c r="GA41" s="420"/>
      <c r="GB41" s="420"/>
      <c r="GC41" s="420"/>
      <c r="GD41" s="420"/>
      <c r="GE41" s="420"/>
      <c r="GF41" s="420"/>
      <c r="GG41" s="420"/>
      <c r="GH41" s="420"/>
      <c r="GI41" s="420"/>
      <c r="GJ41" s="420"/>
      <c r="GK41" s="420"/>
      <c r="GL41" s="420"/>
      <c r="GM41" s="420"/>
      <c r="GN41" s="420"/>
      <c r="GO41" s="420"/>
      <c r="GP41" s="420"/>
      <c r="GQ41" s="420"/>
      <c r="GR41" s="420"/>
      <c r="GS41" s="420"/>
      <c r="GT41" s="420"/>
      <c r="GU41" s="420"/>
      <c r="GV41" s="420"/>
      <c r="GW41" s="420"/>
      <c r="GX41" s="420"/>
      <c r="GY41" s="420"/>
      <c r="GZ41" s="420"/>
      <c r="HA41" s="420"/>
      <c r="HB41" s="420"/>
      <c r="HC41" s="420"/>
      <c r="HD41" s="420"/>
      <c r="HE41" s="420"/>
      <c r="HF41" s="420"/>
      <c r="HG41" s="420"/>
      <c r="HH41" s="420"/>
      <c r="HI41" s="420"/>
      <c r="HJ41" s="420"/>
      <c r="HK41" s="420"/>
      <c r="HL41" s="420"/>
      <c r="HM41" s="420"/>
      <c r="HN41" s="420"/>
      <c r="HO41" s="420"/>
      <c r="HP41" s="420"/>
      <c r="HQ41" s="420"/>
      <c r="HR41" s="420"/>
      <c r="HS41" s="420"/>
      <c r="HT41" s="420"/>
      <c r="HU41" s="420"/>
      <c r="HV41" s="420"/>
      <c r="HW41" s="420"/>
      <c r="HX41" s="420"/>
      <c r="HY41" s="420"/>
      <c r="HZ41" s="420"/>
      <c r="IA41" s="420"/>
      <c r="IB41" s="420"/>
      <c r="IC41" s="420"/>
      <c r="ID41" s="420"/>
      <c r="IE41" s="420"/>
      <c r="IF41" s="420"/>
      <c r="IG41" s="420"/>
      <c r="IH41" s="420"/>
      <c r="II41" s="420"/>
      <c r="IJ41" s="420"/>
      <c r="IK41" s="420"/>
      <c r="IL41" s="420"/>
      <c r="IM41" s="420"/>
      <c r="IN41" s="420"/>
      <c r="IO41" s="420"/>
      <c r="IP41" s="420"/>
      <c r="IQ41" s="420"/>
      <c r="IR41" s="420"/>
      <c r="IS41" s="420"/>
      <c r="IT41" s="420"/>
      <c r="IU41" s="420"/>
      <c r="IV41" s="420"/>
      <c r="IW41" s="420"/>
      <c r="IX41" s="420"/>
      <c r="IY41" s="420"/>
      <c r="IZ41" s="420"/>
      <c r="JA41" s="420"/>
    </row>
    <row r="42" spans="1:261" s="768" customFormat="1" ht="18" customHeight="1" x14ac:dyDescent="0.35">
      <c r="A42" s="783">
        <v>34</v>
      </c>
      <c r="B42" s="776"/>
      <c r="C42" s="422"/>
      <c r="D42" s="583" t="s">
        <v>1072</v>
      </c>
      <c r="E42" s="432"/>
      <c r="F42" s="772"/>
      <c r="G42" s="433"/>
      <c r="H42" s="1009"/>
      <c r="I42" s="1027"/>
      <c r="J42" s="1023"/>
      <c r="K42" s="1548">
        <v>676</v>
      </c>
      <c r="L42" s="1023"/>
      <c r="M42" s="1548">
        <v>955800</v>
      </c>
      <c r="N42" s="769"/>
      <c r="O42" s="777">
        <f>SUM(I42:N42)</f>
        <v>956476</v>
      </c>
      <c r="P42" s="773"/>
      <c r="Q42" s="420"/>
      <c r="R42" s="420"/>
      <c r="S42" s="420"/>
      <c r="T42" s="420"/>
      <c r="U42" s="420"/>
      <c r="V42" s="420"/>
      <c r="W42" s="420"/>
      <c r="X42" s="420"/>
      <c r="Y42" s="420"/>
      <c r="Z42" s="420"/>
      <c r="AA42" s="420"/>
      <c r="AB42" s="420"/>
      <c r="AC42" s="420"/>
      <c r="AD42" s="420"/>
      <c r="AE42" s="420"/>
      <c r="AF42" s="420"/>
      <c r="AG42" s="420"/>
      <c r="AH42" s="420"/>
      <c r="AI42" s="420"/>
      <c r="AJ42" s="420"/>
      <c r="AK42" s="420"/>
      <c r="AL42" s="420"/>
      <c r="AM42" s="420"/>
      <c r="AN42" s="420"/>
      <c r="AO42" s="420"/>
      <c r="AP42" s="420"/>
      <c r="AQ42" s="420"/>
      <c r="AR42" s="420"/>
      <c r="AS42" s="420"/>
      <c r="AT42" s="420"/>
      <c r="AU42" s="420"/>
      <c r="AV42" s="420"/>
      <c r="AW42" s="420"/>
      <c r="AX42" s="420"/>
      <c r="AY42" s="420"/>
      <c r="AZ42" s="420"/>
      <c r="BA42" s="420"/>
      <c r="BB42" s="420"/>
      <c r="BC42" s="420"/>
      <c r="BD42" s="420"/>
      <c r="BE42" s="420"/>
      <c r="BF42" s="420"/>
      <c r="BG42" s="420"/>
      <c r="BH42" s="420"/>
      <c r="BI42" s="420"/>
      <c r="BJ42" s="420"/>
      <c r="BK42" s="420"/>
      <c r="BL42" s="420"/>
      <c r="BM42" s="420"/>
      <c r="BN42" s="420"/>
      <c r="BO42" s="420"/>
      <c r="BP42" s="420"/>
      <c r="BQ42" s="420"/>
      <c r="BR42" s="420"/>
      <c r="BS42" s="420"/>
      <c r="BT42" s="420"/>
      <c r="BU42" s="420"/>
      <c r="BV42" s="420"/>
      <c r="BW42" s="420"/>
      <c r="BX42" s="420"/>
      <c r="BY42" s="420"/>
      <c r="BZ42" s="420"/>
      <c r="CA42" s="420"/>
      <c r="CB42" s="420"/>
      <c r="CC42" s="420"/>
      <c r="CD42" s="420"/>
      <c r="CE42" s="420"/>
      <c r="CF42" s="420"/>
      <c r="CG42" s="420"/>
      <c r="CH42" s="420"/>
      <c r="CI42" s="420"/>
      <c r="CJ42" s="420"/>
      <c r="CK42" s="420"/>
      <c r="CL42" s="420"/>
      <c r="CM42" s="420"/>
      <c r="CN42" s="420"/>
      <c r="CO42" s="420"/>
      <c r="CP42" s="420"/>
      <c r="CQ42" s="420"/>
      <c r="CR42" s="420"/>
      <c r="CS42" s="420"/>
      <c r="CT42" s="420"/>
      <c r="CU42" s="420"/>
      <c r="CV42" s="420"/>
      <c r="CW42" s="420"/>
      <c r="CX42" s="420"/>
      <c r="CY42" s="420"/>
      <c r="CZ42" s="420"/>
      <c r="DA42" s="420"/>
      <c r="DB42" s="420"/>
      <c r="DC42" s="420"/>
      <c r="DD42" s="420"/>
      <c r="DE42" s="420"/>
      <c r="DF42" s="420"/>
      <c r="DG42" s="420"/>
      <c r="DH42" s="420"/>
      <c r="DI42" s="420"/>
      <c r="DJ42" s="420"/>
      <c r="DK42" s="420"/>
      <c r="DL42" s="420"/>
      <c r="DM42" s="420"/>
      <c r="DN42" s="420"/>
      <c r="DO42" s="420"/>
      <c r="DP42" s="420"/>
      <c r="DQ42" s="420"/>
      <c r="DR42" s="420"/>
      <c r="DS42" s="420"/>
      <c r="DT42" s="420"/>
      <c r="DU42" s="420"/>
      <c r="DV42" s="420"/>
      <c r="DW42" s="420"/>
      <c r="DX42" s="420"/>
      <c r="DY42" s="420"/>
      <c r="DZ42" s="420"/>
      <c r="EA42" s="420"/>
      <c r="EB42" s="420"/>
      <c r="EC42" s="420"/>
      <c r="ED42" s="420"/>
      <c r="EE42" s="420"/>
      <c r="EF42" s="420"/>
      <c r="EG42" s="420"/>
      <c r="EH42" s="420"/>
      <c r="EI42" s="420"/>
      <c r="EJ42" s="420"/>
      <c r="EK42" s="420"/>
      <c r="EL42" s="420"/>
      <c r="EM42" s="420"/>
      <c r="EN42" s="420"/>
      <c r="EO42" s="420"/>
      <c r="EP42" s="420"/>
      <c r="EQ42" s="420"/>
      <c r="ER42" s="420"/>
      <c r="ES42" s="420"/>
      <c r="ET42" s="420"/>
      <c r="EU42" s="420"/>
      <c r="EV42" s="420"/>
      <c r="EW42" s="420"/>
      <c r="EX42" s="420"/>
      <c r="EY42" s="420"/>
      <c r="EZ42" s="420"/>
      <c r="FA42" s="420"/>
      <c r="FB42" s="420"/>
      <c r="FC42" s="420"/>
      <c r="FD42" s="420"/>
      <c r="FE42" s="420"/>
      <c r="FF42" s="420"/>
      <c r="FG42" s="420"/>
      <c r="FH42" s="420"/>
      <c r="FI42" s="420"/>
      <c r="FJ42" s="420"/>
      <c r="FK42" s="420"/>
      <c r="FL42" s="420"/>
      <c r="FM42" s="420"/>
      <c r="FN42" s="420"/>
      <c r="FO42" s="420"/>
      <c r="FP42" s="420"/>
      <c r="FQ42" s="420"/>
      <c r="FR42" s="420"/>
      <c r="FS42" s="420"/>
      <c r="FT42" s="420"/>
      <c r="FU42" s="420"/>
      <c r="FV42" s="420"/>
      <c r="FW42" s="420"/>
      <c r="FX42" s="420"/>
      <c r="FY42" s="420"/>
      <c r="FZ42" s="420"/>
      <c r="GA42" s="420"/>
      <c r="GB42" s="420"/>
      <c r="GC42" s="420"/>
      <c r="GD42" s="420"/>
      <c r="GE42" s="420"/>
      <c r="GF42" s="420"/>
      <c r="GG42" s="420"/>
      <c r="GH42" s="420"/>
      <c r="GI42" s="420"/>
      <c r="GJ42" s="420"/>
      <c r="GK42" s="420"/>
      <c r="GL42" s="420"/>
      <c r="GM42" s="420"/>
      <c r="GN42" s="420"/>
      <c r="GO42" s="420"/>
      <c r="GP42" s="420"/>
      <c r="GQ42" s="420"/>
      <c r="GR42" s="420"/>
      <c r="GS42" s="420"/>
      <c r="GT42" s="420"/>
      <c r="GU42" s="420"/>
      <c r="GV42" s="420"/>
      <c r="GW42" s="420"/>
      <c r="GX42" s="420"/>
      <c r="GY42" s="420"/>
      <c r="GZ42" s="420"/>
      <c r="HA42" s="420"/>
      <c r="HB42" s="420"/>
      <c r="HC42" s="420"/>
      <c r="HD42" s="420"/>
      <c r="HE42" s="420"/>
      <c r="HF42" s="420"/>
      <c r="HG42" s="420"/>
      <c r="HH42" s="420"/>
      <c r="HI42" s="420"/>
      <c r="HJ42" s="420"/>
      <c r="HK42" s="420"/>
      <c r="HL42" s="420"/>
      <c r="HM42" s="420"/>
      <c r="HN42" s="420"/>
      <c r="HO42" s="420"/>
      <c r="HP42" s="420"/>
      <c r="HQ42" s="420"/>
      <c r="HR42" s="420"/>
      <c r="HS42" s="420"/>
      <c r="HT42" s="420"/>
      <c r="HU42" s="420"/>
      <c r="HV42" s="420"/>
      <c r="HW42" s="420"/>
      <c r="HX42" s="420"/>
      <c r="HY42" s="420"/>
      <c r="HZ42" s="420"/>
      <c r="IA42" s="420"/>
      <c r="IB42" s="420"/>
      <c r="IC42" s="420"/>
      <c r="ID42" s="420"/>
      <c r="IE42" s="420"/>
      <c r="IF42" s="420"/>
      <c r="IG42" s="420"/>
      <c r="IH42" s="420"/>
      <c r="II42" s="420"/>
      <c r="IJ42" s="420"/>
      <c r="IK42" s="420"/>
      <c r="IL42" s="420"/>
      <c r="IM42" s="420"/>
      <c r="IN42" s="420"/>
      <c r="IO42" s="420"/>
      <c r="IP42" s="420"/>
      <c r="IQ42" s="420"/>
      <c r="IR42" s="420"/>
      <c r="IS42" s="420"/>
      <c r="IT42" s="420"/>
      <c r="IU42" s="420"/>
      <c r="IV42" s="420"/>
      <c r="IW42" s="420"/>
      <c r="IX42" s="420"/>
      <c r="IY42" s="420"/>
      <c r="IZ42" s="420"/>
      <c r="JA42" s="420"/>
    </row>
    <row r="43" spans="1:261" s="768" customFormat="1" ht="18" customHeight="1" x14ac:dyDescent="0.35">
      <c r="A43" s="783">
        <v>35</v>
      </c>
      <c r="B43" s="776"/>
      <c r="C43" s="422"/>
      <c r="D43" s="1338" t="s">
        <v>986</v>
      </c>
      <c r="E43" s="432"/>
      <c r="F43" s="772"/>
      <c r="G43" s="433"/>
      <c r="H43" s="1009"/>
      <c r="I43" s="1005"/>
      <c r="J43" s="769"/>
      <c r="K43" s="1810"/>
      <c r="L43" s="1810"/>
      <c r="M43" s="1810"/>
      <c r="N43" s="769"/>
      <c r="O43" s="777">
        <f>SUM(I43:N43)</f>
        <v>0</v>
      </c>
      <c r="P43" s="773"/>
      <c r="Q43" s="420"/>
      <c r="R43" s="420"/>
      <c r="S43" s="420"/>
      <c r="T43" s="420"/>
      <c r="U43" s="420"/>
      <c r="V43" s="420"/>
      <c r="W43" s="420"/>
      <c r="X43" s="420"/>
      <c r="Y43" s="420"/>
      <c r="Z43" s="420"/>
      <c r="AA43" s="420"/>
      <c r="AB43" s="420"/>
      <c r="AC43" s="420"/>
      <c r="AD43" s="420"/>
      <c r="AE43" s="420"/>
      <c r="AF43" s="420"/>
      <c r="AG43" s="420"/>
      <c r="AH43" s="420"/>
      <c r="AI43" s="420"/>
      <c r="AJ43" s="420"/>
      <c r="AK43" s="420"/>
      <c r="AL43" s="420"/>
      <c r="AM43" s="420"/>
      <c r="AN43" s="420"/>
      <c r="AO43" s="420"/>
      <c r="AP43" s="420"/>
      <c r="AQ43" s="420"/>
      <c r="AR43" s="420"/>
      <c r="AS43" s="420"/>
      <c r="AT43" s="420"/>
      <c r="AU43" s="420"/>
      <c r="AV43" s="420"/>
      <c r="AW43" s="420"/>
      <c r="AX43" s="420"/>
      <c r="AY43" s="420"/>
      <c r="AZ43" s="420"/>
      <c r="BA43" s="420"/>
      <c r="BB43" s="420"/>
      <c r="BC43" s="420"/>
      <c r="BD43" s="420"/>
      <c r="BE43" s="420"/>
      <c r="BF43" s="420"/>
      <c r="BG43" s="420"/>
      <c r="BH43" s="420"/>
      <c r="BI43" s="420"/>
      <c r="BJ43" s="420"/>
      <c r="BK43" s="420"/>
      <c r="BL43" s="420"/>
      <c r="BM43" s="420"/>
      <c r="BN43" s="420"/>
      <c r="BO43" s="420"/>
      <c r="BP43" s="420"/>
      <c r="BQ43" s="420"/>
      <c r="BR43" s="420"/>
      <c r="BS43" s="420"/>
      <c r="BT43" s="420"/>
      <c r="BU43" s="420"/>
      <c r="BV43" s="420"/>
      <c r="BW43" s="420"/>
      <c r="BX43" s="420"/>
      <c r="BY43" s="420"/>
      <c r="BZ43" s="420"/>
      <c r="CA43" s="420"/>
      <c r="CB43" s="420"/>
      <c r="CC43" s="420"/>
      <c r="CD43" s="420"/>
      <c r="CE43" s="420"/>
      <c r="CF43" s="420"/>
      <c r="CG43" s="420"/>
      <c r="CH43" s="420"/>
      <c r="CI43" s="420"/>
      <c r="CJ43" s="420"/>
      <c r="CK43" s="420"/>
      <c r="CL43" s="420"/>
      <c r="CM43" s="420"/>
      <c r="CN43" s="420"/>
      <c r="CO43" s="420"/>
      <c r="CP43" s="420"/>
      <c r="CQ43" s="420"/>
      <c r="CR43" s="420"/>
      <c r="CS43" s="420"/>
      <c r="CT43" s="420"/>
      <c r="CU43" s="420"/>
      <c r="CV43" s="420"/>
      <c r="CW43" s="420"/>
      <c r="CX43" s="420"/>
      <c r="CY43" s="420"/>
      <c r="CZ43" s="420"/>
      <c r="DA43" s="420"/>
      <c r="DB43" s="420"/>
      <c r="DC43" s="420"/>
      <c r="DD43" s="420"/>
      <c r="DE43" s="420"/>
      <c r="DF43" s="420"/>
      <c r="DG43" s="420"/>
      <c r="DH43" s="420"/>
      <c r="DI43" s="420"/>
      <c r="DJ43" s="420"/>
      <c r="DK43" s="420"/>
      <c r="DL43" s="420"/>
      <c r="DM43" s="420"/>
      <c r="DN43" s="420"/>
      <c r="DO43" s="420"/>
      <c r="DP43" s="420"/>
      <c r="DQ43" s="420"/>
      <c r="DR43" s="420"/>
      <c r="DS43" s="420"/>
      <c r="DT43" s="420"/>
      <c r="DU43" s="420"/>
      <c r="DV43" s="420"/>
      <c r="DW43" s="420"/>
      <c r="DX43" s="420"/>
      <c r="DY43" s="420"/>
      <c r="DZ43" s="420"/>
      <c r="EA43" s="420"/>
      <c r="EB43" s="420"/>
      <c r="EC43" s="420"/>
      <c r="ED43" s="420"/>
      <c r="EE43" s="420"/>
      <c r="EF43" s="420"/>
      <c r="EG43" s="420"/>
      <c r="EH43" s="420"/>
      <c r="EI43" s="420"/>
      <c r="EJ43" s="420"/>
      <c r="EK43" s="420"/>
      <c r="EL43" s="420"/>
      <c r="EM43" s="420"/>
      <c r="EN43" s="420"/>
      <c r="EO43" s="420"/>
      <c r="EP43" s="420"/>
      <c r="EQ43" s="420"/>
      <c r="ER43" s="420"/>
      <c r="ES43" s="420"/>
      <c r="ET43" s="420"/>
      <c r="EU43" s="420"/>
      <c r="EV43" s="420"/>
      <c r="EW43" s="420"/>
      <c r="EX43" s="420"/>
      <c r="EY43" s="420"/>
      <c r="EZ43" s="420"/>
      <c r="FA43" s="420"/>
      <c r="FB43" s="420"/>
      <c r="FC43" s="420"/>
      <c r="FD43" s="420"/>
      <c r="FE43" s="420"/>
      <c r="FF43" s="420"/>
      <c r="FG43" s="420"/>
      <c r="FH43" s="420"/>
      <c r="FI43" s="420"/>
      <c r="FJ43" s="420"/>
      <c r="FK43" s="420"/>
      <c r="FL43" s="420"/>
      <c r="FM43" s="420"/>
      <c r="FN43" s="420"/>
      <c r="FO43" s="420"/>
      <c r="FP43" s="420"/>
      <c r="FQ43" s="420"/>
      <c r="FR43" s="420"/>
      <c r="FS43" s="420"/>
      <c r="FT43" s="420"/>
      <c r="FU43" s="420"/>
      <c r="FV43" s="420"/>
      <c r="FW43" s="420"/>
      <c r="FX43" s="420"/>
      <c r="FY43" s="420"/>
      <c r="FZ43" s="420"/>
      <c r="GA43" s="420"/>
      <c r="GB43" s="420"/>
      <c r="GC43" s="420"/>
      <c r="GD43" s="420"/>
      <c r="GE43" s="420"/>
      <c r="GF43" s="420"/>
      <c r="GG43" s="420"/>
      <c r="GH43" s="420"/>
      <c r="GI43" s="420"/>
      <c r="GJ43" s="420"/>
      <c r="GK43" s="420"/>
      <c r="GL43" s="420"/>
      <c r="GM43" s="420"/>
      <c r="GN43" s="420"/>
      <c r="GO43" s="420"/>
      <c r="GP43" s="420"/>
      <c r="GQ43" s="420"/>
      <c r="GR43" s="420"/>
      <c r="GS43" s="420"/>
      <c r="GT43" s="420"/>
      <c r="GU43" s="420"/>
      <c r="GV43" s="420"/>
      <c r="GW43" s="420"/>
      <c r="GX43" s="420"/>
      <c r="GY43" s="420"/>
      <c r="GZ43" s="420"/>
      <c r="HA43" s="420"/>
      <c r="HB43" s="420"/>
      <c r="HC43" s="420"/>
      <c r="HD43" s="420"/>
      <c r="HE43" s="420"/>
      <c r="HF43" s="420"/>
      <c r="HG43" s="420"/>
      <c r="HH43" s="420"/>
      <c r="HI43" s="420"/>
      <c r="HJ43" s="420"/>
      <c r="HK43" s="420"/>
      <c r="HL43" s="420"/>
      <c r="HM43" s="420"/>
      <c r="HN43" s="420"/>
      <c r="HO43" s="420"/>
      <c r="HP43" s="420"/>
      <c r="HQ43" s="420"/>
      <c r="HR43" s="420"/>
      <c r="HS43" s="420"/>
      <c r="HT43" s="420"/>
      <c r="HU43" s="420"/>
      <c r="HV43" s="420"/>
      <c r="HW43" s="420"/>
      <c r="HX43" s="420"/>
      <c r="HY43" s="420"/>
      <c r="HZ43" s="420"/>
      <c r="IA43" s="420"/>
      <c r="IB43" s="420"/>
      <c r="IC43" s="420"/>
      <c r="ID43" s="420"/>
      <c r="IE43" s="420"/>
      <c r="IF43" s="420"/>
      <c r="IG43" s="420"/>
      <c r="IH43" s="420"/>
      <c r="II43" s="420"/>
      <c r="IJ43" s="420"/>
      <c r="IK43" s="420"/>
      <c r="IL43" s="420"/>
      <c r="IM43" s="420"/>
      <c r="IN43" s="420"/>
      <c r="IO43" s="420"/>
      <c r="IP43" s="420"/>
      <c r="IQ43" s="420"/>
      <c r="IR43" s="420"/>
      <c r="IS43" s="420"/>
      <c r="IT43" s="420"/>
      <c r="IU43" s="420"/>
      <c r="IV43" s="420"/>
      <c r="IW43" s="420"/>
      <c r="IX43" s="420"/>
      <c r="IY43" s="420"/>
      <c r="IZ43" s="420"/>
      <c r="JA43" s="420"/>
    </row>
    <row r="44" spans="1:261" s="768" customFormat="1" ht="18" customHeight="1" x14ac:dyDescent="0.35">
      <c r="A44" s="783">
        <v>36</v>
      </c>
      <c r="B44" s="776"/>
      <c r="C44" s="422"/>
      <c r="D44" s="583" t="s">
        <v>1151</v>
      </c>
      <c r="E44" s="432"/>
      <c r="F44" s="772"/>
      <c r="G44" s="433"/>
      <c r="H44" s="1009"/>
      <c r="I44" s="1005"/>
      <c r="J44" s="769"/>
      <c r="K44" s="1548">
        <f>SUM(K42:K43)</f>
        <v>676</v>
      </c>
      <c r="L44" s="769"/>
      <c r="M44" s="1548">
        <f>SUM(M42:M43)</f>
        <v>955800</v>
      </c>
      <c r="N44" s="769"/>
      <c r="O44" s="777">
        <f>SUM(I44:N44)</f>
        <v>956476</v>
      </c>
      <c r="P44" s="773"/>
      <c r="Q44" s="420"/>
      <c r="R44" s="420"/>
      <c r="S44" s="420"/>
      <c r="T44" s="420"/>
      <c r="U44" s="420"/>
      <c r="V44" s="420"/>
      <c r="W44" s="420"/>
      <c r="X44" s="420"/>
      <c r="Y44" s="420"/>
      <c r="Z44" s="420"/>
      <c r="AA44" s="420"/>
      <c r="AB44" s="420"/>
      <c r="AC44" s="420"/>
      <c r="AD44" s="420"/>
      <c r="AE44" s="420"/>
      <c r="AF44" s="420"/>
      <c r="AG44" s="420"/>
      <c r="AH44" s="420"/>
      <c r="AI44" s="420"/>
      <c r="AJ44" s="420"/>
      <c r="AK44" s="420"/>
      <c r="AL44" s="420"/>
      <c r="AM44" s="420"/>
      <c r="AN44" s="420"/>
      <c r="AO44" s="420"/>
      <c r="AP44" s="420"/>
      <c r="AQ44" s="420"/>
      <c r="AR44" s="420"/>
      <c r="AS44" s="420"/>
      <c r="AT44" s="420"/>
      <c r="AU44" s="420"/>
      <c r="AV44" s="420"/>
      <c r="AW44" s="420"/>
      <c r="AX44" s="420"/>
      <c r="AY44" s="420"/>
      <c r="AZ44" s="420"/>
      <c r="BA44" s="420"/>
      <c r="BB44" s="420"/>
      <c r="BC44" s="420"/>
      <c r="BD44" s="420"/>
      <c r="BE44" s="420"/>
      <c r="BF44" s="420"/>
      <c r="BG44" s="420"/>
      <c r="BH44" s="420"/>
      <c r="BI44" s="420"/>
      <c r="BJ44" s="420"/>
      <c r="BK44" s="420"/>
      <c r="BL44" s="420"/>
      <c r="BM44" s="420"/>
      <c r="BN44" s="420"/>
      <c r="BO44" s="420"/>
      <c r="BP44" s="420"/>
      <c r="BQ44" s="420"/>
      <c r="BR44" s="420"/>
      <c r="BS44" s="420"/>
      <c r="BT44" s="420"/>
      <c r="BU44" s="420"/>
      <c r="BV44" s="420"/>
      <c r="BW44" s="420"/>
      <c r="BX44" s="420"/>
      <c r="BY44" s="420"/>
      <c r="BZ44" s="420"/>
      <c r="CA44" s="420"/>
      <c r="CB44" s="420"/>
      <c r="CC44" s="420"/>
      <c r="CD44" s="420"/>
      <c r="CE44" s="420"/>
      <c r="CF44" s="420"/>
      <c r="CG44" s="420"/>
      <c r="CH44" s="420"/>
      <c r="CI44" s="420"/>
      <c r="CJ44" s="420"/>
      <c r="CK44" s="420"/>
      <c r="CL44" s="420"/>
      <c r="CM44" s="420"/>
      <c r="CN44" s="420"/>
      <c r="CO44" s="420"/>
      <c r="CP44" s="420"/>
      <c r="CQ44" s="420"/>
      <c r="CR44" s="420"/>
      <c r="CS44" s="420"/>
      <c r="CT44" s="420"/>
      <c r="CU44" s="420"/>
      <c r="CV44" s="420"/>
      <c r="CW44" s="420"/>
      <c r="CX44" s="420"/>
      <c r="CY44" s="420"/>
      <c r="CZ44" s="420"/>
      <c r="DA44" s="420"/>
      <c r="DB44" s="420"/>
      <c r="DC44" s="420"/>
      <c r="DD44" s="420"/>
      <c r="DE44" s="420"/>
      <c r="DF44" s="420"/>
      <c r="DG44" s="420"/>
      <c r="DH44" s="420"/>
      <c r="DI44" s="420"/>
      <c r="DJ44" s="420"/>
      <c r="DK44" s="420"/>
      <c r="DL44" s="420"/>
      <c r="DM44" s="420"/>
      <c r="DN44" s="420"/>
      <c r="DO44" s="420"/>
      <c r="DP44" s="420"/>
      <c r="DQ44" s="420"/>
      <c r="DR44" s="420"/>
      <c r="DS44" s="420"/>
      <c r="DT44" s="420"/>
      <c r="DU44" s="420"/>
      <c r="DV44" s="420"/>
      <c r="DW44" s="420"/>
      <c r="DX44" s="420"/>
      <c r="DY44" s="420"/>
      <c r="DZ44" s="420"/>
      <c r="EA44" s="420"/>
      <c r="EB44" s="420"/>
      <c r="EC44" s="420"/>
      <c r="ED44" s="420"/>
      <c r="EE44" s="420"/>
      <c r="EF44" s="420"/>
      <c r="EG44" s="420"/>
      <c r="EH44" s="420"/>
      <c r="EI44" s="420"/>
      <c r="EJ44" s="420"/>
      <c r="EK44" s="420"/>
      <c r="EL44" s="420"/>
      <c r="EM44" s="420"/>
      <c r="EN44" s="420"/>
      <c r="EO44" s="420"/>
      <c r="EP44" s="420"/>
      <c r="EQ44" s="420"/>
      <c r="ER44" s="420"/>
      <c r="ES44" s="420"/>
      <c r="ET44" s="420"/>
      <c r="EU44" s="420"/>
      <c r="EV44" s="420"/>
      <c r="EW44" s="420"/>
      <c r="EX44" s="420"/>
      <c r="EY44" s="420"/>
      <c r="EZ44" s="420"/>
      <c r="FA44" s="420"/>
      <c r="FB44" s="420"/>
      <c r="FC44" s="420"/>
      <c r="FD44" s="420"/>
      <c r="FE44" s="420"/>
      <c r="FF44" s="420"/>
      <c r="FG44" s="420"/>
      <c r="FH44" s="420"/>
      <c r="FI44" s="420"/>
      <c r="FJ44" s="420"/>
      <c r="FK44" s="420"/>
      <c r="FL44" s="420"/>
      <c r="FM44" s="420"/>
      <c r="FN44" s="420"/>
      <c r="FO44" s="420"/>
      <c r="FP44" s="420"/>
      <c r="FQ44" s="420"/>
      <c r="FR44" s="420"/>
      <c r="FS44" s="420"/>
      <c r="FT44" s="420"/>
      <c r="FU44" s="420"/>
      <c r="FV44" s="420"/>
      <c r="FW44" s="420"/>
      <c r="FX44" s="420"/>
      <c r="FY44" s="420"/>
      <c r="FZ44" s="420"/>
      <c r="GA44" s="420"/>
      <c r="GB44" s="420"/>
      <c r="GC44" s="420"/>
      <c r="GD44" s="420"/>
      <c r="GE44" s="420"/>
      <c r="GF44" s="420"/>
      <c r="GG44" s="420"/>
      <c r="GH44" s="420"/>
      <c r="GI44" s="420"/>
      <c r="GJ44" s="420"/>
      <c r="GK44" s="420"/>
      <c r="GL44" s="420"/>
      <c r="GM44" s="420"/>
      <c r="GN44" s="420"/>
      <c r="GO44" s="420"/>
      <c r="GP44" s="420"/>
      <c r="GQ44" s="420"/>
      <c r="GR44" s="420"/>
      <c r="GS44" s="420"/>
      <c r="GT44" s="420"/>
      <c r="GU44" s="420"/>
      <c r="GV44" s="420"/>
      <c r="GW44" s="420"/>
      <c r="GX44" s="420"/>
      <c r="GY44" s="420"/>
      <c r="GZ44" s="420"/>
      <c r="HA44" s="420"/>
      <c r="HB44" s="420"/>
      <c r="HC44" s="420"/>
      <c r="HD44" s="420"/>
      <c r="HE44" s="420"/>
      <c r="HF44" s="420"/>
      <c r="HG44" s="420"/>
      <c r="HH44" s="420"/>
      <c r="HI44" s="420"/>
      <c r="HJ44" s="420"/>
      <c r="HK44" s="420"/>
      <c r="HL44" s="420"/>
      <c r="HM44" s="420"/>
      <c r="HN44" s="420"/>
      <c r="HO44" s="420"/>
      <c r="HP44" s="420"/>
      <c r="HQ44" s="420"/>
      <c r="HR44" s="420"/>
      <c r="HS44" s="420"/>
      <c r="HT44" s="420"/>
      <c r="HU44" s="420"/>
      <c r="HV44" s="420"/>
      <c r="HW44" s="420"/>
      <c r="HX44" s="420"/>
      <c r="HY44" s="420"/>
      <c r="HZ44" s="420"/>
      <c r="IA44" s="420"/>
      <c r="IB44" s="420"/>
      <c r="IC44" s="420"/>
      <c r="ID44" s="420"/>
      <c r="IE44" s="420"/>
      <c r="IF44" s="420"/>
      <c r="IG44" s="420"/>
      <c r="IH44" s="420"/>
      <c r="II44" s="420"/>
      <c r="IJ44" s="420"/>
      <c r="IK44" s="420"/>
      <c r="IL44" s="420"/>
      <c r="IM44" s="420"/>
      <c r="IN44" s="420"/>
      <c r="IO44" s="420"/>
      <c r="IP44" s="420"/>
      <c r="IQ44" s="420"/>
      <c r="IR44" s="420"/>
      <c r="IS44" s="420"/>
      <c r="IT44" s="420"/>
      <c r="IU44" s="420"/>
      <c r="IV44" s="420"/>
      <c r="IW44" s="420"/>
      <c r="IX44" s="420"/>
      <c r="IY44" s="420"/>
      <c r="IZ44" s="420"/>
      <c r="JA44" s="420"/>
    </row>
    <row r="45" spans="1:261" ht="22.5" customHeight="1" x14ac:dyDescent="0.35">
      <c r="A45" s="783">
        <v>37</v>
      </c>
      <c r="B45" s="625"/>
      <c r="C45" s="466">
        <v>8</v>
      </c>
      <c r="D45" s="787" t="s">
        <v>948</v>
      </c>
      <c r="E45" s="432"/>
      <c r="F45" s="772"/>
      <c r="G45" s="433"/>
      <c r="H45" s="1009" t="s">
        <v>24</v>
      </c>
      <c r="I45" s="1027"/>
      <c r="J45" s="1023"/>
      <c r="K45" s="1023"/>
      <c r="L45" s="1023"/>
      <c r="M45" s="1023"/>
      <c r="N45" s="1023"/>
      <c r="O45" s="777"/>
      <c r="P45" s="773"/>
    </row>
    <row r="46" spans="1:261" s="768" customFormat="1" ht="18" customHeight="1" x14ac:dyDescent="0.35">
      <c r="A46" s="783">
        <v>38</v>
      </c>
      <c r="B46" s="776"/>
      <c r="C46" s="466"/>
      <c r="D46" s="1002" t="s">
        <v>311</v>
      </c>
      <c r="E46" s="432">
        <f>F46+G46+O49+P46</f>
        <v>3901162</v>
      </c>
      <c r="F46" s="772"/>
      <c r="G46" s="433"/>
      <c r="H46" s="1009"/>
      <c r="I46" s="1027"/>
      <c r="J46" s="1023"/>
      <c r="K46" s="1023"/>
      <c r="L46" s="1023"/>
      <c r="M46" s="1023">
        <v>981338</v>
      </c>
      <c r="N46" s="1023"/>
      <c r="O46" s="992">
        <f>SUM(I46:N46)</f>
        <v>981338</v>
      </c>
      <c r="P46" s="773">
        <v>2919824</v>
      </c>
      <c r="Q46" s="420"/>
      <c r="R46" s="420"/>
      <c r="S46" s="420"/>
      <c r="T46" s="420"/>
      <c r="U46" s="420"/>
      <c r="V46" s="420"/>
      <c r="W46" s="420"/>
      <c r="X46" s="420"/>
      <c r="Y46" s="420"/>
      <c r="Z46" s="420"/>
      <c r="AA46" s="420"/>
      <c r="AB46" s="420"/>
      <c r="AC46" s="420"/>
      <c r="AD46" s="420"/>
      <c r="AE46" s="420"/>
      <c r="AF46" s="420"/>
      <c r="AG46" s="420"/>
      <c r="AH46" s="420"/>
      <c r="AI46" s="420"/>
      <c r="AJ46" s="420"/>
      <c r="AK46" s="420"/>
      <c r="AL46" s="420"/>
      <c r="AM46" s="420"/>
      <c r="AN46" s="420"/>
      <c r="AO46" s="420"/>
      <c r="AP46" s="420"/>
      <c r="AQ46" s="420"/>
      <c r="AR46" s="420"/>
      <c r="AS46" s="420"/>
      <c r="AT46" s="420"/>
      <c r="AU46" s="420"/>
      <c r="AV46" s="420"/>
      <c r="AW46" s="420"/>
      <c r="AX46" s="420"/>
      <c r="AY46" s="420"/>
      <c r="AZ46" s="420"/>
      <c r="BA46" s="420"/>
      <c r="BB46" s="420"/>
      <c r="BC46" s="420"/>
      <c r="BD46" s="420"/>
      <c r="BE46" s="420"/>
      <c r="BF46" s="420"/>
      <c r="BG46" s="420"/>
      <c r="BH46" s="420"/>
      <c r="BI46" s="420"/>
      <c r="BJ46" s="420"/>
      <c r="BK46" s="420"/>
      <c r="BL46" s="420"/>
      <c r="BM46" s="420"/>
      <c r="BN46" s="420"/>
      <c r="BO46" s="420"/>
      <c r="BP46" s="420"/>
      <c r="BQ46" s="420"/>
      <c r="BR46" s="420"/>
      <c r="BS46" s="420"/>
      <c r="BT46" s="420"/>
      <c r="BU46" s="420"/>
      <c r="BV46" s="420"/>
      <c r="BW46" s="420"/>
      <c r="BX46" s="420"/>
      <c r="BY46" s="420"/>
      <c r="BZ46" s="420"/>
      <c r="CA46" s="420"/>
      <c r="CB46" s="420"/>
      <c r="CC46" s="420"/>
      <c r="CD46" s="420"/>
      <c r="CE46" s="420"/>
      <c r="CF46" s="420"/>
      <c r="CG46" s="420"/>
      <c r="CH46" s="420"/>
      <c r="CI46" s="420"/>
      <c r="CJ46" s="420"/>
      <c r="CK46" s="420"/>
      <c r="CL46" s="420"/>
      <c r="CM46" s="420"/>
      <c r="CN46" s="420"/>
      <c r="CO46" s="420"/>
      <c r="CP46" s="420"/>
      <c r="CQ46" s="420"/>
      <c r="CR46" s="420"/>
      <c r="CS46" s="420"/>
      <c r="CT46" s="420"/>
      <c r="CU46" s="420"/>
      <c r="CV46" s="420"/>
      <c r="CW46" s="420"/>
      <c r="CX46" s="420"/>
      <c r="CY46" s="420"/>
      <c r="CZ46" s="420"/>
      <c r="DA46" s="420"/>
      <c r="DB46" s="420"/>
      <c r="DC46" s="420"/>
      <c r="DD46" s="420"/>
      <c r="DE46" s="420"/>
      <c r="DF46" s="420"/>
      <c r="DG46" s="420"/>
      <c r="DH46" s="420"/>
      <c r="DI46" s="420"/>
      <c r="DJ46" s="420"/>
      <c r="DK46" s="420"/>
      <c r="DL46" s="420"/>
      <c r="DM46" s="420"/>
      <c r="DN46" s="420"/>
      <c r="DO46" s="420"/>
      <c r="DP46" s="420"/>
      <c r="DQ46" s="420"/>
      <c r="DR46" s="420"/>
      <c r="DS46" s="420"/>
      <c r="DT46" s="420"/>
      <c r="DU46" s="420"/>
      <c r="DV46" s="420"/>
      <c r="DW46" s="420"/>
      <c r="DX46" s="420"/>
      <c r="DY46" s="420"/>
      <c r="DZ46" s="420"/>
      <c r="EA46" s="420"/>
      <c r="EB46" s="420"/>
      <c r="EC46" s="420"/>
      <c r="ED46" s="420"/>
      <c r="EE46" s="420"/>
      <c r="EF46" s="420"/>
      <c r="EG46" s="420"/>
      <c r="EH46" s="420"/>
      <c r="EI46" s="420"/>
      <c r="EJ46" s="420"/>
      <c r="EK46" s="420"/>
      <c r="EL46" s="420"/>
      <c r="EM46" s="420"/>
      <c r="EN46" s="420"/>
      <c r="EO46" s="420"/>
      <c r="EP46" s="420"/>
      <c r="EQ46" s="420"/>
      <c r="ER46" s="420"/>
      <c r="ES46" s="420"/>
      <c r="ET46" s="420"/>
      <c r="EU46" s="420"/>
      <c r="EV46" s="420"/>
      <c r="EW46" s="420"/>
      <c r="EX46" s="420"/>
      <c r="EY46" s="420"/>
      <c r="EZ46" s="420"/>
      <c r="FA46" s="420"/>
      <c r="FB46" s="420"/>
      <c r="FC46" s="420"/>
      <c r="FD46" s="420"/>
      <c r="FE46" s="420"/>
      <c r="FF46" s="420"/>
      <c r="FG46" s="420"/>
      <c r="FH46" s="420"/>
      <c r="FI46" s="420"/>
      <c r="FJ46" s="420"/>
      <c r="FK46" s="420"/>
      <c r="FL46" s="420"/>
      <c r="FM46" s="420"/>
      <c r="FN46" s="420"/>
      <c r="FO46" s="420"/>
      <c r="FP46" s="420"/>
      <c r="FQ46" s="420"/>
      <c r="FR46" s="420"/>
      <c r="FS46" s="420"/>
      <c r="FT46" s="420"/>
      <c r="FU46" s="420"/>
      <c r="FV46" s="420"/>
      <c r="FW46" s="420"/>
      <c r="FX46" s="420"/>
      <c r="FY46" s="420"/>
      <c r="FZ46" s="420"/>
      <c r="GA46" s="420"/>
      <c r="GB46" s="420"/>
      <c r="GC46" s="420"/>
      <c r="GD46" s="420"/>
      <c r="GE46" s="420"/>
      <c r="GF46" s="420"/>
      <c r="GG46" s="420"/>
      <c r="GH46" s="420"/>
      <c r="GI46" s="420"/>
      <c r="GJ46" s="420"/>
      <c r="GK46" s="420"/>
      <c r="GL46" s="420"/>
      <c r="GM46" s="420"/>
      <c r="GN46" s="420"/>
      <c r="GO46" s="420"/>
      <c r="GP46" s="420"/>
      <c r="GQ46" s="420"/>
      <c r="GR46" s="420"/>
      <c r="GS46" s="420"/>
      <c r="GT46" s="420"/>
      <c r="GU46" s="420"/>
      <c r="GV46" s="420"/>
      <c r="GW46" s="420"/>
      <c r="GX46" s="420"/>
      <c r="GY46" s="420"/>
      <c r="GZ46" s="420"/>
      <c r="HA46" s="420"/>
      <c r="HB46" s="420"/>
      <c r="HC46" s="420"/>
      <c r="HD46" s="420"/>
      <c r="HE46" s="420"/>
      <c r="HF46" s="420"/>
      <c r="HG46" s="420"/>
      <c r="HH46" s="420"/>
      <c r="HI46" s="420"/>
      <c r="HJ46" s="420"/>
      <c r="HK46" s="420"/>
      <c r="HL46" s="420"/>
      <c r="HM46" s="420"/>
      <c r="HN46" s="420"/>
      <c r="HO46" s="420"/>
      <c r="HP46" s="420"/>
      <c r="HQ46" s="420"/>
      <c r="HR46" s="420"/>
      <c r="HS46" s="420"/>
      <c r="HT46" s="420"/>
      <c r="HU46" s="420"/>
      <c r="HV46" s="420"/>
      <c r="HW46" s="420"/>
      <c r="HX46" s="420"/>
      <c r="HY46" s="420"/>
      <c r="HZ46" s="420"/>
      <c r="IA46" s="420"/>
      <c r="IB46" s="420"/>
      <c r="IC46" s="420"/>
      <c r="ID46" s="420"/>
      <c r="IE46" s="420"/>
      <c r="IF46" s="420"/>
      <c r="IG46" s="420"/>
      <c r="IH46" s="420"/>
      <c r="II46" s="420"/>
      <c r="IJ46" s="420"/>
      <c r="IK46" s="420"/>
      <c r="IL46" s="420"/>
      <c r="IM46" s="420"/>
      <c r="IN46" s="420"/>
      <c r="IO46" s="420"/>
      <c r="IP46" s="420"/>
      <c r="IQ46" s="420"/>
      <c r="IR46" s="420"/>
      <c r="IS46" s="420"/>
      <c r="IT46" s="420"/>
      <c r="IU46" s="420"/>
      <c r="IV46" s="420"/>
      <c r="IW46" s="420"/>
      <c r="IX46" s="420"/>
      <c r="IY46" s="420"/>
      <c r="IZ46" s="420"/>
      <c r="JA46" s="420"/>
    </row>
    <row r="47" spans="1:261" s="768" customFormat="1" ht="18" customHeight="1" x14ac:dyDescent="0.35">
      <c r="A47" s="783">
        <v>39</v>
      </c>
      <c r="B47" s="776"/>
      <c r="C47" s="466"/>
      <c r="D47" s="583" t="s">
        <v>1072</v>
      </c>
      <c r="E47" s="432"/>
      <c r="F47" s="772"/>
      <c r="G47" s="433"/>
      <c r="H47" s="1009"/>
      <c r="I47" s="1027"/>
      <c r="J47" s="1023"/>
      <c r="K47" s="1023"/>
      <c r="L47" s="1023"/>
      <c r="M47" s="1548">
        <v>981338</v>
      </c>
      <c r="N47" s="769"/>
      <c r="O47" s="777">
        <f>SUM(I47:N47)</f>
        <v>981338</v>
      </c>
      <c r="P47" s="773"/>
      <c r="Q47" s="420"/>
      <c r="R47" s="420"/>
      <c r="S47" s="420"/>
      <c r="T47" s="420"/>
      <c r="U47" s="420"/>
      <c r="V47" s="420"/>
      <c r="W47" s="420"/>
      <c r="X47" s="420"/>
      <c r="Y47" s="420"/>
      <c r="Z47" s="420"/>
      <c r="AA47" s="420"/>
      <c r="AB47" s="420"/>
      <c r="AC47" s="420"/>
      <c r="AD47" s="420"/>
      <c r="AE47" s="420"/>
      <c r="AF47" s="420"/>
      <c r="AG47" s="420"/>
      <c r="AH47" s="420"/>
      <c r="AI47" s="420"/>
      <c r="AJ47" s="420"/>
      <c r="AK47" s="420"/>
      <c r="AL47" s="420"/>
      <c r="AM47" s="420"/>
      <c r="AN47" s="420"/>
      <c r="AO47" s="420"/>
      <c r="AP47" s="420"/>
      <c r="AQ47" s="420"/>
      <c r="AR47" s="420"/>
      <c r="AS47" s="420"/>
      <c r="AT47" s="420"/>
      <c r="AU47" s="420"/>
      <c r="AV47" s="420"/>
      <c r="AW47" s="420"/>
      <c r="AX47" s="420"/>
      <c r="AY47" s="420"/>
      <c r="AZ47" s="420"/>
      <c r="BA47" s="420"/>
      <c r="BB47" s="420"/>
      <c r="BC47" s="420"/>
      <c r="BD47" s="420"/>
      <c r="BE47" s="420"/>
      <c r="BF47" s="420"/>
      <c r="BG47" s="420"/>
      <c r="BH47" s="420"/>
      <c r="BI47" s="420"/>
      <c r="BJ47" s="420"/>
      <c r="BK47" s="420"/>
      <c r="BL47" s="420"/>
      <c r="BM47" s="420"/>
      <c r="BN47" s="420"/>
      <c r="BO47" s="420"/>
      <c r="BP47" s="420"/>
      <c r="BQ47" s="420"/>
      <c r="BR47" s="420"/>
      <c r="BS47" s="420"/>
      <c r="BT47" s="420"/>
      <c r="BU47" s="420"/>
      <c r="BV47" s="420"/>
      <c r="BW47" s="420"/>
      <c r="BX47" s="420"/>
      <c r="BY47" s="420"/>
      <c r="BZ47" s="420"/>
      <c r="CA47" s="420"/>
      <c r="CB47" s="420"/>
      <c r="CC47" s="420"/>
      <c r="CD47" s="420"/>
      <c r="CE47" s="420"/>
      <c r="CF47" s="420"/>
      <c r="CG47" s="420"/>
      <c r="CH47" s="420"/>
      <c r="CI47" s="420"/>
      <c r="CJ47" s="420"/>
      <c r="CK47" s="420"/>
      <c r="CL47" s="420"/>
      <c r="CM47" s="420"/>
      <c r="CN47" s="420"/>
      <c r="CO47" s="420"/>
      <c r="CP47" s="420"/>
      <c r="CQ47" s="420"/>
      <c r="CR47" s="420"/>
      <c r="CS47" s="420"/>
      <c r="CT47" s="420"/>
      <c r="CU47" s="420"/>
      <c r="CV47" s="420"/>
      <c r="CW47" s="420"/>
      <c r="CX47" s="420"/>
      <c r="CY47" s="420"/>
      <c r="CZ47" s="420"/>
      <c r="DA47" s="420"/>
      <c r="DB47" s="420"/>
      <c r="DC47" s="420"/>
      <c r="DD47" s="420"/>
      <c r="DE47" s="420"/>
      <c r="DF47" s="420"/>
      <c r="DG47" s="420"/>
      <c r="DH47" s="420"/>
      <c r="DI47" s="420"/>
      <c r="DJ47" s="420"/>
      <c r="DK47" s="420"/>
      <c r="DL47" s="420"/>
      <c r="DM47" s="420"/>
      <c r="DN47" s="420"/>
      <c r="DO47" s="420"/>
      <c r="DP47" s="420"/>
      <c r="DQ47" s="420"/>
      <c r="DR47" s="420"/>
      <c r="DS47" s="420"/>
      <c r="DT47" s="420"/>
      <c r="DU47" s="420"/>
      <c r="DV47" s="420"/>
      <c r="DW47" s="420"/>
      <c r="DX47" s="420"/>
      <c r="DY47" s="420"/>
      <c r="DZ47" s="420"/>
      <c r="EA47" s="420"/>
      <c r="EB47" s="420"/>
      <c r="EC47" s="420"/>
      <c r="ED47" s="420"/>
      <c r="EE47" s="420"/>
      <c r="EF47" s="420"/>
      <c r="EG47" s="420"/>
      <c r="EH47" s="420"/>
      <c r="EI47" s="420"/>
      <c r="EJ47" s="420"/>
      <c r="EK47" s="420"/>
      <c r="EL47" s="420"/>
      <c r="EM47" s="420"/>
      <c r="EN47" s="420"/>
      <c r="EO47" s="420"/>
      <c r="EP47" s="420"/>
      <c r="EQ47" s="420"/>
      <c r="ER47" s="420"/>
      <c r="ES47" s="420"/>
      <c r="ET47" s="420"/>
      <c r="EU47" s="420"/>
      <c r="EV47" s="420"/>
      <c r="EW47" s="420"/>
      <c r="EX47" s="420"/>
      <c r="EY47" s="420"/>
      <c r="EZ47" s="420"/>
      <c r="FA47" s="420"/>
      <c r="FB47" s="420"/>
      <c r="FC47" s="420"/>
      <c r="FD47" s="420"/>
      <c r="FE47" s="420"/>
      <c r="FF47" s="420"/>
      <c r="FG47" s="420"/>
      <c r="FH47" s="420"/>
      <c r="FI47" s="420"/>
      <c r="FJ47" s="420"/>
      <c r="FK47" s="420"/>
      <c r="FL47" s="420"/>
      <c r="FM47" s="420"/>
      <c r="FN47" s="420"/>
      <c r="FO47" s="420"/>
      <c r="FP47" s="420"/>
      <c r="FQ47" s="420"/>
      <c r="FR47" s="420"/>
      <c r="FS47" s="420"/>
      <c r="FT47" s="420"/>
      <c r="FU47" s="420"/>
      <c r="FV47" s="420"/>
      <c r="FW47" s="420"/>
      <c r="FX47" s="420"/>
      <c r="FY47" s="420"/>
      <c r="FZ47" s="420"/>
      <c r="GA47" s="420"/>
      <c r="GB47" s="420"/>
      <c r="GC47" s="420"/>
      <c r="GD47" s="420"/>
      <c r="GE47" s="420"/>
      <c r="GF47" s="420"/>
      <c r="GG47" s="420"/>
      <c r="GH47" s="420"/>
      <c r="GI47" s="420"/>
      <c r="GJ47" s="420"/>
      <c r="GK47" s="420"/>
      <c r="GL47" s="420"/>
      <c r="GM47" s="420"/>
      <c r="GN47" s="420"/>
      <c r="GO47" s="420"/>
      <c r="GP47" s="420"/>
      <c r="GQ47" s="420"/>
      <c r="GR47" s="420"/>
      <c r="GS47" s="420"/>
      <c r="GT47" s="420"/>
      <c r="GU47" s="420"/>
      <c r="GV47" s="420"/>
      <c r="GW47" s="420"/>
      <c r="GX47" s="420"/>
      <c r="GY47" s="420"/>
      <c r="GZ47" s="420"/>
      <c r="HA47" s="420"/>
      <c r="HB47" s="420"/>
      <c r="HC47" s="420"/>
      <c r="HD47" s="420"/>
      <c r="HE47" s="420"/>
      <c r="HF47" s="420"/>
      <c r="HG47" s="420"/>
      <c r="HH47" s="420"/>
      <c r="HI47" s="420"/>
      <c r="HJ47" s="420"/>
      <c r="HK47" s="420"/>
      <c r="HL47" s="420"/>
      <c r="HM47" s="420"/>
      <c r="HN47" s="420"/>
      <c r="HO47" s="420"/>
      <c r="HP47" s="420"/>
      <c r="HQ47" s="420"/>
      <c r="HR47" s="420"/>
      <c r="HS47" s="420"/>
      <c r="HT47" s="420"/>
      <c r="HU47" s="420"/>
      <c r="HV47" s="420"/>
      <c r="HW47" s="420"/>
      <c r="HX47" s="420"/>
      <c r="HY47" s="420"/>
      <c r="HZ47" s="420"/>
      <c r="IA47" s="420"/>
      <c r="IB47" s="420"/>
      <c r="IC47" s="420"/>
      <c r="ID47" s="420"/>
      <c r="IE47" s="420"/>
      <c r="IF47" s="420"/>
      <c r="IG47" s="420"/>
      <c r="IH47" s="420"/>
      <c r="II47" s="420"/>
      <c r="IJ47" s="420"/>
      <c r="IK47" s="420"/>
      <c r="IL47" s="420"/>
      <c r="IM47" s="420"/>
      <c r="IN47" s="420"/>
      <c r="IO47" s="420"/>
      <c r="IP47" s="420"/>
      <c r="IQ47" s="420"/>
      <c r="IR47" s="420"/>
      <c r="IS47" s="420"/>
      <c r="IT47" s="420"/>
      <c r="IU47" s="420"/>
      <c r="IV47" s="420"/>
      <c r="IW47" s="420"/>
      <c r="IX47" s="420"/>
      <c r="IY47" s="420"/>
      <c r="IZ47" s="420"/>
      <c r="JA47" s="420"/>
    </row>
    <row r="48" spans="1:261" s="768" customFormat="1" ht="18" customHeight="1" x14ac:dyDescent="0.35">
      <c r="A48" s="783">
        <v>40</v>
      </c>
      <c r="B48" s="776"/>
      <c r="C48" s="466"/>
      <c r="D48" s="1338" t="s">
        <v>963</v>
      </c>
      <c r="E48" s="432"/>
      <c r="F48" s="772"/>
      <c r="G48" s="433"/>
      <c r="H48" s="1009"/>
      <c r="I48" s="1005"/>
      <c r="J48" s="769"/>
      <c r="K48" s="769"/>
      <c r="L48" s="769"/>
      <c r="M48" s="769"/>
      <c r="N48" s="769"/>
      <c r="O48" s="777">
        <f>SUM(I48:N48)</f>
        <v>0</v>
      </c>
      <c r="P48" s="773"/>
      <c r="Q48" s="420"/>
      <c r="R48" s="420"/>
      <c r="S48" s="420"/>
      <c r="T48" s="420"/>
      <c r="U48" s="420"/>
      <c r="V48" s="420"/>
      <c r="W48" s="420"/>
      <c r="X48" s="420"/>
      <c r="Y48" s="420"/>
      <c r="Z48" s="420"/>
      <c r="AA48" s="420"/>
      <c r="AB48" s="420"/>
      <c r="AC48" s="420"/>
      <c r="AD48" s="420"/>
      <c r="AE48" s="420"/>
      <c r="AF48" s="420"/>
      <c r="AG48" s="420"/>
      <c r="AH48" s="420"/>
      <c r="AI48" s="420"/>
      <c r="AJ48" s="420"/>
      <c r="AK48" s="420"/>
      <c r="AL48" s="420"/>
      <c r="AM48" s="420"/>
      <c r="AN48" s="420"/>
      <c r="AO48" s="420"/>
      <c r="AP48" s="420"/>
      <c r="AQ48" s="420"/>
      <c r="AR48" s="420"/>
      <c r="AS48" s="420"/>
      <c r="AT48" s="420"/>
      <c r="AU48" s="420"/>
      <c r="AV48" s="420"/>
      <c r="AW48" s="420"/>
      <c r="AX48" s="420"/>
      <c r="AY48" s="420"/>
      <c r="AZ48" s="420"/>
      <c r="BA48" s="420"/>
      <c r="BB48" s="420"/>
      <c r="BC48" s="420"/>
      <c r="BD48" s="420"/>
      <c r="BE48" s="420"/>
      <c r="BF48" s="420"/>
      <c r="BG48" s="420"/>
      <c r="BH48" s="420"/>
      <c r="BI48" s="420"/>
      <c r="BJ48" s="420"/>
      <c r="BK48" s="420"/>
      <c r="BL48" s="420"/>
      <c r="BM48" s="420"/>
      <c r="BN48" s="420"/>
      <c r="BO48" s="420"/>
      <c r="BP48" s="420"/>
      <c r="BQ48" s="420"/>
      <c r="BR48" s="420"/>
      <c r="BS48" s="420"/>
      <c r="BT48" s="420"/>
      <c r="BU48" s="420"/>
      <c r="BV48" s="420"/>
      <c r="BW48" s="420"/>
      <c r="BX48" s="420"/>
      <c r="BY48" s="420"/>
      <c r="BZ48" s="420"/>
      <c r="CA48" s="420"/>
      <c r="CB48" s="420"/>
      <c r="CC48" s="420"/>
      <c r="CD48" s="420"/>
      <c r="CE48" s="420"/>
      <c r="CF48" s="420"/>
      <c r="CG48" s="420"/>
      <c r="CH48" s="420"/>
      <c r="CI48" s="420"/>
      <c r="CJ48" s="420"/>
      <c r="CK48" s="420"/>
      <c r="CL48" s="420"/>
      <c r="CM48" s="420"/>
      <c r="CN48" s="420"/>
      <c r="CO48" s="420"/>
      <c r="CP48" s="420"/>
      <c r="CQ48" s="420"/>
      <c r="CR48" s="420"/>
      <c r="CS48" s="420"/>
      <c r="CT48" s="420"/>
      <c r="CU48" s="420"/>
      <c r="CV48" s="420"/>
      <c r="CW48" s="420"/>
      <c r="CX48" s="420"/>
      <c r="CY48" s="420"/>
      <c r="CZ48" s="420"/>
      <c r="DA48" s="420"/>
      <c r="DB48" s="420"/>
      <c r="DC48" s="420"/>
      <c r="DD48" s="420"/>
      <c r="DE48" s="420"/>
      <c r="DF48" s="420"/>
      <c r="DG48" s="420"/>
      <c r="DH48" s="420"/>
      <c r="DI48" s="420"/>
      <c r="DJ48" s="420"/>
      <c r="DK48" s="420"/>
      <c r="DL48" s="420"/>
      <c r="DM48" s="420"/>
      <c r="DN48" s="420"/>
      <c r="DO48" s="420"/>
      <c r="DP48" s="420"/>
      <c r="DQ48" s="420"/>
      <c r="DR48" s="420"/>
      <c r="DS48" s="420"/>
      <c r="DT48" s="420"/>
      <c r="DU48" s="420"/>
      <c r="DV48" s="420"/>
      <c r="DW48" s="420"/>
      <c r="DX48" s="420"/>
      <c r="DY48" s="420"/>
      <c r="DZ48" s="420"/>
      <c r="EA48" s="420"/>
      <c r="EB48" s="420"/>
      <c r="EC48" s="420"/>
      <c r="ED48" s="420"/>
      <c r="EE48" s="420"/>
      <c r="EF48" s="420"/>
      <c r="EG48" s="420"/>
      <c r="EH48" s="420"/>
      <c r="EI48" s="420"/>
      <c r="EJ48" s="420"/>
      <c r="EK48" s="420"/>
      <c r="EL48" s="420"/>
      <c r="EM48" s="420"/>
      <c r="EN48" s="420"/>
      <c r="EO48" s="420"/>
      <c r="EP48" s="420"/>
      <c r="EQ48" s="420"/>
      <c r="ER48" s="420"/>
      <c r="ES48" s="420"/>
      <c r="ET48" s="420"/>
      <c r="EU48" s="420"/>
      <c r="EV48" s="420"/>
      <c r="EW48" s="420"/>
      <c r="EX48" s="420"/>
      <c r="EY48" s="420"/>
      <c r="EZ48" s="420"/>
      <c r="FA48" s="420"/>
      <c r="FB48" s="420"/>
      <c r="FC48" s="420"/>
      <c r="FD48" s="420"/>
      <c r="FE48" s="420"/>
      <c r="FF48" s="420"/>
      <c r="FG48" s="420"/>
      <c r="FH48" s="420"/>
      <c r="FI48" s="420"/>
      <c r="FJ48" s="420"/>
      <c r="FK48" s="420"/>
      <c r="FL48" s="420"/>
      <c r="FM48" s="420"/>
      <c r="FN48" s="420"/>
      <c r="FO48" s="420"/>
      <c r="FP48" s="420"/>
      <c r="FQ48" s="420"/>
      <c r="FR48" s="420"/>
      <c r="FS48" s="420"/>
      <c r="FT48" s="420"/>
      <c r="FU48" s="420"/>
      <c r="FV48" s="420"/>
      <c r="FW48" s="420"/>
      <c r="FX48" s="420"/>
      <c r="FY48" s="420"/>
      <c r="FZ48" s="420"/>
      <c r="GA48" s="420"/>
      <c r="GB48" s="420"/>
      <c r="GC48" s="420"/>
      <c r="GD48" s="420"/>
      <c r="GE48" s="420"/>
      <c r="GF48" s="420"/>
      <c r="GG48" s="420"/>
      <c r="GH48" s="420"/>
      <c r="GI48" s="420"/>
      <c r="GJ48" s="420"/>
      <c r="GK48" s="420"/>
      <c r="GL48" s="420"/>
      <c r="GM48" s="420"/>
      <c r="GN48" s="420"/>
      <c r="GO48" s="420"/>
      <c r="GP48" s="420"/>
      <c r="GQ48" s="420"/>
      <c r="GR48" s="420"/>
      <c r="GS48" s="420"/>
      <c r="GT48" s="420"/>
      <c r="GU48" s="420"/>
      <c r="GV48" s="420"/>
      <c r="GW48" s="420"/>
      <c r="GX48" s="420"/>
      <c r="GY48" s="420"/>
      <c r="GZ48" s="420"/>
      <c r="HA48" s="420"/>
      <c r="HB48" s="420"/>
      <c r="HC48" s="420"/>
      <c r="HD48" s="420"/>
      <c r="HE48" s="420"/>
      <c r="HF48" s="420"/>
      <c r="HG48" s="420"/>
      <c r="HH48" s="420"/>
      <c r="HI48" s="420"/>
      <c r="HJ48" s="420"/>
      <c r="HK48" s="420"/>
      <c r="HL48" s="420"/>
      <c r="HM48" s="420"/>
      <c r="HN48" s="420"/>
      <c r="HO48" s="420"/>
      <c r="HP48" s="420"/>
      <c r="HQ48" s="420"/>
      <c r="HR48" s="420"/>
      <c r="HS48" s="420"/>
      <c r="HT48" s="420"/>
      <c r="HU48" s="420"/>
      <c r="HV48" s="420"/>
      <c r="HW48" s="420"/>
      <c r="HX48" s="420"/>
      <c r="HY48" s="420"/>
      <c r="HZ48" s="420"/>
      <c r="IA48" s="420"/>
      <c r="IB48" s="420"/>
      <c r="IC48" s="420"/>
      <c r="ID48" s="420"/>
      <c r="IE48" s="420"/>
      <c r="IF48" s="420"/>
      <c r="IG48" s="420"/>
      <c r="IH48" s="420"/>
      <c r="II48" s="420"/>
      <c r="IJ48" s="420"/>
      <c r="IK48" s="420"/>
      <c r="IL48" s="420"/>
      <c r="IM48" s="420"/>
      <c r="IN48" s="420"/>
      <c r="IO48" s="420"/>
      <c r="IP48" s="420"/>
      <c r="IQ48" s="420"/>
      <c r="IR48" s="420"/>
      <c r="IS48" s="420"/>
      <c r="IT48" s="420"/>
      <c r="IU48" s="420"/>
      <c r="IV48" s="420"/>
      <c r="IW48" s="420"/>
      <c r="IX48" s="420"/>
      <c r="IY48" s="420"/>
      <c r="IZ48" s="420"/>
      <c r="JA48" s="420"/>
    </row>
    <row r="49" spans="1:261" s="768" customFormat="1" ht="18" customHeight="1" x14ac:dyDescent="0.35">
      <c r="A49" s="783">
        <v>41</v>
      </c>
      <c r="B49" s="776"/>
      <c r="C49" s="466"/>
      <c r="D49" s="583" t="s">
        <v>1151</v>
      </c>
      <c r="E49" s="432"/>
      <c r="F49" s="772"/>
      <c r="G49" s="433"/>
      <c r="H49" s="1009"/>
      <c r="I49" s="1005"/>
      <c r="J49" s="769"/>
      <c r="K49" s="769"/>
      <c r="L49" s="769"/>
      <c r="M49" s="1548">
        <f>SUM(M47:M48)</f>
        <v>981338</v>
      </c>
      <c r="N49" s="769"/>
      <c r="O49" s="777">
        <f>SUM(I49:N49)</f>
        <v>981338</v>
      </c>
      <c r="P49" s="773"/>
      <c r="Q49" s="420"/>
      <c r="R49" s="420"/>
      <c r="S49" s="420"/>
      <c r="T49" s="420"/>
      <c r="U49" s="420"/>
      <c r="V49" s="420"/>
      <c r="W49" s="420"/>
      <c r="X49" s="420"/>
      <c r="Y49" s="420"/>
      <c r="Z49" s="420"/>
      <c r="AA49" s="420"/>
      <c r="AB49" s="420"/>
      <c r="AC49" s="420"/>
      <c r="AD49" s="420"/>
      <c r="AE49" s="420"/>
      <c r="AF49" s="420"/>
      <c r="AG49" s="420"/>
      <c r="AH49" s="420"/>
      <c r="AI49" s="420"/>
      <c r="AJ49" s="420"/>
      <c r="AK49" s="420"/>
      <c r="AL49" s="420"/>
      <c r="AM49" s="420"/>
      <c r="AN49" s="420"/>
      <c r="AO49" s="420"/>
      <c r="AP49" s="420"/>
      <c r="AQ49" s="420"/>
      <c r="AR49" s="420"/>
      <c r="AS49" s="420"/>
      <c r="AT49" s="420"/>
      <c r="AU49" s="420"/>
      <c r="AV49" s="420"/>
      <c r="AW49" s="420"/>
      <c r="AX49" s="420"/>
      <c r="AY49" s="420"/>
      <c r="AZ49" s="420"/>
      <c r="BA49" s="420"/>
      <c r="BB49" s="420"/>
      <c r="BC49" s="420"/>
      <c r="BD49" s="420"/>
      <c r="BE49" s="420"/>
      <c r="BF49" s="420"/>
      <c r="BG49" s="420"/>
      <c r="BH49" s="420"/>
      <c r="BI49" s="420"/>
      <c r="BJ49" s="420"/>
      <c r="BK49" s="420"/>
      <c r="BL49" s="420"/>
      <c r="BM49" s="420"/>
      <c r="BN49" s="420"/>
      <c r="BO49" s="420"/>
      <c r="BP49" s="420"/>
      <c r="BQ49" s="420"/>
      <c r="BR49" s="420"/>
      <c r="BS49" s="420"/>
      <c r="BT49" s="420"/>
      <c r="BU49" s="420"/>
      <c r="BV49" s="420"/>
      <c r="BW49" s="420"/>
      <c r="BX49" s="420"/>
      <c r="BY49" s="420"/>
      <c r="BZ49" s="420"/>
      <c r="CA49" s="420"/>
      <c r="CB49" s="420"/>
      <c r="CC49" s="420"/>
      <c r="CD49" s="420"/>
      <c r="CE49" s="420"/>
      <c r="CF49" s="420"/>
      <c r="CG49" s="420"/>
      <c r="CH49" s="420"/>
      <c r="CI49" s="420"/>
      <c r="CJ49" s="420"/>
      <c r="CK49" s="420"/>
      <c r="CL49" s="420"/>
      <c r="CM49" s="420"/>
      <c r="CN49" s="420"/>
      <c r="CO49" s="420"/>
      <c r="CP49" s="420"/>
      <c r="CQ49" s="420"/>
      <c r="CR49" s="420"/>
      <c r="CS49" s="420"/>
      <c r="CT49" s="420"/>
      <c r="CU49" s="420"/>
      <c r="CV49" s="420"/>
      <c r="CW49" s="420"/>
      <c r="CX49" s="420"/>
      <c r="CY49" s="420"/>
      <c r="CZ49" s="420"/>
      <c r="DA49" s="420"/>
      <c r="DB49" s="420"/>
      <c r="DC49" s="420"/>
      <c r="DD49" s="420"/>
      <c r="DE49" s="420"/>
      <c r="DF49" s="420"/>
      <c r="DG49" s="420"/>
      <c r="DH49" s="420"/>
      <c r="DI49" s="420"/>
      <c r="DJ49" s="420"/>
      <c r="DK49" s="420"/>
      <c r="DL49" s="420"/>
      <c r="DM49" s="420"/>
      <c r="DN49" s="420"/>
      <c r="DO49" s="420"/>
      <c r="DP49" s="420"/>
      <c r="DQ49" s="420"/>
      <c r="DR49" s="420"/>
      <c r="DS49" s="420"/>
      <c r="DT49" s="420"/>
      <c r="DU49" s="420"/>
      <c r="DV49" s="420"/>
      <c r="DW49" s="420"/>
      <c r="DX49" s="420"/>
      <c r="DY49" s="420"/>
      <c r="DZ49" s="420"/>
      <c r="EA49" s="420"/>
      <c r="EB49" s="420"/>
      <c r="EC49" s="420"/>
      <c r="ED49" s="420"/>
      <c r="EE49" s="420"/>
      <c r="EF49" s="420"/>
      <c r="EG49" s="420"/>
      <c r="EH49" s="420"/>
      <c r="EI49" s="420"/>
      <c r="EJ49" s="420"/>
      <c r="EK49" s="420"/>
      <c r="EL49" s="420"/>
      <c r="EM49" s="420"/>
      <c r="EN49" s="420"/>
      <c r="EO49" s="420"/>
      <c r="EP49" s="420"/>
      <c r="EQ49" s="420"/>
      <c r="ER49" s="420"/>
      <c r="ES49" s="420"/>
      <c r="ET49" s="420"/>
      <c r="EU49" s="420"/>
      <c r="EV49" s="420"/>
      <c r="EW49" s="420"/>
      <c r="EX49" s="420"/>
      <c r="EY49" s="420"/>
      <c r="EZ49" s="420"/>
      <c r="FA49" s="420"/>
      <c r="FB49" s="420"/>
      <c r="FC49" s="420"/>
      <c r="FD49" s="420"/>
      <c r="FE49" s="420"/>
      <c r="FF49" s="420"/>
      <c r="FG49" s="420"/>
      <c r="FH49" s="420"/>
      <c r="FI49" s="420"/>
      <c r="FJ49" s="420"/>
      <c r="FK49" s="420"/>
      <c r="FL49" s="420"/>
      <c r="FM49" s="420"/>
      <c r="FN49" s="420"/>
      <c r="FO49" s="420"/>
      <c r="FP49" s="420"/>
      <c r="FQ49" s="420"/>
      <c r="FR49" s="420"/>
      <c r="FS49" s="420"/>
      <c r="FT49" s="420"/>
      <c r="FU49" s="420"/>
      <c r="FV49" s="420"/>
      <c r="FW49" s="420"/>
      <c r="FX49" s="420"/>
      <c r="FY49" s="420"/>
      <c r="FZ49" s="420"/>
      <c r="GA49" s="420"/>
      <c r="GB49" s="420"/>
      <c r="GC49" s="420"/>
      <c r="GD49" s="420"/>
      <c r="GE49" s="420"/>
      <c r="GF49" s="420"/>
      <c r="GG49" s="420"/>
      <c r="GH49" s="420"/>
      <c r="GI49" s="420"/>
      <c r="GJ49" s="420"/>
      <c r="GK49" s="420"/>
      <c r="GL49" s="420"/>
      <c r="GM49" s="420"/>
      <c r="GN49" s="420"/>
      <c r="GO49" s="420"/>
      <c r="GP49" s="420"/>
      <c r="GQ49" s="420"/>
      <c r="GR49" s="420"/>
      <c r="GS49" s="420"/>
      <c r="GT49" s="420"/>
      <c r="GU49" s="420"/>
      <c r="GV49" s="420"/>
      <c r="GW49" s="420"/>
      <c r="GX49" s="420"/>
      <c r="GY49" s="420"/>
      <c r="GZ49" s="420"/>
      <c r="HA49" s="420"/>
      <c r="HB49" s="420"/>
      <c r="HC49" s="420"/>
      <c r="HD49" s="420"/>
      <c r="HE49" s="420"/>
      <c r="HF49" s="420"/>
      <c r="HG49" s="420"/>
      <c r="HH49" s="420"/>
      <c r="HI49" s="420"/>
      <c r="HJ49" s="420"/>
      <c r="HK49" s="420"/>
      <c r="HL49" s="420"/>
      <c r="HM49" s="420"/>
      <c r="HN49" s="420"/>
      <c r="HO49" s="420"/>
      <c r="HP49" s="420"/>
      <c r="HQ49" s="420"/>
      <c r="HR49" s="420"/>
      <c r="HS49" s="420"/>
      <c r="HT49" s="420"/>
      <c r="HU49" s="420"/>
      <c r="HV49" s="420"/>
      <c r="HW49" s="420"/>
      <c r="HX49" s="420"/>
      <c r="HY49" s="420"/>
      <c r="HZ49" s="420"/>
      <c r="IA49" s="420"/>
      <c r="IB49" s="420"/>
      <c r="IC49" s="420"/>
      <c r="ID49" s="420"/>
      <c r="IE49" s="420"/>
      <c r="IF49" s="420"/>
      <c r="IG49" s="420"/>
      <c r="IH49" s="420"/>
      <c r="II49" s="420"/>
      <c r="IJ49" s="420"/>
      <c r="IK49" s="420"/>
      <c r="IL49" s="420"/>
      <c r="IM49" s="420"/>
      <c r="IN49" s="420"/>
      <c r="IO49" s="420"/>
      <c r="IP49" s="420"/>
      <c r="IQ49" s="420"/>
      <c r="IR49" s="420"/>
      <c r="IS49" s="420"/>
      <c r="IT49" s="420"/>
      <c r="IU49" s="420"/>
      <c r="IV49" s="420"/>
      <c r="IW49" s="420"/>
      <c r="IX49" s="420"/>
      <c r="IY49" s="420"/>
      <c r="IZ49" s="420"/>
      <c r="JA49" s="420"/>
    </row>
    <row r="50" spans="1:261" ht="22.5" customHeight="1" x14ac:dyDescent="0.35">
      <c r="A50" s="783">
        <v>42</v>
      </c>
      <c r="B50" s="625"/>
      <c r="C50" s="466">
        <v>9</v>
      </c>
      <c r="D50" s="780" t="s">
        <v>704</v>
      </c>
      <c r="E50" s="432"/>
      <c r="F50" s="772"/>
      <c r="G50" s="433"/>
      <c r="H50" s="1009" t="s">
        <v>24</v>
      </c>
      <c r="I50" s="1027"/>
      <c r="J50" s="1023"/>
      <c r="K50" s="1023"/>
      <c r="L50" s="1023"/>
      <c r="M50" s="1023"/>
      <c r="N50" s="1023"/>
      <c r="O50" s="777"/>
      <c r="P50" s="773"/>
    </row>
    <row r="51" spans="1:261" s="768" customFormat="1" ht="18" customHeight="1" x14ac:dyDescent="0.35">
      <c r="A51" s="783">
        <v>43</v>
      </c>
      <c r="B51" s="776"/>
      <c r="C51" s="422"/>
      <c r="D51" s="1002" t="s">
        <v>311</v>
      </c>
      <c r="E51" s="432">
        <f>F51+G51+O54+P51</f>
        <v>3095</v>
      </c>
      <c r="F51" s="772"/>
      <c r="G51" s="433"/>
      <c r="H51" s="1009"/>
      <c r="I51" s="1027"/>
      <c r="J51" s="1023"/>
      <c r="K51" s="1023">
        <f>5000-1905</f>
        <v>3095</v>
      </c>
      <c r="L51" s="1023"/>
      <c r="M51" s="1023"/>
      <c r="N51" s="1023"/>
      <c r="O51" s="992">
        <f>SUM(I51:N51)</f>
        <v>3095</v>
      </c>
      <c r="P51" s="773"/>
      <c r="Q51" s="420"/>
      <c r="R51" s="420"/>
      <c r="S51" s="420"/>
      <c r="T51" s="420"/>
      <c r="U51" s="420"/>
      <c r="V51" s="420"/>
      <c r="W51" s="420"/>
      <c r="X51" s="420"/>
      <c r="Y51" s="420"/>
      <c r="Z51" s="420"/>
      <c r="AA51" s="420"/>
      <c r="AB51" s="420"/>
      <c r="AC51" s="420"/>
      <c r="AD51" s="420"/>
      <c r="AE51" s="420"/>
      <c r="AF51" s="420"/>
      <c r="AG51" s="420"/>
      <c r="AH51" s="420"/>
      <c r="AI51" s="420"/>
      <c r="AJ51" s="420"/>
      <c r="AK51" s="420"/>
      <c r="AL51" s="420"/>
      <c r="AM51" s="420"/>
      <c r="AN51" s="420"/>
      <c r="AO51" s="420"/>
      <c r="AP51" s="420"/>
      <c r="AQ51" s="420"/>
      <c r="AR51" s="420"/>
      <c r="AS51" s="420"/>
      <c r="AT51" s="420"/>
      <c r="AU51" s="420"/>
      <c r="AV51" s="420"/>
      <c r="AW51" s="420"/>
      <c r="AX51" s="420"/>
      <c r="AY51" s="420"/>
      <c r="AZ51" s="420"/>
      <c r="BA51" s="420"/>
      <c r="BB51" s="420"/>
      <c r="BC51" s="420"/>
      <c r="BD51" s="420"/>
      <c r="BE51" s="420"/>
      <c r="BF51" s="420"/>
      <c r="BG51" s="420"/>
      <c r="BH51" s="420"/>
      <c r="BI51" s="420"/>
      <c r="BJ51" s="420"/>
      <c r="BK51" s="420"/>
      <c r="BL51" s="420"/>
      <c r="BM51" s="420"/>
      <c r="BN51" s="420"/>
      <c r="BO51" s="420"/>
      <c r="BP51" s="420"/>
      <c r="BQ51" s="420"/>
      <c r="BR51" s="420"/>
      <c r="BS51" s="420"/>
      <c r="BT51" s="420"/>
      <c r="BU51" s="420"/>
      <c r="BV51" s="420"/>
      <c r="BW51" s="420"/>
      <c r="BX51" s="420"/>
      <c r="BY51" s="420"/>
      <c r="BZ51" s="420"/>
      <c r="CA51" s="420"/>
      <c r="CB51" s="420"/>
      <c r="CC51" s="420"/>
      <c r="CD51" s="420"/>
      <c r="CE51" s="420"/>
      <c r="CF51" s="420"/>
      <c r="CG51" s="420"/>
      <c r="CH51" s="420"/>
      <c r="CI51" s="420"/>
      <c r="CJ51" s="420"/>
      <c r="CK51" s="420"/>
      <c r="CL51" s="420"/>
      <c r="CM51" s="420"/>
      <c r="CN51" s="420"/>
      <c r="CO51" s="420"/>
      <c r="CP51" s="420"/>
      <c r="CQ51" s="420"/>
      <c r="CR51" s="420"/>
      <c r="CS51" s="420"/>
      <c r="CT51" s="420"/>
      <c r="CU51" s="420"/>
      <c r="CV51" s="420"/>
      <c r="CW51" s="420"/>
      <c r="CX51" s="420"/>
      <c r="CY51" s="420"/>
      <c r="CZ51" s="420"/>
      <c r="DA51" s="420"/>
      <c r="DB51" s="420"/>
      <c r="DC51" s="420"/>
      <c r="DD51" s="420"/>
      <c r="DE51" s="420"/>
      <c r="DF51" s="420"/>
      <c r="DG51" s="420"/>
      <c r="DH51" s="420"/>
      <c r="DI51" s="420"/>
      <c r="DJ51" s="420"/>
      <c r="DK51" s="420"/>
      <c r="DL51" s="420"/>
      <c r="DM51" s="420"/>
      <c r="DN51" s="420"/>
      <c r="DO51" s="420"/>
      <c r="DP51" s="420"/>
      <c r="DQ51" s="420"/>
      <c r="DR51" s="420"/>
      <c r="DS51" s="420"/>
      <c r="DT51" s="420"/>
      <c r="DU51" s="420"/>
      <c r="DV51" s="420"/>
      <c r="DW51" s="420"/>
      <c r="DX51" s="420"/>
      <c r="DY51" s="420"/>
      <c r="DZ51" s="420"/>
      <c r="EA51" s="420"/>
      <c r="EB51" s="420"/>
      <c r="EC51" s="420"/>
      <c r="ED51" s="420"/>
      <c r="EE51" s="420"/>
      <c r="EF51" s="420"/>
      <c r="EG51" s="420"/>
      <c r="EH51" s="420"/>
      <c r="EI51" s="420"/>
      <c r="EJ51" s="420"/>
      <c r="EK51" s="420"/>
      <c r="EL51" s="420"/>
      <c r="EM51" s="420"/>
      <c r="EN51" s="420"/>
      <c r="EO51" s="420"/>
      <c r="EP51" s="420"/>
      <c r="EQ51" s="420"/>
      <c r="ER51" s="420"/>
      <c r="ES51" s="420"/>
      <c r="ET51" s="420"/>
      <c r="EU51" s="420"/>
      <c r="EV51" s="420"/>
      <c r="EW51" s="420"/>
      <c r="EX51" s="420"/>
      <c r="EY51" s="420"/>
      <c r="EZ51" s="420"/>
      <c r="FA51" s="420"/>
      <c r="FB51" s="420"/>
      <c r="FC51" s="420"/>
      <c r="FD51" s="420"/>
      <c r="FE51" s="420"/>
      <c r="FF51" s="420"/>
      <c r="FG51" s="420"/>
      <c r="FH51" s="420"/>
      <c r="FI51" s="420"/>
      <c r="FJ51" s="420"/>
      <c r="FK51" s="420"/>
      <c r="FL51" s="420"/>
      <c r="FM51" s="420"/>
      <c r="FN51" s="420"/>
      <c r="FO51" s="420"/>
      <c r="FP51" s="420"/>
      <c r="FQ51" s="420"/>
      <c r="FR51" s="420"/>
      <c r="FS51" s="420"/>
      <c r="FT51" s="420"/>
      <c r="FU51" s="420"/>
      <c r="FV51" s="420"/>
      <c r="FW51" s="420"/>
      <c r="FX51" s="420"/>
      <c r="FY51" s="420"/>
      <c r="FZ51" s="420"/>
      <c r="GA51" s="420"/>
      <c r="GB51" s="420"/>
      <c r="GC51" s="420"/>
      <c r="GD51" s="420"/>
      <c r="GE51" s="420"/>
      <c r="GF51" s="420"/>
      <c r="GG51" s="420"/>
      <c r="GH51" s="420"/>
      <c r="GI51" s="420"/>
      <c r="GJ51" s="420"/>
      <c r="GK51" s="420"/>
      <c r="GL51" s="420"/>
      <c r="GM51" s="420"/>
      <c r="GN51" s="420"/>
      <c r="GO51" s="420"/>
      <c r="GP51" s="420"/>
      <c r="GQ51" s="420"/>
      <c r="GR51" s="420"/>
      <c r="GS51" s="420"/>
      <c r="GT51" s="420"/>
      <c r="GU51" s="420"/>
      <c r="GV51" s="420"/>
      <c r="GW51" s="420"/>
      <c r="GX51" s="420"/>
      <c r="GY51" s="420"/>
      <c r="GZ51" s="420"/>
      <c r="HA51" s="420"/>
      <c r="HB51" s="420"/>
      <c r="HC51" s="420"/>
      <c r="HD51" s="420"/>
      <c r="HE51" s="420"/>
      <c r="HF51" s="420"/>
      <c r="HG51" s="420"/>
      <c r="HH51" s="420"/>
      <c r="HI51" s="420"/>
      <c r="HJ51" s="420"/>
      <c r="HK51" s="420"/>
      <c r="HL51" s="420"/>
      <c r="HM51" s="420"/>
      <c r="HN51" s="420"/>
      <c r="HO51" s="420"/>
      <c r="HP51" s="420"/>
      <c r="HQ51" s="420"/>
      <c r="HR51" s="420"/>
      <c r="HS51" s="420"/>
      <c r="HT51" s="420"/>
      <c r="HU51" s="420"/>
      <c r="HV51" s="420"/>
      <c r="HW51" s="420"/>
      <c r="HX51" s="420"/>
      <c r="HY51" s="420"/>
      <c r="HZ51" s="420"/>
      <c r="IA51" s="420"/>
      <c r="IB51" s="420"/>
      <c r="IC51" s="420"/>
      <c r="ID51" s="420"/>
      <c r="IE51" s="420"/>
      <c r="IF51" s="420"/>
      <c r="IG51" s="420"/>
      <c r="IH51" s="420"/>
      <c r="II51" s="420"/>
      <c r="IJ51" s="420"/>
      <c r="IK51" s="420"/>
      <c r="IL51" s="420"/>
      <c r="IM51" s="420"/>
      <c r="IN51" s="420"/>
      <c r="IO51" s="420"/>
      <c r="IP51" s="420"/>
      <c r="IQ51" s="420"/>
      <c r="IR51" s="420"/>
      <c r="IS51" s="420"/>
      <c r="IT51" s="420"/>
      <c r="IU51" s="420"/>
      <c r="IV51" s="420"/>
      <c r="IW51" s="420"/>
      <c r="IX51" s="420"/>
      <c r="IY51" s="420"/>
      <c r="IZ51" s="420"/>
      <c r="JA51" s="420"/>
    </row>
    <row r="52" spans="1:261" s="768" customFormat="1" ht="18" customHeight="1" x14ac:dyDescent="0.35">
      <c r="A52" s="783">
        <v>44</v>
      </c>
      <c r="B52" s="776"/>
      <c r="C52" s="422"/>
      <c r="D52" s="583" t="s">
        <v>1072</v>
      </c>
      <c r="E52" s="432"/>
      <c r="F52" s="772"/>
      <c r="G52" s="433"/>
      <c r="H52" s="1009"/>
      <c r="I52" s="1027"/>
      <c r="J52" s="1023"/>
      <c r="K52" s="1548">
        <v>3095</v>
      </c>
      <c r="L52" s="1548"/>
      <c r="M52" s="1548"/>
      <c r="N52" s="1548"/>
      <c r="O52" s="777">
        <f>SUM(I52:N52)</f>
        <v>3095</v>
      </c>
      <c r="P52" s="773"/>
      <c r="Q52" s="420"/>
      <c r="R52" s="420"/>
      <c r="S52" s="420"/>
      <c r="T52" s="420"/>
      <c r="U52" s="420"/>
      <c r="V52" s="420"/>
      <c r="W52" s="420"/>
      <c r="X52" s="420"/>
      <c r="Y52" s="420"/>
      <c r="Z52" s="420"/>
      <c r="AA52" s="420"/>
      <c r="AB52" s="420"/>
      <c r="AC52" s="420"/>
      <c r="AD52" s="420"/>
      <c r="AE52" s="420"/>
      <c r="AF52" s="420"/>
      <c r="AG52" s="420"/>
      <c r="AH52" s="420"/>
      <c r="AI52" s="420"/>
      <c r="AJ52" s="420"/>
      <c r="AK52" s="420"/>
      <c r="AL52" s="420"/>
      <c r="AM52" s="420"/>
      <c r="AN52" s="420"/>
      <c r="AO52" s="420"/>
      <c r="AP52" s="420"/>
      <c r="AQ52" s="420"/>
      <c r="AR52" s="420"/>
      <c r="AS52" s="420"/>
      <c r="AT52" s="420"/>
      <c r="AU52" s="420"/>
      <c r="AV52" s="420"/>
      <c r="AW52" s="420"/>
      <c r="AX52" s="420"/>
      <c r="AY52" s="420"/>
      <c r="AZ52" s="420"/>
      <c r="BA52" s="420"/>
      <c r="BB52" s="420"/>
      <c r="BC52" s="420"/>
      <c r="BD52" s="420"/>
      <c r="BE52" s="420"/>
      <c r="BF52" s="420"/>
      <c r="BG52" s="420"/>
      <c r="BH52" s="420"/>
      <c r="BI52" s="420"/>
      <c r="BJ52" s="420"/>
      <c r="BK52" s="420"/>
      <c r="BL52" s="420"/>
      <c r="BM52" s="420"/>
      <c r="BN52" s="420"/>
      <c r="BO52" s="420"/>
      <c r="BP52" s="420"/>
      <c r="BQ52" s="420"/>
      <c r="BR52" s="420"/>
      <c r="BS52" s="420"/>
      <c r="BT52" s="420"/>
      <c r="BU52" s="420"/>
      <c r="BV52" s="420"/>
      <c r="BW52" s="420"/>
      <c r="BX52" s="420"/>
      <c r="BY52" s="420"/>
      <c r="BZ52" s="420"/>
      <c r="CA52" s="420"/>
      <c r="CB52" s="420"/>
      <c r="CC52" s="420"/>
      <c r="CD52" s="420"/>
      <c r="CE52" s="420"/>
      <c r="CF52" s="420"/>
      <c r="CG52" s="420"/>
      <c r="CH52" s="420"/>
      <c r="CI52" s="420"/>
      <c r="CJ52" s="420"/>
      <c r="CK52" s="420"/>
      <c r="CL52" s="420"/>
      <c r="CM52" s="420"/>
      <c r="CN52" s="420"/>
      <c r="CO52" s="420"/>
      <c r="CP52" s="420"/>
      <c r="CQ52" s="420"/>
      <c r="CR52" s="420"/>
      <c r="CS52" s="420"/>
      <c r="CT52" s="420"/>
      <c r="CU52" s="420"/>
      <c r="CV52" s="420"/>
      <c r="CW52" s="420"/>
      <c r="CX52" s="420"/>
      <c r="CY52" s="420"/>
      <c r="CZ52" s="420"/>
      <c r="DA52" s="420"/>
      <c r="DB52" s="420"/>
      <c r="DC52" s="420"/>
      <c r="DD52" s="420"/>
      <c r="DE52" s="420"/>
      <c r="DF52" s="420"/>
      <c r="DG52" s="420"/>
      <c r="DH52" s="420"/>
      <c r="DI52" s="420"/>
      <c r="DJ52" s="420"/>
      <c r="DK52" s="420"/>
      <c r="DL52" s="420"/>
      <c r="DM52" s="420"/>
      <c r="DN52" s="420"/>
      <c r="DO52" s="420"/>
      <c r="DP52" s="420"/>
      <c r="DQ52" s="420"/>
      <c r="DR52" s="420"/>
      <c r="DS52" s="420"/>
      <c r="DT52" s="420"/>
      <c r="DU52" s="420"/>
      <c r="DV52" s="420"/>
      <c r="DW52" s="420"/>
      <c r="DX52" s="420"/>
      <c r="DY52" s="420"/>
      <c r="DZ52" s="420"/>
      <c r="EA52" s="420"/>
      <c r="EB52" s="420"/>
      <c r="EC52" s="420"/>
      <c r="ED52" s="420"/>
      <c r="EE52" s="420"/>
      <c r="EF52" s="420"/>
      <c r="EG52" s="420"/>
      <c r="EH52" s="420"/>
      <c r="EI52" s="420"/>
      <c r="EJ52" s="420"/>
      <c r="EK52" s="420"/>
      <c r="EL52" s="420"/>
      <c r="EM52" s="420"/>
      <c r="EN52" s="420"/>
      <c r="EO52" s="420"/>
      <c r="EP52" s="420"/>
      <c r="EQ52" s="420"/>
      <c r="ER52" s="420"/>
      <c r="ES52" s="420"/>
      <c r="ET52" s="420"/>
      <c r="EU52" s="420"/>
      <c r="EV52" s="420"/>
      <c r="EW52" s="420"/>
      <c r="EX52" s="420"/>
      <c r="EY52" s="420"/>
      <c r="EZ52" s="420"/>
      <c r="FA52" s="420"/>
      <c r="FB52" s="420"/>
      <c r="FC52" s="420"/>
      <c r="FD52" s="420"/>
      <c r="FE52" s="420"/>
      <c r="FF52" s="420"/>
      <c r="FG52" s="420"/>
      <c r="FH52" s="420"/>
      <c r="FI52" s="420"/>
      <c r="FJ52" s="420"/>
      <c r="FK52" s="420"/>
      <c r="FL52" s="420"/>
      <c r="FM52" s="420"/>
      <c r="FN52" s="420"/>
      <c r="FO52" s="420"/>
      <c r="FP52" s="420"/>
      <c r="FQ52" s="420"/>
      <c r="FR52" s="420"/>
      <c r="FS52" s="420"/>
      <c r="FT52" s="420"/>
      <c r="FU52" s="420"/>
      <c r="FV52" s="420"/>
      <c r="FW52" s="420"/>
      <c r="FX52" s="420"/>
      <c r="FY52" s="420"/>
      <c r="FZ52" s="420"/>
      <c r="GA52" s="420"/>
      <c r="GB52" s="420"/>
      <c r="GC52" s="420"/>
      <c r="GD52" s="420"/>
      <c r="GE52" s="420"/>
      <c r="GF52" s="420"/>
      <c r="GG52" s="420"/>
      <c r="GH52" s="420"/>
      <c r="GI52" s="420"/>
      <c r="GJ52" s="420"/>
      <c r="GK52" s="420"/>
      <c r="GL52" s="420"/>
      <c r="GM52" s="420"/>
      <c r="GN52" s="420"/>
      <c r="GO52" s="420"/>
      <c r="GP52" s="420"/>
      <c r="GQ52" s="420"/>
      <c r="GR52" s="420"/>
      <c r="GS52" s="420"/>
      <c r="GT52" s="420"/>
      <c r="GU52" s="420"/>
      <c r="GV52" s="420"/>
      <c r="GW52" s="420"/>
      <c r="GX52" s="420"/>
      <c r="GY52" s="420"/>
      <c r="GZ52" s="420"/>
      <c r="HA52" s="420"/>
      <c r="HB52" s="420"/>
      <c r="HC52" s="420"/>
      <c r="HD52" s="420"/>
      <c r="HE52" s="420"/>
      <c r="HF52" s="420"/>
      <c r="HG52" s="420"/>
      <c r="HH52" s="420"/>
      <c r="HI52" s="420"/>
      <c r="HJ52" s="420"/>
      <c r="HK52" s="420"/>
      <c r="HL52" s="420"/>
      <c r="HM52" s="420"/>
      <c r="HN52" s="420"/>
      <c r="HO52" s="420"/>
      <c r="HP52" s="420"/>
      <c r="HQ52" s="420"/>
      <c r="HR52" s="420"/>
      <c r="HS52" s="420"/>
      <c r="HT52" s="420"/>
      <c r="HU52" s="420"/>
      <c r="HV52" s="420"/>
      <c r="HW52" s="420"/>
      <c r="HX52" s="420"/>
      <c r="HY52" s="420"/>
      <c r="HZ52" s="420"/>
      <c r="IA52" s="420"/>
      <c r="IB52" s="420"/>
      <c r="IC52" s="420"/>
      <c r="ID52" s="420"/>
      <c r="IE52" s="420"/>
      <c r="IF52" s="420"/>
      <c r="IG52" s="420"/>
      <c r="IH52" s="420"/>
      <c r="II52" s="420"/>
      <c r="IJ52" s="420"/>
      <c r="IK52" s="420"/>
      <c r="IL52" s="420"/>
      <c r="IM52" s="420"/>
      <c r="IN52" s="420"/>
      <c r="IO52" s="420"/>
      <c r="IP52" s="420"/>
      <c r="IQ52" s="420"/>
      <c r="IR52" s="420"/>
      <c r="IS52" s="420"/>
      <c r="IT52" s="420"/>
      <c r="IU52" s="420"/>
      <c r="IV52" s="420"/>
      <c r="IW52" s="420"/>
      <c r="IX52" s="420"/>
      <c r="IY52" s="420"/>
      <c r="IZ52" s="420"/>
      <c r="JA52" s="420"/>
    </row>
    <row r="53" spans="1:261" s="768" customFormat="1" ht="18" customHeight="1" x14ac:dyDescent="0.35">
      <c r="A53" s="783">
        <v>45</v>
      </c>
      <c r="B53" s="776"/>
      <c r="C53" s="422"/>
      <c r="D53" s="1338" t="s">
        <v>963</v>
      </c>
      <c r="E53" s="432"/>
      <c r="F53" s="772"/>
      <c r="G53" s="433"/>
      <c r="H53" s="1009"/>
      <c r="I53" s="1005"/>
      <c r="J53" s="769"/>
      <c r="K53" s="769"/>
      <c r="L53" s="769"/>
      <c r="M53" s="769"/>
      <c r="N53" s="769"/>
      <c r="O53" s="777">
        <f>SUM(I53:N53)</f>
        <v>0</v>
      </c>
      <c r="P53" s="773"/>
      <c r="Q53" s="420"/>
      <c r="R53" s="420"/>
      <c r="S53" s="420"/>
      <c r="T53" s="420"/>
      <c r="U53" s="420"/>
      <c r="V53" s="420"/>
      <c r="W53" s="420"/>
      <c r="X53" s="420"/>
      <c r="Y53" s="420"/>
      <c r="Z53" s="420"/>
      <c r="AA53" s="420"/>
      <c r="AB53" s="420"/>
      <c r="AC53" s="420"/>
      <c r="AD53" s="420"/>
      <c r="AE53" s="420"/>
      <c r="AF53" s="420"/>
      <c r="AG53" s="420"/>
      <c r="AH53" s="420"/>
      <c r="AI53" s="420"/>
      <c r="AJ53" s="420"/>
      <c r="AK53" s="420"/>
      <c r="AL53" s="420"/>
      <c r="AM53" s="420"/>
      <c r="AN53" s="420"/>
      <c r="AO53" s="420"/>
      <c r="AP53" s="420"/>
      <c r="AQ53" s="420"/>
      <c r="AR53" s="420"/>
      <c r="AS53" s="420"/>
      <c r="AT53" s="420"/>
      <c r="AU53" s="420"/>
      <c r="AV53" s="420"/>
      <c r="AW53" s="420"/>
      <c r="AX53" s="420"/>
      <c r="AY53" s="420"/>
      <c r="AZ53" s="420"/>
      <c r="BA53" s="420"/>
      <c r="BB53" s="420"/>
      <c r="BC53" s="420"/>
      <c r="BD53" s="420"/>
      <c r="BE53" s="420"/>
      <c r="BF53" s="420"/>
      <c r="BG53" s="420"/>
      <c r="BH53" s="420"/>
      <c r="BI53" s="420"/>
      <c r="BJ53" s="420"/>
      <c r="BK53" s="420"/>
      <c r="BL53" s="420"/>
      <c r="BM53" s="420"/>
      <c r="BN53" s="420"/>
      <c r="BO53" s="420"/>
      <c r="BP53" s="420"/>
      <c r="BQ53" s="420"/>
      <c r="BR53" s="420"/>
      <c r="BS53" s="420"/>
      <c r="BT53" s="420"/>
      <c r="BU53" s="420"/>
      <c r="BV53" s="420"/>
      <c r="BW53" s="420"/>
      <c r="BX53" s="420"/>
      <c r="BY53" s="420"/>
      <c r="BZ53" s="420"/>
      <c r="CA53" s="420"/>
      <c r="CB53" s="420"/>
      <c r="CC53" s="420"/>
      <c r="CD53" s="420"/>
      <c r="CE53" s="420"/>
      <c r="CF53" s="420"/>
      <c r="CG53" s="420"/>
      <c r="CH53" s="420"/>
      <c r="CI53" s="420"/>
      <c r="CJ53" s="420"/>
      <c r="CK53" s="420"/>
      <c r="CL53" s="420"/>
      <c r="CM53" s="420"/>
      <c r="CN53" s="420"/>
      <c r="CO53" s="420"/>
      <c r="CP53" s="420"/>
      <c r="CQ53" s="420"/>
      <c r="CR53" s="420"/>
      <c r="CS53" s="420"/>
      <c r="CT53" s="420"/>
      <c r="CU53" s="420"/>
      <c r="CV53" s="420"/>
      <c r="CW53" s="420"/>
      <c r="CX53" s="420"/>
      <c r="CY53" s="420"/>
      <c r="CZ53" s="420"/>
      <c r="DA53" s="420"/>
      <c r="DB53" s="420"/>
      <c r="DC53" s="420"/>
      <c r="DD53" s="420"/>
      <c r="DE53" s="420"/>
      <c r="DF53" s="420"/>
      <c r="DG53" s="420"/>
      <c r="DH53" s="420"/>
      <c r="DI53" s="420"/>
      <c r="DJ53" s="420"/>
      <c r="DK53" s="420"/>
      <c r="DL53" s="420"/>
      <c r="DM53" s="420"/>
      <c r="DN53" s="420"/>
      <c r="DO53" s="420"/>
      <c r="DP53" s="420"/>
      <c r="DQ53" s="420"/>
      <c r="DR53" s="420"/>
      <c r="DS53" s="420"/>
      <c r="DT53" s="420"/>
      <c r="DU53" s="420"/>
      <c r="DV53" s="420"/>
      <c r="DW53" s="420"/>
      <c r="DX53" s="420"/>
      <c r="DY53" s="420"/>
      <c r="DZ53" s="420"/>
      <c r="EA53" s="420"/>
      <c r="EB53" s="420"/>
      <c r="EC53" s="420"/>
      <c r="ED53" s="420"/>
      <c r="EE53" s="420"/>
      <c r="EF53" s="420"/>
      <c r="EG53" s="420"/>
      <c r="EH53" s="420"/>
      <c r="EI53" s="420"/>
      <c r="EJ53" s="420"/>
      <c r="EK53" s="420"/>
      <c r="EL53" s="420"/>
      <c r="EM53" s="420"/>
      <c r="EN53" s="420"/>
      <c r="EO53" s="420"/>
      <c r="EP53" s="420"/>
      <c r="EQ53" s="420"/>
      <c r="ER53" s="420"/>
      <c r="ES53" s="420"/>
      <c r="ET53" s="420"/>
      <c r="EU53" s="420"/>
      <c r="EV53" s="420"/>
      <c r="EW53" s="420"/>
      <c r="EX53" s="420"/>
      <c r="EY53" s="420"/>
      <c r="EZ53" s="420"/>
      <c r="FA53" s="420"/>
      <c r="FB53" s="420"/>
      <c r="FC53" s="420"/>
      <c r="FD53" s="420"/>
      <c r="FE53" s="420"/>
      <c r="FF53" s="420"/>
      <c r="FG53" s="420"/>
      <c r="FH53" s="420"/>
      <c r="FI53" s="420"/>
      <c r="FJ53" s="420"/>
      <c r="FK53" s="420"/>
      <c r="FL53" s="420"/>
      <c r="FM53" s="420"/>
      <c r="FN53" s="420"/>
      <c r="FO53" s="420"/>
      <c r="FP53" s="420"/>
      <c r="FQ53" s="420"/>
      <c r="FR53" s="420"/>
      <c r="FS53" s="420"/>
      <c r="FT53" s="420"/>
      <c r="FU53" s="420"/>
      <c r="FV53" s="420"/>
      <c r="FW53" s="420"/>
      <c r="FX53" s="420"/>
      <c r="FY53" s="420"/>
      <c r="FZ53" s="420"/>
      <c r="GA53" s="420"/>
      <c r="GB53" s="420"/>
      <c r="GC53" s="420"/>
      <c r="GD53" s="420"/>
      <c r="GE53" s="420"/>
      <c r="GF53" s="420"/>
      <c r="GG53" s="420"/>
      <c r="GH53" s="420"/>
      <c r="GI53" s="420"/>
      <c r="GJ53" s="420"/>
      <c r="GK53" s="420"/>
      <c r="GL53" s="420"/>
      <c r="GM53" s="420"/>
      <c r="GN53" s="420"/>
      <c r="GO53" s="420"/>
      <c r="GP53" s="420"/>
      <c r="GQ53" s="420"/>
      <c r="GR53" s="420"/>
      <c r="GS53" s="420"/>
      <c r="GT53" s="420"/>
      <c r="GU53" s="420"/>
      <c r="GV53" s="420"/>
      <c r="GW53" s="420"/>
      <c r="GX53" s="420"/>
      <c r="GY53" s="420"/>
      <c r="GZ53" s="420"/>
      <c r="HA53" s="420"/>
      <c r="HB53" s="420"/>
      <c r="HC53" s="420"/>
      <c r="HD53" s="420"/>
      <c r="HE53" s="420"/>
      <c r="HF53" s="420"/>
      <c r="HG53" s="420"/>
      <c r="HH53" s="420"/>
      <c r="HI53" s="420"/>
      <c r="HJ53" s="420"/>
      <c r="HK53" s="420"/>
      <c r="HL53" s="420"/>
      <c r="HM53" s="420"/>
      <c r="HN53" s="420"/>
      <c r="HO53" s="420"/>
      <c r="HP53" s="420"/>
      <c r="HQ53" s="420"/>
      <c r="HR53" s="420"/>
      <c r="HS53" s="420"/>
      <c r="HT53" s="420"/>
      <c r="HU53" s="420"/>
      <c r="HV53" s="420"/>
      <c r="HW53" s="420"/>
      <c r="HX53" s="420"/>
      <c r="HY53" s="420"/>
      <c r="HZ53" s="420"/>
      <c r="IA53" s="420"/>
      <c r="IB53" s="420"/>
      <c r="IC53" s="420"/>
      <c r="ID53" s="420"/>
      <c r="IE53" s="420"/>
      <c r="IF53" s="420"/>
      <c r="IG53" s="420"/>
      <c r="IH53" s="420"/>
      <c r="II53" s="420"/>
      <c r="IJ53" s="420"/>
      <c r="IK53" s="420"/>
      <c r="IL53" s="420"/>
      <c r="IM53" s="420"/>
      <c r="IN53" s="420"/>
      <c r="IO53" s="420"/>
      <c r="IP53" s="420"/>
      <c r="IQ53" s="420"/>
      <c r="IR53" s="420"/>
      <c r="IS53" s="420"/>
      <c r="IT53" s="420"/>
      <c r="IU53" s="420"/>
      <c r="IV53" s="420"/>
      <c r="IW53" s="420"/>
      <c r="IX53" s="420"/>
      <c r="IY53" s="420"/>
      <c r="IZ53" s="420"/>
      <c r="JA53" s="420"/>
    </row>
    <row r="54" spans="1:261" s="768" customFormat="1" ht="18" customHeight="1" x14ac:dyDescent="0.35">
      <c r="A54" s="783">
        <v>46</v>
      </c>
      <c r="B54" s="776"/>
      <c r="C54" s="422"/>
      <c r="D54" s="583" t="s">
        <v>1151</v>
      </c>
      <c r="E54" s="432"/>
      <c r="F54" s="772"/>
      <c r="G54" s="433"/>
      <c r="H54" s="1009"/>
      <c r="I54" s="1005"/>
      <c r="J54" s="769"/>
      <c r="K54" s="1548">
        <f>SUM(K52:K53)</f>
        <v>3095</v>
      </c>
      <c r="L54" s="769"/>
      <c r="M54" s="769"/>
      <c r="N54" s="769"/>
      <c r="O54" s="777">
        <f>SUM(I54:N54)</f>
        <v>3095</v>
      </c>
      <c r="P54" s="773"/>
      <c r="Q54" s="420"/>
      <c r="R54" s="420"/>
      <c r="S54" s="420"/>
      <c r="T54" s="420"/>
      <c r="U54" s="420"/>
      <c r="V54" s="420"/>
      <c r="W54" s="420"/>
      <c r="X54" s="420"/>
      <c r="Y54" s="420"/>
      <c r="Z54" s="420"/>
      <c r="AA54" s="420"/>
      <c r="AB54" s="420"/>
      <c r="AC54" s="420"/>
      <c r="AD54" s="420"/>
      <c r="AE54" s="420"/>
      <c r="AF54" s="420"/>
      <c r="AG54" s="420"/>
      <c r="AH54" s="420"/>
      <c r="AI54" s="420"/>
      <c r="AJ54" s="420"/>
      <c r="AK54" s="420"/>
      <c r="AL54" s="420"/>
      <c r="AM54" s="420"/>
      <c r="AN54" s="420"/>
      <c r="AO54" s="420"/>
      <c r="AP54" s="420"/>
      <c r="AQ54" s="420"/>
      <c r="AR54" s="420"/>
      <c r="AS54" s="420"/>
      <c r="AT54" s="420"/>
      <c r="AU54" s="420"/>
      <c r="AV54" s="420"/>
      <c r="AW54" s="420"/>
      <c r="AX54" s="420"/>
      <c r="AY54" s="420"/>
      <c r="AZ54" s="420"/>
      <c r="BA54" s="420"/>
      <c r="BB54" s="420"/>
      <c r="BC54" s="420"/>
      <c r="BD54" s="420"/>
      <c r="BE54" s="420"/>
      <c r="BF54" s="420"/>
      <c r="BG54" s="420"/>
      <c r="BH54" s="420"/>
      <c r="BI54" s="420"/>
      <c r="BJ54" s="420"/>
      <c r="BK54" s="420"/>
      <c r="BL54" s="420"/>
      <c r="BM54" s="420"/>
      <c r="BN54" s="420"/>
      <c r="BO54" s="420"/>
      <c r="BP54" s="420"/>
      <c r="BQ54" s="420"/>
      <c r="BR54" s="420"/>
      <c r="BS54" s="420"/>
      <c r="BT54" s="420"/>
      <c r="BU54" s="420"/>
      <c r="BV54" s="420"/>
      <c r="BW54" s="420"/>
      <c r="BX54" s="420"/>
      <c r="BY54" s="420"/>
      <c r="BZ54" s="420"/>
      <c r="CA54" s="420"/>
      <c r="CB54" s="420"/>
      <c r="CC54" s="420"/>
      <c r="CD54" s="420"/>
      <c r="CE54" s="420"/>
      <c r="CF54" s="420"/>
      <c r="CG54" s="420"/>
      <c r="CH54" s="420"/>
      <c r="CI54" s="420"/>
      <c r="CJ54" s="420"/>
      <c r="CK54" s="420"/>
      <c r="CL54" s="420"/>
      <c r="CM54" s="420"/>
      <c r="CN54" s="420"/>
      <c r="CO54" s="420"/>
      <c r="CP54" s="420"/>
      <c r="CQ54" s="420"/>
      <c r="CR54" s="420"/>
      <c r="CS54" s="420"/>
      <c r="CT54" s="420"/>
      <c r="CU54" s="420"/>
      <c r="CV54" s="420"/>
      <c r="CW54" s="420"/>
      <c r="CX54" s="420"/>
      <c r="CY54" s="420"/>
      <c r="CZ54" s="420"/>
      <c r="DA54" s="420"/>
      <c r="DB54" s="420"/>
      <c r="DC54" s="420"/>
      <c r="DD54" s="420"/>
      <c r="DE54" s="420"/>
      <c r="DF54" s="420"/>
      <c r="DG54" s="420"/>
      <c r="DH54" s="420"/>
      <c r="DI54" s="420"/>
      <c r="DJ54" s="420"/>
      <c r="DK54" s="420"/>
      <c r="DL54" s="420"/>
      <c r="DM54" s="420"/>
      <c r="DN54" s="420"/>
      <c r="DO54" s="420"/>
      <c r="DP54" s="420"/>
      <c r="DQ54" s="420"/>
      <c r="DR54" s="420"/>
      <c r="DS54" s="420"/>
      <c r="DT54" s="420"/>
      <c r="DU54" s="420"/>
      <c r="DV54" s="420"/>
      <c r="DW54" s="420"/>
      <c r="DX54" s="420"/>
      <c r="DY54" s="420"/>
      <c r="DZ54" s="420"/>
      <c r="EA54" s="420"/>
      <c r="EB54" s="420"/>
      <c r="EC54" s="420"/>
      <c r="ED54" s="420"/>
      <c r="EE54" s="420"/>
      <c r="EF54" s="420"/>
      <c r="EG54" s="420"/>
      <c r="EH54" s="420"/>
      <c r="EI54" s="420"/>
      <c r="EJ54" s="420"/>
      <c r="EK54" s="420"/>
      <c r="EL54" s="420"/>
      <c r="EM54" s="420"/>
      <c r="EN54" s="420"/>
      <c r="EO54" s="420"/>
      <c r="EP54" s="420"/>
      <c r="EQ54" s="420"/>
      <c r="ER54" s="420"/>
      <c r="ES54" s="420"/>
      <c r="ET54" s="420"/>
      <c r="EU54" s="420"/>
      <c r="EV54" s="420"/>
      <c r="EW54" s="420"/>
      <c r="EX54" s="420"/>
      <c r="EY54" s="420"/>
      <c r="EZ54" s="420"/>
      <c r="FA54" s="420"/>
      <c r="FB54" s="420"/>
      <c r="FC54" s="420"/>
      <c r="FD54" s="420"/>
      <c r="FE54" s="420"/>
      <c r="FF54" s="420"/>
      <c r="FG54" s="420"/>
      <c r="FH54" s="420"/>
      <c r="FI54" s="420"/>
      <c r="FJ54" s="420"/>
      <c r="FK54" s="420"/>
      <c r="FL54" s="420"/>
      <c r="FM54" s="420"/>
      <c r="FN54" s="420"/>
      <c r="FO54" s="420"/>
      <c r="FP54" s="420"/>
      <c r="FQ54" s="420"/>
      <c r="FR54" s="420"/>
      <c r="FS54" s="420"/>
      <c r="FT54" s="420"/>
      <c r="FU54" s="420"/>
      <c r="FV54" s="420"/>
      <c r="FW54" s="420"/>
      <c r="FX54" s="420"/>
      <c r="FY54" s="420"/>
      <c r="FZ54" s="420"/>
      <c r="GA54" s="420"/>
      <c r="GB54" s="420"/>
      <c r="GC54" s="420"/>
      <c r="GD54" s="420"/>
      <c r="GE54" s="420"/>
      <c r="GF54" s="420"/>
      <c r="GG54" s="420"/>
      <c r="GH54" s="420"/>
      <c r="GI54" s="420"/>
      <c r="GJ54" s="420"/>
      <c r="GK54" s="420"/>
      <c r="GL54" s="420"/>
      <c r="GM54" s="420"/>
      <c r="GN54" s="420"/>
      <c r="GO54" s="420"/>
      <c r="GP54" s="420"/>
      <c r="GQ54" s="420"/>
      <c r="GR54" s="420"/>
      <c r="GS54" s="420"/>
      <c r="GT54" s="420"/>
      <c r="GU54" s="420"/>
      <c r="GV54" s="420"/>
      <c r="GW54" s="420"/>
      <c r="GX54" s="420"/>
      <c r="GY54" s="420"/>
      <c r="GZ54" s="420"/>
      <c r="HA54" s="420"/>
      <c r="HB54" s="420"/>
      <c r="HC54" s="420"/>
      <c r="HD54" s="420"/>
      <c r="HE54" s="420"/>
      <c r="HF54" s="420"/>
      <c r="HG54" s="420"/>
      <c r="HH54" s="420"/>
      <c r="HI54" s="420"/>
      <c r="HJ54" s="420"/>
      <c r="HK54" s="420"/>
      <c r="HL54" s="420"/>
      <c r="HM54" s="420"/>
      <c r="HN54" s="420"/>
      <c r="HO54" s="420"/>
      <c r="HP54" s="420"/>
      <c r="HQ54" s="420"/>
      <c r="HR54" s="420"/>
      <c r="HS54" s="420"/>
      <c r="HT54" s="420"/>
      <c r="HU54" s="420"/>
      <c r="HV54" s="420"/>
      <c r="HW54" s="420"/>
      <c r="HX54" s="420"/>
      <c r="HY54" s="420"/>
      <c r="HZ54" s="420"/>
      <c r="IA54" s="420"/>
      <c r="IB54" s="420"/>
      <c r="IC54" s="420"/>
      <c r="ID54" s="420"/>
      <c r="IE54" s="420"/>
      <c r="IF54" s="420"/>
      <c r="IG54" s="420"/>
      <c r="IH54" s="420"/>
      <c r="II54" s="420"/>
      <c r="IJ54" s="420"/>
      <c r="IK54" s="420"/>
      <c r="IL54" s="420"/>
      <c r="IM54" s="420"/>
      <c r="IN54" s="420"/>
      <c r="IO54" s="420"/>
      <c r="IP54" s="420"/>
      <c r="IQ54" s="420"/>
      <c r="IR54" s="420"/>
      <c r="IS54" s="420"/>
      <c r="IT54" s="420"/>
      <c r="IU54" s="420"/>
      <c r="IV54" s="420"/>
      <c r="IW54" s="420"/>
      <c r="IX54" s="420"/>
      <c r="IY54" s="420"/>
      <c r="IZ54" s="420"/>
      <c r="JA54" s="420"/>
    </row>
    <row r="55" spans="1:261" s="768" customFormat="1" ht="22.5" customHeight="1" x14ac:dyDescent="0.35">
      <c r="A55" s="783">
        <v>47</v>
      </c>
      <c r="B55" s="776"/>
      <c r="C55" s="466">
        <v>10</v>
      </c>
      <c r="D55" s="780" t="s">
        <v>835</v>
      </c>
      <c r="E55" s="432"/>
      <c r="F55" s="772"/>
      <c r="G55" s="433"/>
      <c r="H55" s="1009" t="s">
        <v>24</v>
      </c>
      <c r="I55" s="1027"/>
      <c r="J55" s="1023"/>
      <c r="K55" s="1023"/>
      <c r="L55" s="1023"/>
      <c r="M55" s="1023"/>
      <c r="N55" s="1023"/>
      <c r="O55" s="992"/>
      <c r="P55" s="773"/>
      <c r="Q55" s="420"/>
      <c r="R55" s="420"/>
      <c r="S55" s="420"/>
      <c r="T55" s="420"/>
      <c r="U55" s="420"/>
      <c r="V55" s="420"/>
      <c r="W55" s="420"/>
      <c r="X55" s="420"/>
      <c r="Y55" s="420"/>
      <c r="Z55" s="420"/>
      <c r="AA55" s="420"/>
      <c r="AB55" s="420"/>
      <c r="AC55" s="420"/>
      <c r="AD55" s="420"/>
      <c r="AE55" s="420"/>
      <c r="AF55" s="420"/>
      <c r="AG55" s="420"/>
      <c r="AH55" s="420"/>
      <c r="AI55" s="420"/>
      <c r="AJ55" s="420"/>
      <c r="AK55" s="420"/>
      <c r="AL55" s="420"/>
      <c r="AM55" s="420"/>
      <c r="AN55" s="420"/>
      <c r="AO55" s="420"/>
      <c r="AP55" s="420"/>
      <c r="AQ55" s="420"/>
      <c r="AR55" s="420"/>
      <c r="AS55" s="420"/>
      <c r="AT55" s="420"/>
      <c r="AU55" s="420"/>
      <c r="AV55" s="420"/>
      <c r="AW55" s="420"/>
      <c r="AX55" s="420"/>
      <c r="AY55" s="420"/>
      <c r="AZ55" s="420"/>
      <c r="BA55" s="420"/>
      <c r="BB55" s="420"/>
      <c r="BC55" s="420"/>
      <c r="BD55" s="420"/>
      <c r="BE55" s="420"/>
      <c r="BF55" s="420"/>
      <c r="BG55" s="420"/>
      <c r="BH55" s="420"/>
      <c r="BI55" s="420"/>
      <c r="BJ55" s="420"/>
      <c r="BK55" s="420"/>
      <c r="BL55" s="420"/>
      <c r="BM55" s="420"/>
      <c r="BN55" s="420"/>
      <c r="BO55" s="420"/>
      <c r="BP55" s="420"/>
      <c r="BQ55" s="420"/>
      <c r="BR55" s="420"/>
      <c r="BS55" s="420"/>
      <c r="BT55" s="420"/>
      <c r="BU55" s="420"/>
      <c r="BV55" s="420"/>
      <c r="BW55" s="420"/>
      <c r="BX55" s="420"/>
      <c r="BY55" s="420"/>
      <c r="BZ55" s="420"/>
      <c r="CA55" s="420"/>
      <c r="CB55" s="420"/>
      <c r="CC55" s="420"/>
      <c r="CD55" s="420"/>
      <c r="CE55" s="420"/>
      <c r="CF55" s="420"/>
      <c r="CG55" s="420"/>
      <c r="CH55" s="420"/>
      <c r="CI55" s="420"/>
      <c r="CJ55" s="420"/>
      <c r="CK55" s="420"/>
      <c r="CL55" s="420"/>
      <c r="CM55" s="420"/>
      <c r="CN55" s="420"/>
      <c r="CO55" s="420"/>
      <c r="CP55" s="420"/>
      <c r="CQ55" s="420"/>
      <c r="CR55" s="420"/>
      <c r="CS55" s="420"/>
      <c r="CT55" s="420"/>
      <c r="CU55" s="420"/>
      <c r="CV55" s="420"/>
      <c r="CW55" s="420"/>
      <c r="CX55" s="420"/>
      <c r="CY55" s="420"/>
      <c r="CZ55" s="420"/>
      <c r="DA55" s="420"/>
      <c r="DB55" s="420"/>
      <c r="DC55" s="420"/>
      <c r="DD55" s="420"/>
      <c r="DE55" s="420"/>
      <c r="DF55" s="420"/>
      <c r="DG55" s="420"/>
      <c r="DH55" s="420"/>
      <c r="DI55" s="420"/>
      <c r="DJ55" s="420"/>
      <c r="DK55" s="420"/>
      <c r="DL55" s="420"/>
      <c r="DM55" s="420"/>
      <c r="DN55" s="420"/>
      <c r="DO55" s="420"/>
      <c r="DP55" s="420"/>
      <c r="DQ55" s="420"/>
      <c r="DR55" s="420"/>
      <c r="DS55" s="420"/>
      <c r="DT55" s="420"/>
      <c r="DU55" s="420"/>
      <c r="DV55" s="420"/>
      <c r="DW55" s="420"/>
      <c r="DX55" s="420"/>
      <c r="DY55" s="420"/>
      <c r="DZ55" s="420"/>
      <c r="EA55" s="420"/>
      <c r="EB55" s="420"/>
      <c r="EC55" s="420"/>
      <c r="ED55" s="420"/>
      <c r="EE55" s="420"/>
      <c r="EF55" s="420"/>
      <c r="EG55" s="420"/>
      <c r="EH55" s="420"/>
      <c r="EI55" s="420"/>
      <c r="EJ55" s="420"/>
      <c r="EK55" s="420"/>
      <c r="EL55" s="420"/>
      <c r="EM55" s="420"/>
      <c r="EN55" s="420"/>
      <c r="EO55" s="420"/>
      <c r="EP55" s="420"/>
      <c r="EQ55" s="420"/>
      <c r="ER55" s="420"/>
      <c r="ES55" s="420"/>
      <c r="ET55" s="420"/>
      <c r="EU55" s="420"/>
      <c r="EV55" s="420"/>
      <c r="EW55" s="420"/>
      <c r="EX55" s="420"/>
      <c r="EY55" s="420"/>
      <c r="EZ55" s="420"/>
      <c r="FA55" s="420"/>
      <c r="FB55" s="420"/>
      <c r="FC55" s="420"/>
      <c r="FD55" s="420"/>
      <c r="FE55" s="420"/>
      <c r="FF55" s="420"/>
      <c r="FG55" s="420"/>
      <c r="FH55" s="420"/>
      <c r="FI55" s="420"/>
      <c r="FJ55" s="420"/>
      <c r="FK55" s="420"/>
      <c r="FL55" s="420"/>
      <c r="FM55" s="420"/>
      <c r="FN55" s="420"/>
      <c r="FO55" s="420"/>
      <c r="FP55" s="420"/>
      <c r="FQ55" s="420"/>
      <c r="FR55" s="420"/>
      <c r="FS55" s="420"/>
      <c r="FT55" s="420"/>
      <c r="FU55" s="420"/>
      <c r="FV55" s="420"/>
      <c r="FW55" s="420"/>
      <c r="FX55" s="420"/>
      <c r="FY55" s="420"/>
      <c r="FZ55" s="420"/>
      <c r="GA55" s="420"/>
      <c r="GB55" s="420"/>
      <c r="GC55" s="420"/>
      <c r="GD55" s="420"/>
      <c r="GE55" s="420"/>
      <c r="GF55" s="420"/>
      <c r="GG55" s="420"/>
      <c r="GH55" s="420"/>
      <c r="GI55" s="420"/>
      <c r="GJ55" s="420"/>
      <c r="GK55" s="420"/>
      <c r="GL55" s="420"/>
      <c r="GM55" s="420"/>
      <c r="GN55" s="420"/>
      <c r="GO55" s="420"/>
      <c r="GP55" s="420"/>
      <c r="GQ55" s="420"/>
      <c r="GR55" s="420"/>
      <c r="GS55" s="420"/>
      <c r="GT55" s="420"/>
      <c r="GU55" s="420"/>
      <c r="GV55" s="420"/>
      <c r="GW55" s="420"/>
      <c r="GX55" s="420"/>
      <c r="GY55" s="420"/>
      <c r="GZ55" s="420"/>
      <c r="HA55" s="420"/>
      <c r="HB55" s="420"/>
      <c r="HC55" s="420"/>
      <c r="HD55" s="420"/>
      <c r="HE55" s="420"/>
      <c r="HF55" s="420"/>
      <c r="HG55" s="420"/>
      <c r="HH55" s="420"/>
      <c r="HI55" s="420"/>
      <c r="HJ55" s="420"/>
      <c r="HK55" s="420"/>
      <c r="HL55" s="420"/>
      <c r="HM55" s="420"/>
      <c r="HN55" s="420"/>
      <c r="HO55" s="420"/>
      <c r="HP55" s="420"/>
      <c r="HQ55" s="420"/>
      <c r="HR55" s="420"/>
      <c r="HS55" s="420"/>
      <c r="HT55" s="420"/>
      <c r="HU55" s="420"/>
      <c r="HV55" s="420"/>
      <c r="HW55" s="420"/>
      <c r="HX55" s="420"/>
      <c r="HY55" s="420"/>
      <c r="HZ55" s="420"/>
      <c r="IA55" s="420"/>
      <c r="IB55" s="420"/>
      <c r="IC55" s="420"/>
      <c r="ID55" s="420"/>
      <c r="IE55" s="420"/>
      <c r="IF55" s="420"/>
      <c r="IG55" s="420"/>
      <c r="IH55" s="420"/>
      <c r="II55" s="420"/>
      <c r="IJ55" s="420"/>
      <c r="IK55" s="420"/>
      <c r="IL55" s="420"/>
      <c r="IM55" s="420"/>
      <c r="IN55" s="420"/>
      <c r="IO55" s="420"/>
      <c r="IP55" s="420"/>
      <c r="IQ55" s="420"/>
      <c r="IR55" s="420"/>
      <c r="IS55" s="420"/>
      <c r="IT55" s="420"/>
      <c r="IU55" s="420"/>
      <c r="IV55" s="420"/>
      <c r="IW55" s="420"/>
      <c r="IX55" s="420"/>
      <c r="IY55" s="420"/>
      <c r="IZ55" s="420"/>
      <c r="JA55" s="420"/>
    </row>
    <row r="56" spans="1:261" s="768" customFormat="1" ht="18" customHeight="1" x14ac:dyDescent="0.35">
      <c r="A56" s="783">
        <v>48</v>
      </c>
      <c r="B56" s="776"/>
      <c r="C56" s="422"/>
      <c r="D56" s="1002" t="s">
        <v>311</v>
      </c>
      <c r="E56" s="432">
        <f>F56+G56+O59+P56</f>
        <v>1905</v>
      </c>
      <c r="F56" s="772"/>
      <c r="G56" s="433"/>
      <c r="H56" s="1009"/>
      <c r="I56" s="1027"/>
      <c r="J56" s="1023"/>
      <c r="K56" s="1023"/>
      <c r="L56" s="1023"/>
      <c r="M56" s="1023">
        <v>1905</v>
      </c>
      <c r="N56" s="1023"/>
      <c r="O56" s="992">
        <f>SUM(I56:N56)</f>
        <v>1905</v>
      </c>
      <c r="P56" s="773"/>
      <c r="Q56" s="420"/>
      <c r="R56" s="420"/>
      <c r="S56" s="420"/>
      <c r="T56" s="420"/>
      <c r="U56" s="420"/>
      <c r="V56" s="420"/>
      <c r="W56" s="420"/>
      <c r="X56" s="420"/>
      <c r="Y56" s="420"/>
      <c r="Z56" s="420"/>
      <c r="AA56" s="420"/>
      <c r="AB56" s="420"/>
      <c r="AC56" s="420"/>
      <c r="AD56" s="420"/>
      <c r="AE56" s="420"/>
      <c r="AF56" s="420"/>
      <c r="AG56" s="420"/>
      <c r="AH56" s="420"/>
      <c r="AI56" s="420"/>
      <c r="AJ56" s="420"/>
      <c r="AK56" s="420"/>
      <c r="AL56" s="420"/>
      <c r="AM56" s="420"/>
      <c r="AN56" s="420"/>
      <c r="AO56" s="420"/>
      <c r="AP56" s="420"/>
      <c r="AQ56" s="420"/>
      <c r="AR56" s="420"/>
      <c r="AS56" s="420"/>
      <c r="AT56" s="420"/>
      <c r="AU56" s="420"/>
      <c r="AV56" s="420"/>
      <c r="AW56" s="420"/>
      <c r="AX56" s="420"/>
      <c r="AY56" s="420"/>
      <c r="AZ56" s="420"/>
      <c r="BA56" s="420"/>
      <c r="BB56" s="420"/>
      <c r="BC56" s="420"/>
      <c r="BD56" s="420"/>
      <c r="BE56" s="420"/>
      <c r="BF56" s="420"/>
      <c r="BG56" s="420"/>
      <c r="BH56" s="420"/>
      <c r="BI56" s="420"/>
      <c r="BJ56" s="420"/>
      <c r="BK56" s="420"/>
      <c r="BL56" s="420"/>
      <c r="BM56" s="420"/>
      <c r="BN56" s="420"/>
      <c r="BO56" s="420"/>
      <c r="BP56" s="420"/>
      <c r="BQ56" s="420"/>
      <c r="BR56" s="420"/>
      <c r="BS56" s="420"/>
      <c r="BT56" s="420"/>
      <c r="BU56" s="420"/>
      <c r="BV56" s="420"/>
      <c r="BW56" s="420"/>
      <c r="BX56" s="420"/>
      <c r="BY56" s="420"/>
      <c r="BZ56" s="420"/>
      <c r="CA56" s="420"/>
      <c r="CB56" s="420"/>
      <c r="CC56" s="420"/>
      <c r="CD56" s="420"/>
      <c r="CE56" s="420"/>
      <c r="CF56" s="420"/>
      <c r="CG56" s="420"/>
      <c r="CH56" s="420"/>
      <c r="CI56" s="420"/>
      <c r="CJ56" s="420"/>
      <c r="CK56" s="420"/>
      <c r="CL56" s="420"/>
      <c r="CM56" s="420"/>
      <c r="CN56" s="420"/>
      <c r="CO56" s="420"/>
      <c r="CP56" s="420"/>
      <c r="CQ56" s="420"/>
      <c r="CR56" s="420"/>
      <c r="CS56" s="420"/>
      <c r="CT56" s="420"/>
      <c r="CU56" s="420"/>
      <c r="CV56" s="420"/>
      <c r="CW56" s="420"/>
      <c r="CX56" s="420"/>
      <c r="CY56" s="420"/>
      <c r="CZ56" s="420"/>
      <c r="DA56" s="420"/>
      <c r="DB56" s="420"/>
      <c r="DC56" s="420"/>
      <c r="DD56" s="420"/>
      <c r="DE56" s="420"/>
      <c r="DF56" s="420"/>
      <c r="DG56" s="420"/>
      <c r="DH56" s="420"/>
      <c r="DI56" s="420"/>
      <c r="DJ56" s="420"/>
      <c r="DK56" s="420"/>
      <c r="DL56" s="420"/>
      <c r="DM56" s="420"/>
      <c r="DN56" s="420"/>
      <c r="DO56" s="420"/>
      <c r="DP56" s="420"/>
      <c r="DQ56" s="420"/>
      <c r="DR56" s="420"/>
      <c r="DS56" s="420"/>
      <c r="DT56" s="420"/>
      <c r="DU56" s="420"/>
      <c r="DV56" s="420"/>
      <c r="DW56" s="420"/>
      <c r="DX56" s="420"/>
      <c r="DY56" s="420"/>
      <c r="DZ56" s="420"/>
      <c r="EA56" s="420"/>
      <c r="EB56" s="420"/>
      <c r="EC56" s="420"/>
      <c r="ED56" s="420"/>
      <c r="EE56" s="420"/>
      <c r="EF56" s="420"/>
      <c r="EG56" s="420"/>
      <c r="EH56" s="420"/>
      <c r="EI56" s="420"/>
      <c r="EJ56" s="420"/>
      <c r="EK56" s="420"/>
      <c r="EL56" s="420"/>
      <c r="EM56" s="420"/>
      <c r="EN56" s="420"/>
      <c r="EO56" s="420"/>
      <c r="EP56" s="420"/>
      <c r="EQ56" s="420"/>
      <c r="ER56" s="420"/>
      <c r="ES56" s="420"/>
      <c r="ET56" s="420"/>
      <c r="EU56" s="420"/>
      <c r="EV56" s="420"/>
      <c r="EW56" s="420"/>
      <c r="EX56" s="420"/>
      <c r="EY56" s="420"/>
      <c r="EZ56" s="420"/>
      <c r="FA56" s="420"/>
      <c r="FB56" s="420"/>
      <c r="FC56" s="420"/>
      <c r="FD56" s="420"/>
      <c r="FE56" s="420"/>
      <c r="FF56" s="420"/>
      <c r="FG56" s="420"/>
      <c r="FH56" s="420"/>
      <c r="FI56" s="420"/>
      <c r="FJ56" s="420"/>
      <c r="FK56" s="420"/>
      <c r="FL56" s="420"/>
      <c r="FM56" s="420"/>
      <c r="FN56" s="420"/>
      <c r="FO56" s="420"/>
      <c r="FP56" s="420"/>
      <c r="FQ56" s="420"/>
      <c r="FR56" s="420"/>
      <c r="FS56" s="420"/>
      <c r="FT56" s="420"/>
      <c r="FU56" s="420"/>
      <c r="FV56" s="420"/>
      <c r="FW56" s="420"/>
      <c r="FX56" s="420"/>
      <c r="FY56" s="420"/>
      <c r="FZ56" s="420"/>
      <c r="GA56" s="420"/>
      <c r="GB56" s="420"/>
      <c r="GC56" s="420"/>
      <c r="GD56" s="420"/>
      <c r="GE56" s="420"/>
      <c r="GF56" s="420"/>
      <c r="GG56" s="420"/>
      <c r="GH56" s="420"/>
      <c r="GI56" s="420"/>
      <c r="GJ56" s="420"/>
      <c r="GK56" s="420"/>
      <c r="GL56" s="420"/>
      <c r="GM56" s="420"/>
      <c r="GN56" s="420"/>
      <c r="GO56" s="420"/>
      <c r="GP56" s="420"/>
      <c r="GQ56" s="420"/>
      <c r="GR56" s="420"/>
      <c r="GS56" s="420"/>
      <c r="GT56" s="420"/>
      <c r="GU56" s="420"/>
      <c r="GV56" s="420"/>
      <c r="GW56" s="420"/>
      <c r="GX56" s="420"/>
      <c r="GY56" s="420"/>
      <c r="GZ56" s="420"/>
      <c r="HA56" s="420"/>
      <c r="HB56" s="420"/>
      <c r="HC56" s="420"/>
      <c r="HD56" s="420"/>
      <c r="HE56" s="420"/>
      <c r="HF56" s="420"/>
      <c r="HG56" s="420"/>
      <c r="HH56" s="420"/>
      <c r="HI56" s="420"/>
      <c r="HJ56" s="420"/>
      <c r="HK56" s="420"/>
      <c r="HL56" s="420"/>
      <c r="HM56" s="420"/>
      <c r="HN56" s="420"/>
      <c r="HO56" s="420"/>
      <c r="HP56" s="420"/>
      <c r="HQ56" s="420"/>
      <c r="HR56" s="420"/>
      <c r="HS56" s="420"/>
      <c r="HT56" s="420"/>
      <c r="HU56" s="420"/>
      <c r="HV56" s="420"/>
      <c r="HW56" s="420"/>
      <c r="HX56" s="420"/>
      <c r="HY56" s="420"/>
      <c r="HZ56" s="420"/>
      <c r="IA56" s="420"/>
      <c r="IB56" s="420"/>
      <c r="IC56" s="420"/>
      <c r="ID56" s="420"/>
      <c r="IE56" s="420"/>
      <c r="IF56" s="420"/>
      <c r="IG56" s="420"/>
      <c r="IH56" s="420"/>
      <c r="II56" s="420"/>
      <c r="IJ56" s="420"/>
      <c r="IK56" s="420"/>
      <c r="IL56" s="420"/>
      <c r="IM56" s="420"/>
      <c r="IN56" s="420"/>
      <c r="IO56" s="420"/>
      <c r="IP56" s="420"/>
      <c r="IQ56" s="420"/>
      <c r="IR56" s="420"/>
      <c r="IS56" s="420"/>
      <c r="IT56" s="420"/>
      <c r="IU56" s="420"/>
      <c r="IV56" s="420"/>
      <c r="IW56" s="420"/>
      <c r="IX56" s="420"/>
      <c r="IY56" s="420"/>
      <c r="IZ56" s="420"/>
      <c r="JA56" s="420"/>
    </row>
    <row r="57" spans="1:261" s="768" customFormat="1" ht="18" customHeight="1" x14ac:dyDescent="0.35">
      <c r="A57" s="783">
        <v>49</v>
      </c>
      <c r="B57" s="776"/>
      <c r="C57" s="422"/>
      <c r="D57" s="583" t="s">
        <v>1072</v>
      </c>
      <c r="E57" s="432"/>
      <c r="F57" s="772"/>
      <c r="G57" s="433"/>
      <c r="H57" s="1009"/>
      <c r="I57" s="1027"/>
      <c r="J57" s="1023"/>
      <c r="K57" s="1023"/>
      <c r="L57" s="1023"/>
      <c r="M57" s="1548">
        <v>1905</v>
      </c>
      <c r="N57" s="1548"/>
      <c r="O57" s="777">
        <f>SUM(I57:N57)</f>
        <v>1905</v>
      </c>
      <c r="P57" s="773"/>
      <c r="Q57" s="420"/>
      <c r="R57" s="420"/>
      <c r="S57" s="420"/>
      <c r="T57" s="420"/>
      <c r="U57" s="420"/>
      <c r="V57" s="420"/>
      <c r="W57" s="420"/>
      <c r="X57" s="420"/>
      <c r="Y57" s="420"/>
      <c r="Z57" s="420"/>
      <c r="AA57" s="420"/>
      <c r="AB57" s="420"/>
      <c r="AC57" s="420"/>
      <c r="AD57" s="420"/>
      <c r="AE57" s="420"/>
      <c r="AF57" s="420"/>
      <c r="AG57" s="420"/>
      <c r="AH57" s="420"/>
      <c r="AI57" s="420"/>
      <c r="AJ57" s="420"/>
      <c r="AK57" s="420"/>
      <c r="AL57" s="420"/>
      <c r="AM57" s="420"/>
      <c r="AN57" s="420"/>
      <c r="AO57" s="420"/>
      <c r="AP57" s="420"/>
      <c r="AQ57" s="420"/>
      <c r="AR57" s="420"/>
      <c r="AS57" s="420"/>
      <c r="AT57" s="420"/>
      <c r="AU57" s="420"/>
      <c r="AV57" s="420"/>
      <c r="AW57" s="420"/>
      <c r="AX57" s="420"/>
      <c r="AY57" s="420"/>
      <c r="AZ57" s="420"/>
      <c r="BA57" s="420"/>
      <c r="BB57" s="420"/>
      <c r="BC57" s="420"/>
      <c r="BD57" s="420"/>
      <c r="BE57" s="420"/>
      <c r="BF57" s="420"/>
      <c r="BG57" s="420"/>
      <c r="BH57" s="420"/>
      <c r="BI57" s="420"/>
      <c r="BJ57" s="420"/>
      <c r="BK57" s="420"/>
      <c r="BL57" s="420"/>
      <c r="BM57" s="420"/>
      <c r="BN57" s="420"/>
      <c r="BO57" s="420"/>
      <c r="BP57" s="420"/>
      <c r="BQ57" s="420"/>
      <c r="BR57" s="420"/>
      <c r="BS57" s="420"/>
      <c r="BT57" s="420"/>
      <c r="BU57" s="420"/>
      <c r="BV57" s="420"/>
      <c r="BW57" s="420"/>
      <c r="BX57" s="420"/>
      <c r="BY57" s="420"/>
      <c r="BZ57" s="420"/>
      <c r="CA57" s="420"/>
      <c r="CB57" s="420"/>
      <c r="CC57" s="420"/>
      <c r="CD57" s="420"/>
      <c r="CE57" s="420"/>
      <c r="CF57" s="420"/>
      <c r="CG57" s="420"/>
      <c r="CH57" s="420"/>
      <c r="CI57" s="420"/>
      <c r="CJ57" s="420"/>
      <c r="CK57" s="420"/>
      <c r="CL57" s="420"/>
      <c r="CM57" s="420"/>
      <c r="CN57" s="420"/>
      <c r="CO57" s="420"/>
      <c r="CP57" s="420"/>
      <c r="CQ57" s="420"/>
      <c r="CR57" s="420"/>
      <c r="CS57" s="420"/>
      <c r="CT57" s="420"/>
      <c r="CU57" s="420"/>
      <c r="CV57" s="420"/>
      <c r="CW57" s="420"/>
      <c r="CX57" s="420"/>
      <c r="CY57" s="420"/>
      <c r="CZ57" s="420"/>
      <c r="DA57" s="420"/>
      <c r="DB57" s="420"/>
      <c r="DC57" s="420"/>
      <c r="DD57" s="420"/>
      <c r="DE57" s="420"/>
      <c r="DF57" s="420"/>
      <c r="DG57" s="420"/>
      <c r="DH57" s="420"/>
      <c r="DI57" s="420"/>
      <c r="DJ57" s="420"/>
      <c r="DK57" s="420"/>
      <c r="DL57" s="420"/>
      <c r="DM57" s="420"/>
      <c r="DN57" s="420"/>
      <c r="DO57" s="420"/>
      <c r="DP57" s="420"/>
      <c r="DQ57" s="420"/>
      <c r="DR57" s="420"/>
      <c r="DS57" s="420"/>
      <c r="DT57" s="420"/>
      <c r="DU57" s="420"/>
      <c r="DV57" s="420"/>
      <c r="DW57" s="420"/>
      <c r="DX57" s="420"/>
      <c r="DY57" s="420"/>
      <c r="DZ57" s="420"/>
      <c r="EA57" s="420"/>
      <c r="EB57" s="420"/>
      <c r="EC57" s="420"/>
      <c r="ED57" s="420"/>
      <c r="EE57" s="420"/>
      <c r="EF57" s="420"/>
      <c r="EG57" s="420"/>
      <c r="EH57" s="420"/>
      <c r="EI57" s="420"/>
      <c r="EJ57" s="420"/>
      <c r="EK57" s="420"/>
      <c r="EL57" s="420"/>
      <c r="EM57" s="420"/>
      <c r="EN57" s="420"/>
      <c r="EO57" s="420"/>
      <c r="EP57" s="420"/>
      <c r="EQ57" s="420"/>
      <c r="ER57" s="420"/>
      <c r="ES57" s="420"/>
      <c r="ET57" s="420"/>
      <c r="EU57" s="420"/>
      <c r="EV57" s="420"/>
      <c r="EW57" s="420"/>
      <c r="EX57" s="420"/>
      <c r="EY57" s="420"/>
      <c r="EZ57" s="420"/>
      <c r="FA57" s="420"/>
      <c r="FB57" s="420"/>
      <c r="FC57" s="420"/>
      <c r="FD57" s="420"/>
      <c r="FE57" s="420"/>
      <c r="FF57" s="420"/>
      <c r="FG57" s="420"/>
      <c r="FH57" s="420"/>
      <c r="FI57" s="420"/>
      <c r="FJ57" s="420"/>
      <c r="FK57" s="420"/>
      <c r="FL57" s="420"/>
      <c r="FM57" s="420"/>
      <c r="FN57" s="420"/>
      <c r="FO57" s="420"/>
      <c r="FP57" s="420"/>
      <c r="FQ57" s="420"/>
      <c r="FR57" s="420"/>
      <c r="FS57" s="420"/>
      <c r="FT57" s="420"/>
      <c r="FU57" s="420"/>
      <c r="FV57" s="420"/>
      <c r="FW57" s="420"/>
      <c r="FX57" s="420"/>
      <c r="FY57" s="420"/>
      <c r="FZ57" s="420"/>
      <c r="GA57" s="420"/>
      <c r="GB57" s="420"/>
      <c r="GC57" s="420"/>
      <c r="GD57" s="420"/>
      <c r="GE57" s="420"/>
      <c r="GF57" s="420"/>
      <c r="GG57" s="420"/>
      <c r="GH57" s="420"/>
      <c r="GI57" s="420"/>
      <c r="GJ57" s="420"/>
      <c r="GK57" s="420"/>
      <c r="GL57" s="420"/>
      <c r="GM57" s="420"/>
      <c r="GN57" s="420"/>
      <c r="GO57" s="420"/>
      <c r="GP57" s="420"/>
      <c r="GQ57" s="420"/>
      <c r="GR57" s="420"/>
      <c r="GS57" s="420"/>
      <c r="GT57" s="420"/>
      <c r="GU57" s="420"/>
      <c r="GV57" s="420"/>
      <c r="GW57" s="420"/>
      <c r="GX57" s="420"/>
      <c r="GY57" s="420"/>
      <c r="GZ57" s="420"/>
      <c r="HA57" s="420"/>
      <c r="HB57" s="420"/>
      <c r="HC57" s="420"/>
      <c r="HD57" s="420"/>
      <c r="HE57" s="420"/>
      <c r="HF57" s="420"/>
      <c r="HG57" s="420"/>
      <c r="HH57" s="420"/>
      <c r="HI57" s="420"/>
      <c r="HJ57" s="420"/>
      <c r="HK57" s="420"/>
      <c r="HL57" s="420"/>
      <c r="HM57" s="420"/>
      <c r="HN57" s="420"/>
      <c r="HO57" s="420"/>
      <c r="HP57" s="420"/>
      <c r="HQ57" s="420"/>
      <c r="HR57" s="420"/>
      <c r="HS57" s="420"/>
      <c r="HT57" s="420"/>
      <c r="HU57" s="420"/>
      <c r="HV57" s="420"/>
      <c r="HW57" s="420"/>
      <c r="HX57" s="420"/>
      <c r="HY57" s="420"/>
      <c r="HZ57" s="420"/>
      <c r="IA57" s="420"/>
      <c r="IB57" s="420"/>
      <c r="IC57" s="420"/>
      <c r="ID57" s="420"/>
      <c r="IE57" s="420"/>
      <c r="IF57" s="420"/>
      <c r="IG57" s="420"/>
      <c r="IH57" s="420"/>
      <c r="II57" s="420"/>
      <c r="IJ57" s="420"/>
      <c r="IK57" s="420"/>
      <c r="IL57" s="420"/>
      <c r="IM57" s="420"/>
      <c r="IN57" s="420"/>
      <c r="IO57" s="420"/>
      <c r="IP57" s="420"/>
      <c r="IQ57" s="420"/>
      <c r="IR57" s="420"/>
      <c r="IS57" s="420"/>
      <c r="IT57" s="420"/>
      <c r="IU57" s="420"/>
      <c r="IV57" s="420"/>
      <c r="IW57" s="420"/>
      <c r="IX57" s="420"/>
      <c r="IY57" s="420"/>
      <c r="IZ57" s="420"/>
      <c r="JA57" s="420"/>
    </row>
    <row r="58" spans="1:261" s="768" customFormat="1" ht="18" customHeight="1" x14ac:dyDescent="0.35">
      <c r="A58" s="783">
        <v>50</v>
      </c>
      <c r="B58" s="776"/>
      <c r="C58" s="422"/>
      <c r="D58" s="1338" t="s">
        <v>963</v>
      </c>
      <c r="E58" s="432"/>
      <c r="F58" s="772"/>
      <c r="G58" s="433"/>
      <c r="H58" s="1009"/>
      <c r="I58" s="1005"/>
      <c r="J58" s="769"/>
      <c r="K58" s="769"/>
      <c r="L58" s="769"/>
      <c r="M58" s="769"/>
      <c r="N58" s="769"/>
      <c r="O58" s="777">
        <f>SUM(I58:N58)</f>
        <v>0</v>
      </c>
      <c r="P58" s="773"/>
      <c r="Q58" s="420"/>
      <c r="R58" s="420"/>
      <c r="S58" s="420"/>
      <c r="T58" s="420"/>
      <c r="U58" s="420"/>
      <c r="V58" s="420"/>
      <c r="W58" s="420"/>
      <c r="X58" s="420"/>
      <c r="Y58" s="420"/>
      <c r="Z58" s="420"/>
      <c r="AA58" s="420"/>
      <c r="AB58" s="420"/>
      <c r="AC58" s="420"/>
      <c r="AD58" s="420"/>
      <c r="AE58" s="420"/>
      <c r="AF58" s="420"/>
      <c r="AG58" s="420"/>
      <c r="AH58" s="420"/>
      <c r="AI58" s="420"/>
      <c r="AJ58" s="420"/>
      <c r="AK58" s="420"/>
      <c r="AL58" s="420"/>
      <c r="AM58" s="420"/>
      <c r="AN58" s="420"/>
      <c r="AO58" s="420"/>
      <c r="AP58" s="420"/>
      <c r="AQ58" s="420"/>
      <c r="AR58" s="420"/>
      <c r="AS58" s="420"/>
      <c r="AT58" s="420"/>
      <c r="AU58" s="420"/>
      <c r="AV58" s="420"/>
      <c r="AW58" s="420"/>
      <c r="AX58" s="420"/>
      <c r="AY58" s="420"/>
      <c r="AZ58" s="420"/>
      <c r="BA58" s="420"/>
      <c r="BB58" s="420"/>
      <c r="BC58" s="420"/>
      <c r="BD58" s="420"/>
      <c r="BE58" s="420"/>
      <c r="BF58" s="420"/>
      <c r="BG58" s="420"/>
      <c r="BH58" s="420"/>
      <c r="BI58" s="420"/>
      <c r="BJ58" s="420"/>
      <c r="BK58" s="420"/>
      <c r="BL58" s="420"/>
      <c r="BM58" s="420"/>
      <c r="BN58" s="420"/>
      <c r="BO58" s="420"/>
      <c r="BP58" s="420"/>
      <c r="BQ58" s="420"/>
      <c r="BR58" s="420"/>
      <c r="BS58" s="420"/>
      <c r="BT58" s="420"/>
      <c r="BU58" s="420"/>
      <c r="BV58" s="420"/>
      <c r="BW58" s="420"/>
      <c r="BX58" s="420"/>
      <c r="BY58" s="420"/>
      <c r="BZ58" s="420"/>
      <c r="CA58" s="420"/>
      <c r="CB58" s="420"/>
      <c r="CC58" s="420"/>
      <c r="CD58" s="420"/>
      <c r="CE58" s="420"/>
      <c r="CF58" s="420"/>
      <c r="CG58" s="420"/>
      <c r="CH58" s="420"/>
      <c r="CI58" s="420"/>
      <c r="CJ58" s="420"/>
      <c r="CK58" s="420"/>
      <c r="CL58" s="420"/>
      <c r="CM58" s="420"/>
      <c r="CN58" s="420"/>
      <c r="CO58" s="420"/>
      <c r="CP58" s="420"/>
      <c r="CQ58" s="420"/>
      <c r="CR58" s="420"/>
      <c r="CS58" s="420"/>
      <c r="CT58" s="420"/>
      <c r="CU58" s="420"/>
      <c r="CV58" s="420"/>
      <c r="CW58" s="420"/>
      <c r="CX58" s="420"/>
      <c r="CY58" s="420"/>
      <c r="CZ58" s="420"/>
      <c r="DA58" s="420"/>
      <c r="DB58" s="420"/>
      <c r="DC58" s="420"/>
      <c r="DD58" s="420"/>
      <c r="DE58" s="420"/>
      <c r="DF58" s="420"/>
      <c r="DG58" s="420"/>
      <c r="DH58" s="420"/>
      <c r="DI58" s="420"/>
      <c r="DJ58" s="420"/>
      <c r="DK58" s="420"/>
      <c r="DL58" s="420"/>
      <c r="DM58" s="420"/>
      <c r="DN58" s="420"/>
      <c r="DO58" s="420"/>
      <c r="DP58" s="420"/>
      <c r="DQ58" s="420"/>
      <c r="DR58" s="420"/>
      <c r="DS58" s="420"/>
      <c r="DT58" s="420"/>
      <c r="DU58" s="420"/>
      <c r="DV58" s="420"/>
      <c r="DW58" s="420"/>
      <c r="DX58" s="420"/>
      <c r="DY58" s="420"/>
      <c r="DZ58" s="420"/>
      <c r="EA58" s="420"/>
      <c r="EB58" s="420"/>
      <c r="EC58" s="420"/>
      <c r="ED58" s="420"/>
      <c r="EE58" s="420"/>
      <c r="EF58" s="420"/>
      <c r="EG58" s="420"/>
      <c r="EH58" s="420"/>
      <c r="EI58" s="420"/>
      <c r="EJ58" s="420"/>
      <c r="EK58" s="420"/>
      <c r="EL58" s="420"/>
      <c r="EM58" s="420"/>
      <c r="EN58" s="420"/>
      <c r="EO58" s="420"/>
      <c r="EP58" s="420"/>
      <c r="EQ58" s="420"/>
      <c r="ER58" s="420"/>
      <c r="ES58" s="420"/>
      <c r="ET58" s="420"/>
      <c r="EU58" s="420"/>
      <c r="EV58" s="420"/>
      <c r="EW58" s="420"/>
      <c r="EX58" s="420"/>
      <c r="EY58" s="420"/>
      <c r="EZ58" s="420"/>
      <c r="FA58" s="420"/>
      <c r="FB58" s="420"/>
      <c r="FC58" s="420"/>
      <c r="FD58" s="420"/>
      <c r="FE58" s="420"/>
      <c r="FF58" s="420"/>
      <c r="FG58" s="420"/>
      <c r="FH58" s="420"/>
      <c r="FI58" s="420"/>
      <c r="FJ58" s="420"/>
      <c r="FK58" s="420"/>
      <c r="FL58" s="420"/>
      <c r="FM58" s="420"/>
      <c r="FN58" s="420"/>
      <c r="FO58" s="420"/>
      <c r="FP58" s="420"/>
      <c r="FQ58" s="420"/>
      <c r="FR58" s="420"/>
      <c r="FS58" s="420"/>
      <c r="FT58" s="420"/>
      <c r="FU58" s="420"/>
      <c r="FV58" s="420"/>
      <c r="FW58" s="420"/>
      <c r="FX58" s="420"/>
      <c r="FY58" s="420"/>
      <c r="FZ58" s="420"/>
      <c r="GA58" s="420"/>
      <c r="GB58" s="420"/>
      <c r="GC58" s="420"/>
      <c r="GD58" s="420"/>
      <c r="GE58" s="420"/>
      <c r="GF58" s="420"/>
      <c r="GG58" s="420"/>
      <c r="GH58" s="420"/>
      <c r="GI58" s="420"/>
      <c r="GJ58" s="420"/>
      <c r="GK58" s="420"/>
      <c r="GL58" s="420"/>
      <c r="GM58" s="420"/>
      <c r="GN58" s="420"/>
      <c r="GO58" s="420"/>
      <c r="GP58" s="420"/>
      <c r="GQ58" s="420"/>
      <c r="GR58" s="420"/>
      <c r="GS58" s="420"/>
      <c r="GT58" s="420"/>
      <c r="GU58" s="420"/>
      <c r="GV58" s="420"/>
      <c r="GW58" s="420"/>
      <c r="GX58" s="420"/>
      <c r="GY58" s="420"/>
      <c r="GZ58" s="420"/>
      <c r="HA58" s="420"/>
      <c r="HB58" s="420"/>
      <c r="HC58" s="420"/>
      <c r="HD58" s="420"/>
      <c r="HE58" s="420"/>
      <c r="HF58" s="420"/>
      <c r="HG58" s="420"/>
      <c r="HH58" s="420"/>
      <c r="HI58" s="420"/>
      <c r="HJ58" s="420"/>
      <c r="HK58" s="420"/>
      <c r="HL58" s="420"/>
      <c r="HM58" s="420"/>
      <c r="HN58" s="420"/>
      <c r="HO58" s="420"/>
      <c r="HP58" s="420"/>
      <c r="HQ58" s="420"/>
      <c r="HR58" s="420"/>
      <c r="HS58" s="420"/>
      <c r="HT58" s="420"/>
      <c r="HU58" s="420"/>
      <c r="HV58" s="420"/>
      <c r="HW58" s="420"/>
      <c r="HX58" s="420"/>
      <c r="HY58" s="420"/>
      <c r="HZ58" s="420"/>
      <c r="IA58" s="420"/>
      <c r="IB58" s="420"/>
      <c r="IC58" s="420"/>
      <c r="ID58" s="420"/>
      <c r="IE58" s="420"/>
      <c r="IF58" s="420"/>
      <c r="IG58" s="420"/>
      <c r="IH58" s="420"/>
      <c r="II58" s="420"/>
      <c r="IJ58" s="420"/>
      <c r="IK58" s="420"/>
      <c r="IL58" s="420"/>
      <c r="IM58" s="420"/>
      <c r="IN58" s="420"/>
      <c r="IO58" s="420"/>
      <c r="IP58" s="420"/>
      <c r="IQ58" s="420"/>
      <c r="IR58" s="420"/>
      <c r="IS58" s="420"/>
      <c r="IT58" s="420"/>
      <c r="IU58" s="420"/>
      <c r="IV58" s="420"/>
      <c r="IW58" s="420"/>
      <c r="IX58" s="420"/>
      <c r="IY58" s="420"/>
      <c r="IZ58" s="420"/>
      <c r="JA58" s="420"/>
    </row>
    <row r="59" spans="1:261" s="768" customFormat="1" ht="18" customHeight="1" x14ac:dyDescent="0.35">
      <c r="A59" s="783">
        <v>51</v>
      </c>
      <c r="B59" s="776"/>
      <c r="C59" s="422"/>
      <c r="D59" s="583" t="s">
        <v>1151</v>
      </c>
      <c r="E59" s="432"/>
      <c r="F59" s="772"/>
      <c r="G59" s="433"/>
      <c r="H59" s="1009"/>
      <c r="I59" s="1005"/>
      <c r="J59" s="769"/>
      <c r="K59" s="769"/>
      <c r="L59" s="769"/>
      <c r="M59" s="1548">
        <f>SUM(M57:M58)</f>
        <v>1905</v>
      </c>
      <c r="N59" s="769"/>
      <c r="O59" s="777">
        <f>SUM(I59:N59)</f>
        <v>1905</v>
      </c>
      <c r="P59" s="773"/>
      <c r="Q59" s="420"/>
      <c r="R59" s="420"/>
      <c r="S59" s="420"/>
      <c r="T59" s="420"/>
      <c r="U59" s="420"/>
      <c r="V59" s="420"/>
      <c r="W59" s="420"/>
      <c r="X59" s="420"/>
      <c r="Y59" s="420"/>
      <c r="Z59" s="420"/>
      <c r="AA59" s="420"/>
      <c r="AB59" s="420"/>
      <c r="AC59" s="420"/>
      <c r="AD59" s="420"/>
      <c r="AE59" s="420"/>
      <c r="AF59" s="420"/>
      <c r="AG59" s="420"/>
      <c r="AH59" s="420"/>
      <c r="AI59" s="420"/>
      <c r="AJ59" s="420"/>
      <c r="AK59" s="420"/>
      <c r="AL59" s="420"/>
      <c r="AM59" s="420"/>
      <c r="AN59" s="420"/>
      <c r="AO59" s="420"/>
      <c r="AP59" s="420"/>
      <c r="AQ59" s="420"/>
      <c r="AR59" s="420"/>
      <c r="AS59" s="420"/>
      <c r="AT59" s="420"/>
      <c r="AU59" s="420"/>
      <c r="AV59" s="420"/>
      <c r="AW59" s="420"/>
      <c r="AX59" s="420"/>
      <c r="AY59" s="420"/>
      <c r="AZ59" s="420"/>
      <c r="BA59" s="420"/>
      <c r="BB59" s="420"/>
      <c r="BC59" s="420"/>
      <c r="BD59" s="420"/>
      <c r="BE59" s="420"/>
      <c r="BF59" s="420"/>
      <c r="BG59" s="420"/>
      <c r="BH59" s="420"/>
      <c r="BI59" s="420"/>
      <c r="BJ59" s="420"/>
      <c r="BK59" s="420"/>
      <c r="BL59" s="420"/>
      <c r="BM59" s="420"/>
      <c r="BN59" s="420"/>
      <c r="BO59" s="420"/>
      <c r="BP59" s="420"/>
      <c r="BQ59" s="420"/>
      <c r="BR59" s="420"/>
      <c r="BS59" s="420"/>
      <c r="BT59" s="420"/>
      <c r="BU59" s="420"/>
      <c r="BV59" s="420"/>
      <c r="BW59" s="420"/>
      <c r="BX59" s="420"/>
      <c r="BY59" s="420"/>
      <c r="BZ59" s="420"/>
      <c r="CA59" s="420"/>
      <c r="CB59" s="420"/>
      <c r="CC59" s="420"/>
      <c r="CD59" s="420"/>
      <c r="CE59" s="420"/>
      <c r="CF59" s="420"/>
      <c r="CG59" s="420"/>
      <c r="CH59" s="420"/>
      <c r="CI59" s="420"/>
      <c r="CJ59" s="420"/>
      <c r="CK59" s="420"/>
      <c r="CL59" s="420"/>
      <c r="CM59" s="420"/>
      <c r="CN59" s="420"/>
      <c r="CO59" s="420"/>
      <c r="CP59" s="420"/>
      <c r="CQ59" s="420"/>
      <c r="CR59" s="420"/>
      <c r="CS59" s="420"/>
      <c r="CT59" s="420"/>
      <c r="CU59" s="420"/>
      <c r="CV59" s="420"/>
      <c r="CW59" s="420"/>
      <c r="CX59" s="420"/>
      <c r="CY59" s="420"/>
      <c r="CZ59" s="420"/>
      <c r="DA59" s="420"/>
      <c r="DB59" s="420"/>
      <c r="DC59" s="420"/>
      <c r="DD59" s="420"/>
      <c r="DE59" s="420"/>
      <c r="DF59" s="420"/>
      <c r="DG59" s="420"/>
      <c r="DH59" s="420"/>
      <c r="DI59" s="420"/>
      <c r="DJ59" s="420"/>
      <c r="DK59" s="420"/>
      <c r="DL59" s="420"/>
      <c r="DM59" s="420"/>
      <c r="DN59" s="420"/>
      <c r="DO59" s="420"/>
      <c r="DP59" s="420"/>
      <c r="DQ59" s="420"/>
      <c r="DR59" s="420"/>
      <c r="DS59" s="420"/>
      <c r="DT59" s="420"/>
      <c r="DU59" s="420"/>
      <c r="DV59" s="420"/>
      <c r="DW59" s="420"/>
      <c r="DX59" s="420"/>
      <c r="DY59" s="420"/>
      <c r="DZ59" s="420"/>
      <c r="EA59" s="420"/>
      <c r="EB59" s="420"/>
      <c r="EC59" s="420"/>
      <c r="ED59" s="420"/>
      <c r="EE59" s="420"/>
      <c r="EF59" s="420"/>
      <c r="EG59" s="420"/>
      <c r="EH59" s="420"/>
      <c r="EI59" s="420"/>
      <c r="EJ59" s="420"/>
      <c r="EK59" s="420"/>
      <c r="EL59" s="420"/>
      <c r="EM59" s="420"/>
      <c r="EN59" s="420"/>
      <c r="EO59" s="420"/>
      <c r="EP59" s="420"/>
      <c r="EQ59" s="420"/>
      <c r="ER59" s="420"/>
      <c r="ES59" s="420"/>
      <c r="ET59" s="420"/>
      <c r="EU59" s="420"/>
      <c r="EV59" s="420"/>
      <c r="EW59" s="420"/>
      <c r="EX59" s="420"/>
      <c r="EY59" s="420"/>
      <c r="EZ59" s="420"/>
      <c r="FA59" s="420"/>
      <c r="FB59" s="420"/>
      <c r="FC59" s="420"/>
      <c r="FD59" s="420"/>
      <c r="FE59" s="420"/>
      <c r="FF59" s="420"/>
      <c r="FG59" s="420"/>
      <c r="FH59" s="420"/>
      <c r="FI59" s="420"/>
      <c r="FJ59" s="420"/>
      <c r="FK59" s="420"/>
      <c r="FL59" s="420"/>
      <c r="FM59" s="420"/>
      <c r="FN59" s="420"/>
      <c r="FO59" s="420"/>
      <c r="FP59" s="420"/>
      <c r="FQ59" s="420"/>
      <c r="FR59" s="420"/>
      <c r="FS59" s="420"/>
      <c r="FT59" s="420"/>
      <c r="FU59" s="420"/>
      <c r="FV59" s="420"/>
      <c r="FW59" s="420"/>
      <c r="FX59" s="420"/>
      <c r="FY59" s="420"/>
      <c r="FZ59" s="420"/>
      <c r="GA59" s="420"/>
      <c r="GB59" s="420"/>
      <c r="GC59" s="420"/>
      <c r="GD59" s="420"/>
      <c r="GE59" s="420"/>
      <c r="GF59" s="420"/>
      <c r="GG59" s="420"/>
      <c r="GH59" s="420"/>
      <c r="GI59" s="420"/>
      <c r="GJ59" s="420"/>
      <c r="GK59" s="420"/>
      <c r="GL59" s="420"/>
      <c r="GM59" s="420"/>
      <c r="GN59" s="420"/>
      <c r="GO59" s="420"/>
      <c r="GP59" s="420"/>
      <c r="GQ59" s="420"/>
      <c r="GR59" s="420"/>
      <c r="GS59" s="420"/>
      <c r="GT59" s="420"/>
      <c r="GU59" s="420"/>
      <c r="GV59" s="420"/>
      <c r="GW59" s="420"/>
      <c r="GX59" s="420"/>
      <c r="GY59" s="420"/>
      <c r="GZ59" s="420"/>
      <c r="HA59" s="420"/>
      <c r="HB59" s="420"/>
      <c r="HC59" s="420"/>
      <c r="HD59" s="420"/>
      <c r="HE59" s="420"/>
      <c r="HF59" s="420"/>
      <c r="HG59" s="420"/>
      <c r="HH59" s="420"/>
      <c r="HI59" s="420"/>
      <c r="HJ59" s="420"/>
      <c r="HK59" s="420"/>
      <c r="HL59" s="420"/>
      <c r="HM59" s="420"/>
      <c r="HN59" s="420"/>
      <c r="HO59" s="420"/>
      <c r="HP59" s="420"/>
      <c r="HQ59" s="420"/>
      <c r="HR59" s="420"/>
      <c r="HS59" s="420"/>
      <c r="HT59" s="420"/>
      <c r="HU59" s="420"/>
      <c r="HV59" s="420"/>
      <c r="HW59" s="420"/>
      <c r="HX59" s="420"/>
      <c r="HY59" s="420"/>
      <c r="HZ59" s="420"/>
      <c r="IA59" s="420"/>
      <c r="IB59" s="420"/>
      <c r="IC59" s="420"/>
      <c r="ID59" s="420"/>
      <c r="IE59" s="420"/>
      <c r="IF59" s="420"/>
      <c r="IG59" s="420"/>
      <c r="IH59" s="420"/>
      <c r="II59" s="420"/>
      <c r="IJ59" s="420"/>
      <c r="IK59" s="420"/>
      <c r="IL59" s="420"/>
      <c r="IM59" s="420"/>
      <c r="IN59" s="420"/>
      <c r="IO59" s="420"/>
      <c r="IP59" s="420"/>
      <c r="IQ59" s="420"/>
      <c r="IR59" s="420"/>
      <c r="IS59" s="420"/>
      <c r="IT59" s="420"/>
      <c r="IU59" s="420"/>
      <c r="IV59" s="420"/>
      <c r="IW59" s="420"/>
      <c r="IX59" s="420"/>
      <c r="IY59" s="420"/>
      <c r="IZ59" s="420"/>
      <c r="JA59" s="420"/>
    </row>
    <row r="60" spans="1:261" s="768" customFormat="1" ht="22.5" customHeight="1" x14ac:dyDescent="0.35">
      <c r="A60" s="783">
        <v>52</v>
      </c>
      <c r="B60" s="776"/>
      <c r="C60" s="1275">
        <v>11</v>
      </c>
      <c r="D60" s="1274" t="s">
        <v>830</v>
      </c>
      <c r="E60" s="432"/>
      <c r="F60" s="772"/>
      <c r="G60" s="433"/>
      <c r="H60" s="1009" t="s">
        <v>24</v>
      </c>
      <c r="I60" s="1027"/>
      <c r="J60" s="1023"/>
      <c r="K60" s="1023"/>
      <c r="L60" s="1023"/>
      <c r="M60" s="1023"/>
      <c r="N60" s="1023"/>
      <c r="O60" s="992"/>
      <c r="P60" s="773"/>
      <c r="Q60" s="420"/>
      <c r="R60" s="420"/>
      <c r="S60" s="420"/>
      <c r="T60" s="420"/>
      <c r="U60" s="420"/>
      <c r="V60" s="420"/>
      <c r="W60" s="420"/>
      <c r="X60" s="420"/>
      <c r="Y60" s="420"/>
      <c r="Z60" s="420"/>
      <c r="AA60" s="420"/>
      <c r="AB60" s="420"/>
      <c r="AC60" s="420"/>
      <c r="AD60" s="420"/>
      <c r="AE60" s="420"/>
      <c r="AF60" s="420"/>
      <c r="AG60" s="420"/>
      <c r="AH60" s="420"/>
      <c r="AI60" s="420"/>
      <c r="AJ60" s="420"/>
      <c r="AK60" s="420"/>
      <c r="AL60" s="420"/>
      <c r="AM60" s="420"/>
      <c r="AN60" s="420"/>
      <c r="AO60" s="420"/>
      <c r="AP60" s="420"/>
      <c r="AQ60" s="420"/>
      <c r="AR60" s="420"/>
      <c r="AS60" s="420"/>
      <c r="AT60" s="420"/>
      <c r="AU60" s="420"/>
      <c r="AV60" s="420"/>
      <c r="AW60" s="420"/>
      <c r="AX60" s="420"/>
      <c r="AY60" s="420"/>
      <c r="AZ60" s="420"/>
      <c r="BA60" s="420"/>
      <c r="BB60" s="420"/>
      <c r="BC60" s="420"/>
      <c r="BD60" s="420"/>
      <c r="BE60" s="420"/>
      <c r="BF60" s="420"/>
      <c r="BG60" s="420"/>
      <c r="BH60" s="420"/>
      <c r="BI60" s="420"/>
      <c r="BJ60" s="420"/>
      <c r="BK60" s="420"/>
      <c r="BL60" s="420"/>
      <c r="BM60" s="420"/>
      <c r="BN60" s="420"/>
      <c r="BO60" s="420"/>
      <c r="BP60" s="420"/>
      <c r="BQ60" s="420"/>
      <c r="BR60" s="420"/>
      <c r="BS60" s="420"/>
      <c r="BT60" s="420"/>
      <c r="BU60" s="420"/>
      <c r="BV60" s="420"/>
      <c r="BW60" s="420"/>
      <c r="BX60" s="420"/>
      <c r="BY60" s="420"/>
      <c r="BZ60" s="420"/>
      <c r="CA60" s="420"/>
      <c r="CB60" s="420"/>
      <c r="CC60" s="420"/>
      <c r="CD60" s="420"/>
      <c r="CE60" s="420"/>
      <c r="CF60" s="420"/>
      <c r="CG60" s="420"/>
      <c r="CH60" s="420"/>
      <c r="CI60" s="420"/>
      <c r="CJ60" s="420"/>
      <c r="CK60" s="420"/>
      <c r="CL60" s="420"/>
      <c r="CM60" s="420"/>
      <c r="CN60" s="420"/>
      <c r="CO60" s="420"/>
      <c r="CP60" s="420"/>
      <c r="CQ60" s="420"/>
      <c r="CR60" s="420"/>
      <c r="CS60" s="420"/>
      <c r="CT60" s="420"/>
      <c r="CU60" s="420"/>
      <c r="CV60" s="420"/>
      <c r="CW60" s="420"/>
      <c r="CX60" s="420"/>
      <c r="CY60" s="420"/>
      <c r="CZ60" s="420"/>
      <c r="DA60" s="420"/>
      <c r="DB60" s="420"/>
      <c r="DC60" s="420"/>
      <c r="DD60" s="420"/>
      <c r="DE60" s="420"/>
      <c r="DF60" s="420"/>
      <c r="DG60" s="420"/>
      <c r="DH60" s="420"/>
      <c r="DI60" s="420"/>
      <c r="DJ60" s="420"/>
      <c r="DK60" s="420"/>
      <c r="DL60" s="420"/>
      <c r="DM60" s="420"/>
      <c r="DN60" s="420"/>
      <c r="DO60" s="420"/>
      <c r="DP60" s="420"/>
      <c r="DQ60" s="420"/>
      <c r="DR60" s="420"/>
      <c r="DS60" s="420"/>
      <c r="DT60" s="420"/>
      <c r="DU60" s="420"/>
      <c r="DV60" s="420"/>
      <c r="DW60" s="420"/>
      <c r="DX60" s="420"/>
      <c r="DY60" s="420"/>
      <c r="DZ60" s="420"/>
      <c r="EA60" s="420"/>
      <c r="EB60" s="420"/>
      <c r="EC60" s="420"/>
      <c r="ED60" s="420"/>
      <c r="EE60" s="420"/>
      <c r="EF60" s="420"/>
      <c r="EG60" s="420"/>
      <c r="EH60" s="420"/>
      <c r="EI60" s="420"/>
      <c r="EJ60" s="420"/>
      <c r="EK60" s="420"/>
      <c r="EL60" s="420"/>
      <c r="EM60" s="420"/>
      <c r="EN60" s="420"/>
      <c r="EO60" s="420"/>
      <c r="EP60" s="420"/>
      <c r="EQ60" s="420"/>
      <c r="ER60" s="420"/>
      <c r="ES60" s="420"/>
      <c r="ET60" s="420"/>
      <c r="EU60" s="420"/>
      <c r="EV60" s="420"/>
      <c r="EW60" s="420"/>
      <c r="EX60" s="420"/>
      <c r="EY60" s="420"/>
      <c r="EZ60" s="420"/>
      <c r="FA60" s="420"/>
      <c r="FB60" s="420"/>
      <c r="FC60" s="420"/>
      <c r="FD60" s="420"/>
      <c r="FE60" s="420"/>
      <c r="FF60" s="420"/>
      <c r="FG60" s="420"/>
      <c r="FH60" s="420"/>
      <c r="FI60" s="420"/>
      <c r="FJ60" s="420"/>
      <c r="FK60" s="420"/>
      <c r="FL60" s="420"/>
      <c r="FM60" s="420"/>
      <c r="FN60" s="420"/>
      <c r="FO60" s="420"/>
      <c r="FP60" s="420"/>
      <c r="FQ60" s="420"/>
      <c r="FR60" s="420"/>
      <c r="FS60" s="420"/>
      <c r="FT60" s="420"/>
      <c r="FU60" s="420"/>
      <c r="FV60" s="420"/>
      <c r="FW60" s="420"/>
      <c r="FX60" s="420"/>
      <c r="FY60" s="420"/>
      <c r="FZ60" s="420"/>
      <c r="GA60" s="420"/>
      <c r="GB60" s="420"/>
      <c r="GC60" s="420"/>
      <c r="GD60" s="420"/>
      <c r="GE60" s="420"/>
      <c r="GF60" s="420"/>
      <c r="GG60" s="420"/>
      <c r="GH60" s="420"/>
      <c r="GI60" s="420"/>
      <c r="GJ60" s="420"/>
      <c r="GK60" s="420"/>
      <c r="GL60" s="420"/>
      <c r="GM60" s="420"/>
      <c r="GN60" s="420"/>
      <c r="GO60" s="420"/>
      <c r="GP60" s="420"/>
      <c r="GQ60" s="420"/>
      <c r="GR60" s="420"/>
      <c r="GS60" s="420"/>
      <c r="GT60" s="420"/>
      <c r="GU60" s="420"/>
      <c r="GV60" s="420"/>
      <c r="GW60" s="420"/>
      <c r="GX60" s="420"/>
      <c r="GY60" s="420"/>
      <c r="GZ60" s="420"/>
      <c r="HA60" s="420"/>
      <c r="HB60" s="420"/>
      <c r="HC60" s="420"/>
      <c r="HD60" s="420"/>
      <c r="HE60" s="420"/>
      <c r="HF60" s="420"/>
      <c r="HG60" s="420"/>
      <c r="HH60" s="420"/>
      <c r="HI60" s="420"/>
      <c r="HJ60" s="420"/>
      <c r="HK60" s="420"/>
      <c r="HL60" s="420"/>
      <c r="HM60" s="420"/>
      <c r="HN60" s="420"/>
      <c r="HO60" s="420"/>
      <c r="HP60" s="420"/>
      <c r="HQ60" s="420"/>
      <c r="HR60" s="420"/>
      <c r="HS60" s="420"/>
      <c r="HT60" s="420"/>
      <c r="HU60" s="420"/>
      <c r="HV60" s="420"/>
      <c r="HW60" s="420"/>
      <c r="HX60" s="420"/>
      <c r="HY60" s="420"/>
      <c r="HZ60" s="420"/>
      <c r="IA60" s="420"/>
      <c r="IB60" s="420"/>
      <c r="IC60" s="420"/>
      <c r="ID60" s="420"/>
      <c r="IE60" s="420"/>
      <c r="IF60" s="420"/>
      <c r="IG60" s="420"/>
      <c r="IH60" s="420"/>
      <c r="II60" s="420"/>
      <c r="IJ60" s="420"/>
      <c r="IK60" s="420"/>
      <c r="IL60" s="420"/>
      <c r="IM60" s="420"/>
      <c r="IN60" s="420"/>
      <c r="IO60" s="420"/>
      <c r="IP60" s="420"/>
      <c r="IQ60" s="420"/>
      <c r="IR60" s="420"/>
      <c r="IS60" s="420"/>
      <c r="IT60" s="420"/>
      <c r="IU60" s="420"/>
      <c r="IV60" s="420"/>
      <c r="IW60" s="420"/>
      <c r="IX60" s="420"/>
      <c r="IY60" s="420"/>
      <c r="IZ60" s="420"/>
      <c r="JA60" s="420"/>
    </row>
    <row r="61" spans="1:261" s="768" customFormat="1" ht="18" customHeight="1" x14ac:dyDescent="0.35">
      <c r="A61" s="783">
        <v>53</v>
      </c>
      <c r="B61" s="776"/>
      <c r="C61" s="422"/>
      <c r="D61" s="1002" t="s">
        <v>311</v>
      </c>
      <c r="E61" s="432">
        <f>F61+G61+O64+P61</f>
        <v>3755</v>
      </c>
      <c r="F61" s="772"/>
      <c r="G61" s="433"/>
      <c r="H61" s="1009"/>
      <c r="I61" s="1027"/>
      <c r="J61" s="1023"/>
      <c r="K61" s="1023"/>
      <c r="L61" s="1023"/>
      <c r="M61" s="1023">
        <v>3755</v>
      </c>
      <c r="N61" s="1023"/>
      <c r="O61" s="992">
        <f>SUM(I61:N61)</f>
        <v>3755</v>
      </c>
      <c r="P61" s="773"/>
      <c r="Q61" s="420"/>
      <c r="R61" s="420"/>
      <c r="S61" s="420"/>
      <c r="T61" s="420"/>
      <c r="U61" s="420"/>
      <c r="V61" s="420"/>
      <c r="W61" s="420"/>
      <c r="X61" s="420"/>
      <c r="Y61" s="420"/>
      <c r="Z61" s="420"/>
      <c r="AA61" s="420"/>
      <c r="AB61" s="420"/>
      <c r="AC61" s="420"/>
      <c r="AD61" s="420"/>
      <c r="AE61" s="420"/>
      <c r="AF61" s="420"/>
      <c r="AG61" s="420"/>
      <c r="AH61" s="420"/>
      <c r="AI61" s="420"/>
      <c r="AJ61" s="420"/>
      <c r="AK61" s="420"/>
      <c r="AL61" s="420"/>
      <c r="AM61" s="420"/>
      <c r="AN61" s="420"/>
      <c r="AO61" s="420"/>
      <c r="AP61" s="420"/>
      <c r="AQ61" s="420"/>
      <c r="AR61" s="420"/>
      <c r="AS61" s="420"/>
      <c r="AT61" s="420"/>
      <c r="AU61" s="420"/>
      <c r="AV61" s="420"/>
      <c r="AW61" s="420"/>
      <c r="AX61" s="420"/>
      <c r="AY61" s="420"/>
      <c r="AZ61" s="420"/>
      <c r="BA61" s="420"/>
      <c r="BB61" s="420"/>
      <c r="BC61" s="420"/>
      <c r="BD61" s="420"/>
      <c r="BE61" s="420"/>
      <c r="BF61" s="420"/>
      <c r="BG61" s="420"/>
      <c r="BH61" s="420"/>
      <c r="BI61" s="420"/>
      <c r="BJ61" s="420"/>
      <c r="BK61" s="420"/>
      <c r="BL61" s="420"/>
      <c r="BM61" s="420"/>
      <c r="BN61" s="420"/>
      <c r="BO61" s="420"/>
      <c r="BP61" s="420"/>
      <c r="BQ61" s="420"/>
      <c r="BR61" s="420"/>
      <c r="BS61" s="420"/>
      <c r="BT61" s="420"/>
      <c r="BU61" s="420"/>
      <c r="BV61" s="420"/>
      <c r="BW61" s="420"/>
      <c r="BX61" s="420"/>
      <c r="BY61" s="420"/>
      <c r="BZ61" s="420"/>
      <c r="CA61" s="420"/>
      <c r="CB61" s="420"/>
      <c r="CC61" s="420"/>
      <c r="CD61" s="420"/>
      <c r="CE61" s="420"/>
      <c r="CF61" s="420"/>
      <c r="CG61" s="420"/>
      <c r="CH61" s="420"/>
      <c r="CI61" s="420"/>
      <c r="CJ61" s="420"/>
      <c r="CK61" s="420"/>
      <c r="CL61" s="420"/>
      <c r="CM61" s="420"/>
      <c r="CN61" s="420"/>
      <c r="CO61" s="420"/>
      <c r="CP61" s="420"/>
      <c r="CQ61" s="420"/>
      <c r="CR61" s="420"/>
      <c r="CS61" s="420"/>
      <c r="CT61" s="420"/>
      <c r="CU61" s="420"/>
      <c r="CV61" s="420"/>
      <c r="CW61" s="420"/>
      <c r="CX61" s="420"/>
      <c r="CY61" s="420"/>
      <c r="CZ61" s="420"/>
      <c r="DA61" s="420"/>
      <c r="DB61" s="420"/>
      <c r="DC61" s="420"/>
      <c r="DD61" s="420"/>
      <c r="DE61" s="420"/>
      <c r="DF61" s="420"/>
      <c r="DG61" s="420"/>
      <c r="DH61" s="420"/>
      <c r="DI61" s="420"/>
      <c r="DJ61" s="420"/>
      <c r="DK61" s="420"/>
      <c r="DL61" s="420"/>
      <c r="DM61" s="420"/>
      <c r="DN61" s="420"/>
      <c r="DO61" s="420"/>
      <c r="DP61" s="420"/>
      <c r="DQ61" s="420"/>
      <c r="DR61" s="420"/>
      <c r="DS61" s="420"/>
      <c r="DT61" s="420"/>
      <c r="DU61" s="420"/>
      <c r="DV61" s="420"/>
      <c r="DW61" s="420"/>
      <c r="DX61" s="420"/>
      <c r="DY61" s="420"/>
      <c r="DZ61" s="420"/>
      <c r="EA61" s="420"/>
      <c r="EB61" s="420"/>
      <c r="EC61" s="420"/>
      <c r="ED61" s="420"/>
      <c r="EE61" s="420"/>
      <c r="EF61" s="420"/>
      <c r="EG61" s="420"/>
      <c r="EH61" s="420"/>
      <c r="EI61" s="420"/>
      <c r="EJ61" s="420"/>
      <c r="EK61" s="420"/>
      <c r="EL61" s="420"/>
      <c r="EM61" s="420"/>
      <c r="EN61" s="420"/>
      <c r="EO61" s="420"/>
      <c r="EP61" s="420"/>
      <c r="EQ61" s="420"/>
      <c r="ER61" s="420"/>
      <c r="ES61" s="420"/>
      <c r="ET61" s="420"/>
      <c r="EU61" s="420"/>
      <c r="EV61" s="420"/>
      <c r="EW61" s="420"/>
      <c r="EX61" s="420"/>
      <c r="EY61" s="420"/>
      <c r="EZ61" s="420"/>
      <c r="FA61" s="420"/>
      <c r="FB61" s="420"/>
      <c r="FC61" s="420"/>
      <c r="FD61" s="420"/>
      <c r="FE61" s="420"/>
      <c r="FF61" s="420"/>
      <c r="FG61" s="420"/>
      <c r="FH61" s="420"/>
      <c r="FI61" s="420"/>
      <c r="FJ61" s="420"/>
      <c r="FK61" s="420"/>
      <c r="FL61" s="420"/>
      <c r="FM61" s="420"/>
      <c r="FN61" s="420"/>
      <c r="FO61" s="420"/>
      <c r="FP61" s="420"/>
      <c r="FQ61" s="420"/>
      <c r="FR61" s="420"/>
      <c r="FS61" s="420"/>
      <c r="FT61" s="420"/>
      <c r="FU61" s="420"/>
      <c r="FV61" s="420"/>
      <c r="FW61" s="420"/>
      <c r="FX61" s="420"/>
      <c r="FY61" s="420"/>
      <c r="FZ61" s="420"/>
      <c r="GA61" s="420"/>
      <c r="GB61" s="420"/>
      <c r="GC61" s="420"/>
      <c r="GD61" s="420"/>
      <c r="GE61" s="420"/>
      <c r="GF61" s="420"/>
      <c r="GG61" s="420"/>
      <c r="GH61" s="420"/>
      <c r="GI61" s="420"/>
      <c r="GJ61" s="420"/>
      <c r="GK61" s="420"/>
      <c r="GL61" s="420"/>
      <c r="GM61" s="420"/>
      <c r="GN61" s="420"/>
      <c r="GO61" s="420"/>
      <c r="GP61" s="420"/>
      <c r="GQ61" s="420"/>
      <c r="GR61" s="420"/>
      <c r="GS61" s="420"/>
      <c r="GT61" s="420"/>
      <c r="GU61" s="420"/>
      <c r="GV61" s="420"/>
      <c r="GW61" s="420"/>
      <c r="GX61" s="420"/>
      <c r="GY61" s="420"/>
      <c r="GZ61" s="420"/>
      <c r="HA61" s="420"/>
      <c r="HB61" s="420"/>
      <c r="HC61" s="420"/>
      <c r="HD61" s="420"/>
      <c r="HE61" s="420"/>
      <c r="HF61" s="420"/>
      <c r="HG61" s="420"/>
      <c r="HH61" s="420"/>
      <c r="HI61" s="420"/>
      <c r="HJ61" s="420"/>
      <c r="HK61" s="420"/>
      <c r="HL61" s="420"/>
      <c r="HM61" s="420"/>
      <c r="HN61" s="420"/>
      <c r="HO61" s="420"/>
      <c r="HP61" s="420"/>
      <c r="HQ61" s="420"/>
      <c r="HR61" s="420"/>
      <c r="HS61" s="420"/>
      <c r="HT61" s="420"/>
      <c r="HU61" s="420"/>
      <c r="HV61" s="420"/>
      <c r="HW61" s="420"/>
      <c r="HX61" s="420"/>
      <c r="HY61" s="420"/>
      <c r="HZ61" s="420"/>
      <c r="IA61" s="420"/>
      <c r="IB61" s="420"/>
      <c r="IC61" s="420"/>
      <c r="ID61" s="420"/>
      <c r="IE61" s="420"/>
      <c r="IF61" s="420"/>
      <c r="IG61" s="420"/>
      <c r="IH61" s="420"/>
      <c r="II61" s="420"/>
      <c r="IJ61" s="420"/>
      <c r="IK61" s="420"/>
      <c r="IL61" s="420"/>
      <c r="IM61" s="420"/>
      <c r="IN61" s="420"/>
      <c r="IO61" s="420"/>
      <c r="IP61" s="420"/>
      <c r="IQ61" s="420"/>
      <c r="IR61" s="420"/>
      <c r="IS61" s="420"/>
      <c r="IT61" s="420"/>
      <c r="IU61" s="420"/>
      <c r="IV61" s="420"/>
      <c r="IW61" s="420"/>
      <c r="IX61" s="420"/>
      <c r="IY61" s="420"/>
      <c r="IZ61" s="420"/>
      <c r="JA61" s="420"/>
    </row>
    <row r="62" spans="1:261" s="768" customFormat="1" ht="18" customHeight="1" x14ac:dyDescent="0.35">
      <c r="A62" s="783">
        <v>54</v>
      </c>
      <c r="B62" s="776"/>
      <c r="C62" s="422"/>
      <c r="D62" s="583" t="s">
        <v>1072</v>
      </c>
      <c r="E62" s="432"/>
      <c r="F62" s="772"/>
      <c r="G62" s="433"/>
      <c r="H62" s="1009"/>
      <c r="I62" s="1027"/>
      <c r="J62" s="1023"/>
      <c r="K62" s="1023"/>
      <c r="L62" s="1023"/>
      <c r="M62" s="1548">
        <v>3755</v>
      </c>
      <c r="N62" s="769"/>
      <c r="O62" s="777">
        <f>SUM(I62:N62)</f>
        <v>3755</v>
      </c>
      <c r="P62" s="773"/>
      <c r="Q62" s="420"/>
      <c r="R62" s="420"/>
      <c r="S62" s="420"/>
      <c r="T62" s="420"/>
      <c r="U62" s="420"/>
      <c r="V62" s="420"/>
      <c r="W62" s="420"/>
      <c r="X62" s="420"/>
      <c r="Y62" s="420"/>
      <c r="Z62" s="420"/>
      <c r="AA62" s="420"/>
      <c r="AB62" s="420"/>
      <c r="AC62" s="420"/>
      <c r="AD62" s="420"/>
      <c r="AE62" s="420"/>
      <c r="AF62" s="420"/>
      <c r="AG62" s="420"/>
      <c r="AH62" s="420"/>
      <c r="AI62" s="420"/>
      <c r="AJ62" s="420"/>
      <c r="AK62" s="420"/>
      <c r="AL62" s="420"/>
      <c r="AM62" s="420"/>
      <c r="AN62" s="420"/>
      <c r="AO62" s="420"/>
      <c r="AP62" s="420"/>
      <c r="AQ62" s="420"/>
      <c r="AR62" s="420"/>
      <c r="AS62" s="420"/>
      <c r="AT62" s="420"/>
      <c r="AU62" s="420"/>
      <c r="AV62" s="420"/>
      <c r="AW62" s="420"/>
      <c r="AX62" s="420"/>
      <c r="AY62" s="420"/>
      <c r="AZ62" s="420"/>
      <c r="BA62" s="420"/>
      <c r="BB62" s="420"/>
      <c r="BC62" s="420"/>
      <c r="BD62" s="420"/>
      <c r="BE62" s="420"/>
      <c r="BF62" s="420"/>
      <c r="BG62" s="420"/>
      <c r="BH62" s="420"/>
      <c r="BI62" s="420"/>
      <c r="BJ62" s="420"/>
      <c r="BK62" s="420"/>
      <c r="BL62" s="420"/>
      <c r="BM62" s="420"/>
      <c r="BN62" s="420"/>
      <c r="BO62" s="420"/>
      <c r="BP62" s="420"/>
      <c r="BQ62" s="420"/>
      <c r="BR62" s="420"/>
      <c r="BS62" s="420"/>
      <c r="BT62" s="420"/>
      <c r="BU62" s="420"/>
      <c r="BV62" s="420"/>
      <c r="BW62" s="420"/>
      <c r="BX62" s="420"/>
      <c r="BY62" s="420"/>
      <c r="BZ62" s="420"/>
      <c r="CA62" s="420"/>
      <c r="CB62" s="420"/>
      <c r="CC62" s="420"/>
      <c r="CD62" s="420"/>
      <c r="CE62" s="420"/>
      <c r="CF62" s="420"/>
      <c r="CG62" s="420"/>
      <c r="CH62" s="420"/>
      <c r="CI62" s="420"/>
      <c r="CJ62" s="420"/>
      <c r="CK62" s="420"/>
      <c r="CL62" s="420"/>
      <c r="CM62" s="420"/>
      <c r="CN62" s="420"/>
      <c r="CO62" s="420"/>
      <c r="CP62" s="420"/>
      <c r="CQ62" s="420"/>
      <c r="CR62" s="420"/>
      <c r="CS62" s="420"/>
      <c r="CT62" s="420"/>
      <c r="CU62" s="420"/>
      <c r="CV62" s="420"/>
      <c r="CW62" s="420"/>
      <c r="CX62" s="420"/>
      <c r="CY62" s="420"/>
      <c r="CZ62" s="420"/>
      <c r="DA62" s="420"/>
      <c r="DB62" s="420"/>
      <c r="DC62" s="420"/>
      <c r="DD62" s="420"/>
      <c r="DE62" s="420"/>
      <c r="DF62" s="420"/>
      <c r="DG62" s="420"/>
      <c r="DH62" s="420"/>
      <c r="DI62" s="420"/>
      <c r="DJ62" s="420"/>
      <c r="DK62" s="420"/>
      <c r="DL62" s="420"/>
      <c r="DM62" s="420"/>
      <c r="DN62" s="420"/>
      <c r="DO62" s="420"/>
      <c r="DP62" s="420"/>
      <c r="DQ62" s="420"/>
      <c r="DR62" s="420"/>
      <c r="DS62" s="420"/>
      <c r="DT62" s="420"/>
      <c r="DU62" s="420"/>
      <c r="DV62" s="420"/>
      <c r="DW62" s="420"/>
      <c r="DX62" s="420"/>
      <c r="DY62" s="420"/>
      <c r="DZ62" s="420"/>
      <c r="EA62" s="420"/>
      <c r="EB62" s="420"/>
      <c r="EC62" s="420"/>
      <c r="ED62" s="420"/>
      <c r="EE62" s="420"/>
      <c r="EF62" s="420"/>
      <c r="EG62" s="420"/>
      <c r="EH62" s="420"/>
      <c r="EI62" s="420"/>
      <c r="EJ62" s="420"/>
      <c r="EK62" s="420"/>
      <c r="EL62" s="420"/>
      <c r="EM62" s="420"/>
      <c r="EN62" s="420"/>
      <c r="EO62" s="420"/>
      <c r="EP62" s="420"/>
      <c r="EQ62" s="420"/>
      <c r="ER62" s="420"/>
      <c r="ES62" s="420"/>
      <c r="ET62" s="420"/>
      <c r="EU62" s="420"/>
      <c r="EV62" s="420"/>
      <c r="EW62" s="420"/>
      <c r="EX62" s="420"/>
      <c r="EY62" s="420"/>
      <c r="EZ62" s="420"/>
      <c r="FA62" s="420"/>
      <c r="FB62" s="420"/>
      <c r="FC62" s="420"/>
      <c r="FD62" s="420"/>
      <c r="FE62" s="420"/>
      <c r="FF62" s="420"/>
      <c r="FG62" s="420"/>
      <c r="FH62" s="420"/>
      <c r="FI62" s="420"/>
      <c r="FJ62" s="420"/>
      <c r="FK62" s="420"/>
      <c r="FL62" s="420"/>
      <c r="FM62" s="420"/>
      <c r="FN62" s="420"/>
      <c r="FO62" s="420"/>
      <c r="FP62" s="420"/>
      <c r="FQ62" s="420"/>
      <c r="FR62" s="420"/>
      <c r="FS62" s="420"/>
      <c r="FT62" s="420"/>
      <c r="FU62" s="420"/>
      <c r="FV62" s="420"/>
      <c r="FW62" s="420"/>
      <c r="FX62" s="420"/>
      <c r="FY62" s="420"/>
      <c r="FZ62" s="420"/>
      <c r="GA62" s="420"/>
      <c r="GB62" s="420"/>
      <c r="GC62" s="420"/>
      <c r="GD62" s="420"/>
      <c r="GE62" s="420"/>
      <c r="GF62" s="420"/>
      <c r="GG62" s="420"/>
      <c r="GH62" s="420"/>
      <c r="GI62" s="420"/>
      <c r="GJ62" s="420"/>
      <c r="GK62" s="420"/>
      <c r="GL62" s="420"/>
      <c r="GM62" s="420"/>
      <c r="GN62" s="420"/>
      <c r="GO62" s="420"/>
      <c r="GP62" s="420"/>
      <c r="GQ62" s="420"/>
      <c r="GR62" s="420"/>
      <c r="GS62" s="420"/>
      <c r="GT62" s="420"/>
      <c r="GU62" s="420"/>
      <c r="GV62" s="420"/>
      <c r="GW62" s="420"/>
      <c r="GX62" s="420"/>
      <c r="GY62" s="420"/>
      <c r="GZ62" s="420"/>
      <c r="HA62" s="420"/>
      <c r="HB62" s="420"/>
      <c r="HC62" s="420"/>
      <c r="HD62" s="420"/>
      <c r="HE62" s="420"/>
      <c r="HF62" s="420"/>
      <c r="HG62" s="420"/>
      <c r="HH62" s="420"/>
      <c r="HI62" s="420"/>
      <c r="HJ62" s="420"/>
      <c r="HK62" s="420"/>
      <c r="HL62" s="420"/>
      <c r="HM62" s="420"/>
      <c r="HN62" s="420"/>
      <c r="HO62" s="420"/>
      <c r="HP62" s="420"/>
      <c r="HQ62" s="420"/>
      <c r="HR62" s="420"/>
      <c r="HS62" s="420"/>
      <c r="HT62" s="420"/>
      <c r="HU62" s="420"/>
      <c r="HV62" s="420"/>
      <c r="HW62" s="420"/>
      <c r="HX62" s="420"/>
      <c r="HY62" s="420"/>
      <c r="HZ62" s="420"/>
      <c r="IA62" s="420"/>
      <c r="IB62" s="420"/>
      <c r="IC62" s="420"/>
      <c r="ID62" s="420"/>
      <c r="IE62" s="420"/>
      <c r="IF62" s="420"/>
      <c r="IG62" s="420"/>
      <c r="IH62" s="420"/>
      <c r="II62" s="420"/>
      <c r="IJ62" s="420"/>
      <c r="IK62" s="420"/>
      <c r="IL62" s="420"/>
      <c r="IM62" s="420"/>
      <c r="IN62" s="420"/>
      <c r="IO62" s="420"/>
      <c r="IP62" s="420"/>
      <c r="IQ62" s="420"/>
      <c r="IR62" s="420"/>
      <c r="IS62" s="420"/>
      <c r="IT62" s="420"/>
      <c r="IU62" s="420"/>
      <c r="IV62" s="420"/>
      <c r="IW62" s="420"/>
      <c r="IX62" s="420"/>
      <c r="IY62" s="420"/>
      <c r="IZ62" s="420"/>
      <c r="JA62" s="420"/>
    </row>
    <row r="63" spans="1:261" s="768" customFormat="1" ht="18" customHeight="1" x14ac:dyDescent="0.35">
      <c r="A63" s="783">
        <v>55</v>
      </c>
      <c r="B63" s="776"/>
      <c r="C63" s="422"/>
      <c r="D63" s="1338" t="s">
        <v>963</v>
      </c>
      <c r="E63" s="432"/>
      <c r="F63" s="772"/>
      <c r="G63" s="433"/>
      <c r="H63" s="1009"/>
      <c r="I63" s="1005"/>
      <c r="J63" s="769"/>
      <c r="K63" s="769"/>
      <c r="L63" s="769"/>
      <c r="M63" s="769"/>
      <c r="N63" s="769"/>
      <c r="O63" s="777">
        <f>SUM(I63:N63)</f>
        <v>0</v>
      </c>
      <c r="P63" s="773"/>
      <c r="Q63" s="420"/>
      <c r="R63" s="420"/>
      <c r="S63" s="420"/>
      <c r="T63" s="420"/>
      <c r="U63" s="420"/>
      <c r="V63" s="420"/>
      <c r="W63" s="420"/>
      <c r="X63" s="420"/>
      <c r="Y63" s="420"/>
      <c r="Z63" s="420"/>
      <c r="AA63" s="420"/>
      <c r="AB63" s="420"/>
      <c r="AC63" s="420"/>
      <c r="AD63" s="420"/>
      <c r="AE63" s="420"/>
      <c r="AF63" s="420"/>
      <c r="AG63" s="420"/>
      <c r="AH63" s="420"/>
      <c r="AI63" s="420"/>
      <c r="AJ63" s="420"/>
      <c r="AK63" s="420"/>
      <c r="AL63" s="420"/>
      <c r="AM63" s="420"/>
      <c r="AN63" s="420"/>
      <c r="AO63" s="420"/>
      <c r="AP63" s="420"/>
      <c r="AQ63" s="420"/>
      <c r="AR63" s="420"/>
      <c r="AS63" s="420"/>
      <c r="AT63" s="420"/>
      <c r="AU63" s="420"/>
      <c r="AV63" s="420"/>
      <c r="AW63" s="420"/>
      <c r="AX63" s="420"/>
      <c r="AY63" s="420"/>
      <c r="AZ63" s="420"/>
      <c r="BA63" s="420"/>
      <c r="BB63" s="420"/>
      <c r="BC63" s="420"/>
      <c r="BD63" s="420"/>
      <c r="BE63" s="420"/>
      <c r="BF63" s="420"/>
      <c r="BG63" s="420"/>
      <c r="BH63" s="420"/>
      <c r="BI63" s="420"/>
      <c r="BJ63" s="420"/>
      <c r="BK63" s="420"/>
      <c r="BL63" s="420"/>
      <c r="BM63" s="420"/>
      <c r="BN63" s="420"/>
      <c r="BO63" s="420"/>
      <c r="BP63" s="420"/>
      <c r="BQ63" s="420"/>
      <c r="BR63" s="420"/>
      <c r="BS63" s="420"/>
      <c r="BT63" s="420"/>
      <c r="BU63" s="420"/>
      <c r="BV63" s="420"/>
      <c r="BW63" s="420"/>
      <c r="BX63" s="420"/>
      <c r="BY63" s="420"/>
      <c r="BZ63" s="420"/>
      <c r="CA63" s="420"/>
      <c r="CB63" s="420"/>
      <c r="CC63" s="420"/>
      <c r="CD63" s="420"/>
      <c r="CE63" s="420"/>
      <c r="CF63" s="420"/>
      <c r="CG63" s="420"/>
      <c r="CH63" s="420"/>
      <c r="CI63" s="420"/>
      <c r="CJ63" s="420"/>
      <c r="CK63" s="420"/>
      <c r="CL63" s="420"/>
      <c r="CM63" s="420"/>
      <c r="CN63" s="420"/>
      <c r="CO63" s="420"/>
      <c r="CP63" s="420"/>
      <c r="CQ63" s="420"/>
      <c r="CR63" s="420"/>
      <c r="CS63" s="420"/>
      <c r="CT63" s="420"/>
      <c r="CU63" s="420"/>
      <c r="CV63" s="420"/>
      <c r="CW63" s="420"/>
      <c r="CX63" s="420"/>
      <c r="CY63" s="420"/>
      <c r="CZ63" s="420"/>
      <c r="DA63" s="420"/>
      <c r="DB63" s="420"/>
      <c r="DC63" s="420"/>
      <c r="DD63" s="420"/>
      <c r="DE63" s="420"/>
      <c r="DF63" s="420"/>
      <c r="DG63" s="420"/>
      <c r="DH63" s="420"/>
      <c r="DI63" s="420"/>
      <c r="DJ63" s="420"/>
      <c r="DK63" s="420"/>
      <c r="DL63" s="420"/>
      <c r="DM63" s="420"/>
      <c r="DN63" s="420"/>
      <c r="DO63" s="420"/>
      <c r="DP63" s="420"/>
      <c r="DQ63" s="420"/>
      <c r="DR63" s="420"/>
      <c r="DS63" s="420"/>
      <c r="DT63" s="420"/>
      <c r="DU63" s="420"/>
      <c r="DV63" s="420"/>
      <c r="DW63" s="420"/>
      <c r="DX63" s="420"/>
      <c r="DY63" s="420"/>
      <c r="DZ63" s="420"/>
      <c r="EA63" s="420"/>
      <c r="EB63" s="420"/>
      <c r="EC63" s="420"/>
      <c r="ED63" s="420"/>
      <c r="EE63" s="420"/>
      <c r="EF63" s="420"/>
      <c r="EG63" s="420"/>
      <c r="EH63" s="420"/>
      <c r="EI63" s="420"/>
      <c r="EJ63" s="420"/>
      <c r="EK63" s="420"/>
      <c r="EL63" s="420"/>
      <c r="EM63" s="420"/>
      <c r="EN63" s="420"/>
      <c r="EO63" s="420"/>
      <c r="EP63" s="420"/>
      <c r="EQ63" s="420"/>
      <c r="ER63" s="420"/>
      <c r="ES63" s="420"/>
      <c r="ET63" s="420"/>
      <c r="EU63" s="420"/>
      <c r="EV63" s="420"/>
      <c r="EW63" s="420"/>
      <c r="EX63" s="420"/>
      <c r="EY63" s="420"/>
      <c r="EZ63" s="420"/>
      <c r="FA63" s="420"/>
      <c r="FB63" s="420"/>
      <c r="FC63" s="420"/>
      <c r="FD63" s="420"/>
      <c r="FE63" s="420"/>
      <c r="FF63" s="420"/>
      <c r="FG63" s="420"/>
      <c r="FH63" s="420"/>
      <c r="FI63" s="420"/>
      <c r="FJ63" s="420"/>
      <c r="FK63" s="420"/>
      <c r="FL63" s="420"/>
      <c r="FM63" s="420"/>
      <c r="FN63" s="420"/>
      <c r="FO63" s="420"/>
      <c r="FP63" s="420"/>
      <c r="FQ63" s="420"/>
      <c r="FR63" s="420"/>
      <c r="FS63" s="420"/>
      <c r="FT63" s="420"/>
      <c r="FU63" s="420"/>
      <c r="FV63" s="420"/>
      <c r="FW63" s="420"/>
      <c r="FX63" s="420"/>
      <c r="FY63" s="420"/>
      <c r="FZ63" s="420"/>
      <c r="GA63" s="420"/>
      <c r="GB63" s="420"/>
      <c r="GC63" s="420"/>
      <c r="GD63" s="420"/>
      <c r="GE63" s="420"/>
      <c r="GF63" s="420"/>
      <c r="GG63" s="420"/>
      <c r="GH63" s="420"/>
      <c r="GI63" s="420"/>
      <c r="GJ63" s="420"/>
      <c r="GK63" s="420"/>
      <c r="GL63" s="420"/>
      <c r="GM63" s="420"/>
      <c r="GN63" s="420"/>
      <c r="GO63" s="420"/>
      <c r="GP63" s="420"/>
      <c r="GQ63" s="420"/>
      <c r="GR63" s="420"/>
      <c r="GS63" s="420"/>
      <c r="GT63" s="420"/>
      <c r="GU63" s="420"/>
      <c r="GV63" s="420"/>
      <c r="GW63" s="420"/>
      <c r="GX63" s="420"/>
      <c r="GY63" s="420"/>
      <c r="GZ63" s="420"/>
      <c r="HA63" s="420"/>
      <c r="HB63" s="420"/>
      <c r="HC63" s="420"/>
      <c r="HD63" s="420"/>
      <c r="HE63" s="420"/>
      <c r="HF63" s="420"/>
      <c r="HG63" s="420"/>
      <c r="HH63" s="420"/>
      <c r="HI63" s="420"/>
      <c r="HJ63" s="420"/>
      <c r="HK63" s="420"/>
      <c r="HL63" s="420"/>
      <c r="HM63" s="420"/>
      <c r="HN63" s="420"/>
      <c r="HO63" s="420"/>
      <c r="HP63" s="420"/>
      <c r="HQ63" s="420"/>
      <c r="HR63" s="420"/>
      <c r="HS63" s="420"/>
      <c r="HT63" s="420"/>
      <c r="HU63" s="420"/>
      <c r="HV63" s="420"/>
      <c r="HW63" s="420"/>
      <c r="HX63" s="420"/>
      <c r="HY63" s="420"/>
      <c r="HZ63" s="420"/>
      <c r="IA63" s="420"/>
      <c r="IB63" s="420"/>
      <c r="IC63" s="420"/>
      <c r="ID63" s="420"/>
      <c r="IE63" s="420"/>
      <c r="IF63" s="420"/>
      <c r="IG63" s="420"/>
      <c r="IH63" s="420"/>
      <c r="II63" s="420"/>
      <c r="IJ63" s="420"/>
      <c r="IK63" s="420"/>
      <c r="IL63" s="420"/>
      <c r="IM63" s="420"/>
      <c r="IN63" s="420"/>
      <c r="IO63" s="420"/>
      <c r="IP63" s="420"/>
      <c r="IQ63" s="420"/>
      <c r="IR63" s="420"/>
      <c r="IS63" s="420"/>
      <c r="IT63" s="420"/>
      <c r="IU63" s="420"/>
      <c r="IV63" s="420"/>
      <c r="IW63" s="420"/>
      <c r="IX63" s="420"/>
      <c r="IY63" s="420"/>
      <c r="IZ63" s="420"/>
      <c r="JA63" s="420"/>
    </row>
    <row r="64" spans="1:261" s="768" customFormat="1" ht="18" customHeight="1" x14ac:dyDescent="0.35">
      <c r="A64" s="783">
        <v>56</v>
      </c>
      <c r="B64" s="776"/>
      <c r="C64" s="422"/>
      <c r="D64" s="583" t="s">
        <v>1151</v>
      </c>
      <c r="E64" s="432"/>
      <c r="F64" s="772"/>
      <c r="G64" s="433"/>
      <c r="H64" s="1009"/>
      <c r="I64" s="1005"/>
      <c r="J64" s="769"/>
      <c r="K64" s="769"/>
      <c r="L64" s="769"/>
      <c r="M64" s="1548">
        <f>SUM(M62:M63)</f>
        <v>3755</v>
      </c>
      <c r="N64" s="769"/>
      <c r="O64" s="777">
        <f>SUM(I64:N64)</f>
        <v>3755</v>
      </c>
      <c r="P64" s="773"/>
      <c r="Q64" s="420"/>
      <c r="R64" s="420"/>
      <c r="S64" s="420"/>
      <c r="T64" s="420"/>
      <c r="U64" s="420"/>
      <c r="V64" s="420"/>
      <c r="W64" s="420"/>
      <c r="X64" s="420"/>
      <c r="Y64" s="420"/>
      <c r="Z64" s="420"/>
      <c r="AA64" s="420"/>
      <c r="AB64" s="420"/>
      <c r="AC64" s="420"/>
      <c r="AD64" s="420"/>
      <c r="AE64" s="420"/>
      <c r="AF64" s="420"/>
      <c r="AG64" s="420"/>
      <c r="AH64" s="420"/>
      <c r="AI64" s="420"/>
      <c r="AJ64" s="420"/>
      <c r="AK64" s="420"/>
      <c r="AL64" s="420"/>
      <c r="AM64" s="420"/>
      <c r="AN64" s="420"/>
      <c r="AO64" s="420"/>
      <c r="AP64" s="420"/>
      <c r="AQ64" s="420"/>
      <c r="AR64" s="420"/>
      <c r="AS64" s="420"/>
      <c r="AT64" s="420"/>
      <c r="AU64" s="420"/>
      <c r="AV64" s="420"/>
      <c r="AW64" s="420"/>
      <c r="AX64" s="420"/>
      <c r="AY64" s="420"/>
      <c r="AZ64" s="420"/>
      <c r="BA64" s="420"/>
      <c r="BB64" s="420"/>
      <c r="BC64" s="420"/>
      <c r="BD64" s="420"/>
      <c r="BE64" s="420"/>
      <c r="BF64" s="420"/>
      <c r="BG64" s="420"/>
      <c r="BH64" s="420"/>
      <c r="BI64" s="420"/>
      <c r="BJ64" s="420"/>
      <c r="BK64" s="420"/>
      <c r="BL64" s="420"/>
      <c r="BM64" s="420"/>
      <c r="BN64" s="420"/>
      <c r="BO64" s="420"/>
      <c r="BP64" s="420"/>
      <c r="BQ64" s="420"/>
      <c r="BR64" s="420"/>
      <c r="BS64" s="420"/>
      <c r="BT64" s="420"/>
      <c r="BU64" s="420"/>
      <c r="BV64" s="420"/>
      <c r="BW64" s="420"/>
      <c r="BX64" s="420"/>
      <c r="BY64" s="420"/>
      <c r="BZ64" s="420"/>
      <c r="CA64" s="420"/>
      <c r="CB64" s="420"/>
      <c r="CC64" s="420"/>
      <c r="CD64" s="420"/>
      <c r="CE64" s="420"/>
      <c r="CF64" s="420"/>
      <c r="CG64" s="420"/>
      <c r="CH64" s="420"/>
      <c r="CI64" s="420"/>
      <c r="CJ64" s="420"/>
      <c r="CK64" s="420"/>
      <c r="CL64" s="420"/>
      <c r="CM64" s="420"/>
      <c r="CN64" s="420"/>
      <c r="CO64" s="420"/>
      <c r="CP64" s="420"/>
      <c r="CQ64" s="420"/>
      <c r="CR64" s="420"/>
      <c r="CS64" s="420"/>
      <c r="CT64" s="420"/>
      <c r="CU64" s="420"/>
      <c r="CV64" s="420"/>
      <c r="CW64" s="420"/>
      <c r="CX64" s="420"/>
      <c r="CY64" s="420"/>
      <c r="CZ64" s="420"/>
      <c r="DA64" s="420"/>
      <c r="DB64" s="420"/>
      <c r="DC64" s="420"/>
      <c r="DD64" s="420"/>
      <c r="DE64" s="420"/>
      <c r="DF64" s="420"/>
      <c r="DG64" s="420"/>
      <c r="DH64" s="420"/>
      <c r="DI64" s="420"/>
      <c r="DJ64" s="420"/>
      <c r="DK64" s="420"/>
      <c r="DL64" s="420"/>
      <c r="DM64" s="420"/>
      <c r="DN64" s="420"/>
      <c r="DO64" s="420"/>
      <c r="DP64" s="420"/>
      <c r="DQ64" s="420"/>
      <c r="DR64" s="420"/>
      <c r="DS64" s="420"/>
      <c r="DT64" s="420"/>
      <c r="DU64" s="420"/>
      <c r="DV64" s="420"/>
      <c r="DW64" s="420"/>
      <c r="DX64" s="420"/>
      <c r="DY64" s="420"/>
      <c r="DZ64" s="420"/>
      <c r="EA64" s="420"/>
      <c r="EB64" s="420"/>
      <c r="EC64" s="420"/>
      <c r="ED64" s="420"/>
      <c r="EE64" s="420"/>
      <c r="EF64" s="420"/>
      <c r="EG64" s="420"/>
      <c r="EH64" s="420"/>
      <c r="EI64" s="420"/>
      <c r="EJ64" s="420"/>
      <c r="EK64" s="420"/>
      <c r="EL64" s="420"/>
      <c r="EM64" s="420"/>
      <c r="EN64" s="420"/>
      <c r="EO64" s="420"/>
      <c r="EP64" s="420"/>
      <c r="EQ64" s="420"/>
      <c r="ER64" s="420"/>
      <c r="ES64" s="420"/>
      <c r="ET64" s="420"/>
      <c r="EU64" s="420"/>
      <c r="EV64" s="420"/>
      <c r="EW64" s="420"/>
      <c r="EX64" s="420"/>
      <c r="EY64" s="420"/>
      <c r="EZ64" s="420"/>
      <c r="FA64" s="420"/>
      <c r="FB64" s="420"/>
      <c r="FC64" s="420"/>
      <c r="FD64" s="420"/>
      <c r="FE64" s="420"/>
      <c r="FF64" s="420"/>
      <c r="FG64" s="420"/>
      <c r="FH64" s="420"/>
      <c r="FI64" s="420"/>
      <c r="FJ64" s="420"/>
      <c r="FK64" s="420"/>
      <c r="FL64" s="420"/>
      <c r="FM64" s="420"/>
      <c r="FN64" s="420"/>
      <c r="FO64" s="420"/>
      <c r="FP64" s="420"/>
      <c r="FQ64" s="420"/>
      <c r="FR64" s="420"/>
      <c r="FS64" s="420"/>
      <c r="FT64" s="420"/>
      <c r="FU64" s="420"/>
      <c r="FV64" s="420"/>
      <c r="FW64" s="420"/>
      <c r="FX64" s="420"/>
      <c r="FY64" s="420"/>
      <c r="FZ64" s="420"/>
      <c r="GA64" s="420"/>
      <c r="GB64" s="420"/>
      <c r="GC64" s="420"/>
      <c r="GD64" s="420"/>
      <c r="GE64" s="420"/>
      <c r="GF64" s="420"/>
      <c r="GG64" s="420"/>
      <c r="GH64" s="420"/>
      <c r="GI64" s="420"/>
      <c r="GJ64" s="420"/>
      <c r="GK64" s="420"/>
      <c r="GL64" s="420"/>
      <c r="GM64" s="420"/>
      <c r="GN64" s="420"/>
      <c r="GO64" s="420"/>
      <c r="GP64" s="420"/>
      <c r="GQ64" s="420"/>
      <c r="GR64" s="420"/>
      <c r="GS64" s="420"/>
      <c r="GT64" s="420"/>
      <c r="GU64" s="420"/>
      <c r="GV64" s="420"/>
      <c r="GW64" s="420"/>
      <c r="GX64" s="420"/>
      <c r="GY64" s="420"/>
      <c r="GZ64" s="420"/>
      <c r="HA64" s="420"/>
      <c r="HB64" s="420"/>
      <c r="HC64" s="420"/>
      <c r="HD64" s="420"/>
      <c r="HE64" s="420"/>
      <c r="HF64" s="420"/>
      <c r="HG64" s="420"/>
      <c r="HH64" s="420"/>
      <c r="HI64" s="420"/>
      <c r="HJ64" s="420"/>
      <c r="HK64" s="420"/>
      <c r="HL64" s="420"/>
      <c r="HM64" s="420"/>
      <c r="HN64" s="420"/>
      <c r="HO64" s="420"/>
      <c r="HP64" s="420"/>
      <c r="HQ64" s="420"/>
      <c r="HR64" s="420"/>
      <c r="HS64" s="420"/>
      <c r="HT64" s="420"/>
      <c r="HU64" s="420"/>
      <c r="HV64" s="420"/>
      <c r="HW64" s="420"/>
      <c r="HX64" s="420"/>
      <c r="HY64" s="420"/>
      <c r="HZ64" s="420"/>
      <c r="IA64" s="420"/>
      <c r="IB64" s="420"/>
      <c r="IC64" s="420"/>
      <c r="ID64" s="420"/>
      <c r="IE64" s="420"/>
      <c r="IF64" s="420"/>
      <c r="IG64" s="420"/>
      <c r="IH64" s="420"/>
      <c r="II64" s="420"/>
      <c r="IJ64" s="420"/>
      <c r="IK64" s="420"/>
      <c r="IL64" s="420"/>
      <c r="IM64" s="420"/>
      <c r="IN64" s="420"/>
      <c r="IO64" s="420"/>
      <c r="IP64" s="420"/>
      <c r="IQ64" s="420"/>
      <c r="IR64" s="420"/>
      <c r="IS64" s="420"/>
      <c r="IT64" s="420"/>
      <c r="IU64" s="420"/>
      <c r="IV64" s="420"/>
      <c r="IW64" s="420"/>
      <c r="IX64" s="420"/>
      <c r="IY64" s="420"/>
      <c r="IZ64" s="420"/>
      <c r="JA64" s="420"/>
    </row>
    <row r="65" spans="1:261" s="768" customFormat="1" ht="22.5" customHeight="1" x14ac:dyDescent="0.35">
      <c r="A65" s="783">
        <v>57</v>
      </c>
      <c r="B65" s="776"/>
      <c r="C65" s="466">
        <v>12</v>
      </c>
      <c r="D65" s="780" t="s">
        <v>777</v>
      </c>
      <c r="E65" s="432"/>
      <c r="F65" s="772"/>
      <c r="G65" s="433"/>
      <c r="H65" s="1009" t="s">
        <v>24</v>
      </c>
      <c r="I65" s="1027"/>
      <c r="J65" s="1023"/>
      <c r="K65" s="1023"/>
      <c r="L65" s="1023"/>
      <c r="M65" s="1023"/>
      <c r="N65" s="1023"/>
      <c r="O65" s="992"/>
      <c r="P65" s="773"/>
      <c r="Q65" s="420"/>
      <c r="R65" s="420"/>
      <c r="S65" s="420"/>
      <c r="T65" s="420"/>
      <c r="U65" s="420"/>
      <c r="V65" s="420"/>
      <c r="W65" s="420"/>
      <c r="X65" s="420"/>
      <c r="Y65" s="420"/>
      <c r="Z65" s="420"/>
      <c r="AA65" s="420"/>
      <c r="AB65" s="420"/>
      <c r="AC65" s="420"/>
      <c r="AD65" s="420"/>
      <c r="AE65" s="420"/>
      <c r="AF65" s="420"/>
      <c r="AG65" s="420"/>
      <c r="AH65" s="420"/>
      <c r="AI65" s="420"/>
      <c r="AJ65" s="420"/>
      <c r="AK65" s="420"/>
      <c r="AL65" s="420"/>
      <c r="AM65" s="420"/>
      <c r="AN65" s="420"/>
      <c r="AO65" s="420"/>
      <c r="AP65" s="420"/>
      <c r="AQ65" s="420"/>
      <c r="AR65" s="420"/>
      <c r="AS65" s="420"/>
      <c r="AT65" s="420"/>
      <c r="AU65" s="420"/>
      <c r="AV65" s="420"/>
      <c r="AW65" s="420"/>
      <c r="AX65" s="420"/>
      <c r="AY65" s="420"/>
      <c r="AZ65" s="420"/>
      <c r="BA65" s="420"/>
      <c r="BB65" s="420"/>
      <c r="BC65" s="420"/>
      <c r="BD65" s="420"/>
      <c r="BE65" s="420"/>
      <c r="BF65" s="420"/>
      <c r="BG65" s="420"/>
      <c r="BH65" s="420"/>
      <c r="BI65" s="420"/>
      <c r="BJ65" s="420"/>
      <c r="BK65" s="420"/>
      <c r="BL65" s="420"/>
      <c r="BM65" s="420"/>
      <c r="BN65" s="420"/>
      <c r="BO65" s="420"/>
      <c r="BP65" s="420"/>
      <c r="BQ65" s="420"/>
      <c r="BR65" s="420"/>
      <c r="BS65" s="420"/>
      <c r="BT65" s="420"/>
      <c r="BU65" s="420"/>
      <c r="BV65" s="420"/>
      <c r="BW65" s="420"/>
      <c r="BX65" s="420"/>
      <c r="BY65" s="420"/>
      <c r="BZ65" s="420"/>
      <c r="CA65" s="420"/>
      <c r="CB65" s="420"/>
      <c r="CC65" s="420"/>
      <c r="CD65" s="420"/>
      <c r="CE65" s="420"/>
      <c r="CF65" s="420"/>
      <c r="CG65" s="420"/>
      <c r="CH65" s="420"/>
      <c r="CI65" s="420"/>
      <c r="CJ65" s="420"/>
      <c r="CK65" s="420"/>
      <c r="CL65" s="420"/>
      <c r="CM65" s="420"/>
      <c r="CN65" s="420"/>
      <c r="CO65" s="420"/>
      <c r="CP65" s="420"/>
      <c r="CQ65" s="420"/>
      <c r="CR65" s="420"/>
      <c r="CS65" s="420"/>
      <c r="CT65" s="420"/>
      <c r="CU65" s="420"/>
      <c r="CV65" s="420"/>
      <c r="CW65" s="420"/>
      <c r="CX65" s="420"/>
      <c r="CY65" s="420"/>
      <c r="CZ65" s="420"/>
      <c r="DA65" s="420"/>
      <c r="DB65" s="420"/>
      <c r="DC65" s="420"/>
      <c r="DD65" s="420"/>
      <c r="DE65" s="420"/>
      <c r="DF65" s="420"/>
      <c r="DG65" s="420"/>
      <c r="DH65" s="420"/>
      <c r="DI65" s="420"/>
      <c r="DJ65" s="420"/>
      <c r="DK65" s="420"/>
      <c r="DL65" s="420"/>
      <c r="DM65" s="420"/>
      <c r="DN65" s="420"/>
      <c r="DO65" s="420"/>
      <c r="DP65" s="420"/>
      <c r="DQ65" s="420"/>
      <c r="DR65" s="420"/>
      <c r="DS65" s="420"/>
      <c r="DT65" s="420"/>
      <c r="DU65" s="420"/>
      <c r="DV65" s="420"/>
      <c r="DW65" s="420"/>
      <c r="DX65" s="420"/>
      <c r="DY65" s="420"/>
      <c r="DZ65" s="420"/>
      <c r="EA65" s="420"/>
      <c r="EB65" s="420"/>
      <c r="EC65" s="420"/>
      <c r="ED65" s="420"/>
      <c r="EE65" s="420"/>
      <c r="EF65" s="420"/>
      <c r="EG65" s="420"/>
      <c r="EH65" s="420"/>
      <c r="EI65" s="420"/>
      <c r="EJ65" s="420"/>
      <c r="EK65" s="420"/>
      <c r="EL65" s="420"/>
      <c r="EM65" s="420"/>
      <c r="EN65" s="420"/>
      <c r="EO65" s="420"/>
      <c r="EP65" s="420"/>
      <c r="EQ65" s="420"/>
      <c r="ER65" s="420"/>
      <c r="ES65" s="420"/>
      <c r="ET65" s="420"/>
      <c r="EU65" s="420"/>
      <c r="EV65" s="420"/>
      <c r="EW65" s="420"/>
      <c r="EX65" s="420"/>
      <c r="EY65" s="420"/>
      <c r="EZ65" s="420"/>
      <c r="FA65" s="420"/>
      <c r="FB65" s="420"/>
      <c r="FC65" s="420"/>
      <c r="FD65" s="420"/>
      <c r="FE65" s="420"/>
      <c r="FF65" s="420"/>
      <c r="FG65" s="420"/>
      <c r="FH65" s="420"/>
      <c r="FI65" s="420"/>
      <c r="FJ65" s="420"/>
      <c r="FK65" s="420"/>
      <c r="FL65" s="420"/>
      <c r="FM65" s="420"/>
      <c r="FN65" s="420"/>
      <c r="FO65" s="420"/>
      <c r="FP65" s="420"/>
      <c r="FQ65" s="420"/>
      <c r="FR65" s="420"/>
      <c r="FS65" s="420"/>
      <c r="FT65" s="420"/>
      <c r="FU65" s="420"/>
      <c r="FV65" s="420"/>
      <c r="FW65" s="420"/>
      <c r="FX65" s="420"/>
      <c r="FY65" s="420"/>
      <c r="FZ65" s="420"/>
      <c r="GA65" s="420"/>
      <c r="GB65" s="420"/>
      <c r="GC65" s="420"/>
      <c r="GD65" s="420"/>
      <c r="GE65" s="420"/>
      <c r="GF65" s="420"/>
      <c r="GG65" s="420"/>
      <c r="GH65" s="420"/>
      <c r="GI65" s="420"/>
      <c r="GJ65" s="420"/>
      <c r="GK65" s="420"/>
      <c r="GL65" s="420"/>
      <c r="GM65" s="420"/>
      <c r="GN65" s="420"/>
      <c r="GO65" s="420"/>
      <c r="GP65" s="420"/>
      <c r="GQ65" s="420"/>
      <c r="GR65" s="420"/>
      <c r="GS65" s="420"/>
      <c r="GT65" s="420"/>
      <c r="GU65" s="420"/>
      <c r="GV65" s="420"/>
      <c r="GW65" s="420"/>
      <c r="GX65" s="420"/>
      <c r="GY65" s="420"/>
      <c r="GZ65" s="420"/>
      <c r="HA65" s="420"/>
      <c r="HB65" s="420"/>
      <c r="HC65" s="420"/>
      <c r="HD65" s="420"/>
      <c r="HE65" s="420"/>
      <c r="HF65" s="420"/>
      <c r="HG65" s="420"/>
      <c r="HH65" s="420"/>
      <c r="HI65" s="420"/>
      <c r="HJ65" s="420"/>
      <c r="HK65" s="420"/>
      <c r="HL65" s="420"/>
      <c r="HM65" s="420"/>
      <c r="HN65" s="420"/>
      <c r="HO65" s="420"/>
      <c r="HP65" s="420"/>
      <c r="HQ65" s="420"/>
      <c r="HR65" s="420"/>
      <c r="HS65" s="420"/>
      <c r="HT65" s="420"/>
      <c r="HU65" s="420"/>
      <c r="HV65" s="420"/>
      <c r="HW65" s="420"/>
      <c r="HX65" s="420"/>
      <c r="HY65" s="420"/>
      <c r="HZ65" s="420"/>
      <c r="IA65" s="420"/>
      <c r="IB65" s="420"/>
      <c r="IC65" s="420"/>
      <c r="ID65" s="420"/>
      <c r="IE65" s="420"/>
      <c r="IF65" s="420"/>
      <c r="IG65" s="420"/>
      <c r="IH65" s="420"/>
      <c r="II65" s="420"/>
      <c r="IJ65" s="420"/>
      <c r="IK65" s="420"/>
      <c r="IL65" s="420"/>
      <c r="IM65" s="420"/>
      <c r="IN65" s="420"/>
      <c r="IO65" s="420"/>
      <c r="IP65" s="420"/>
      <c r="IQ65" s="420"/>
      <c r="IR65" s="420"/>
      <c r="IS65" s="420"/>
      <c r="IT65" s="420"/>
      <c r="IU65" s="420"/>
      <c r="IV65" s="420"/>
      <c r="IW65" s="420"/>
      <c r="IX65" s="420"/>
      <c r="IY65" s="420"/>
      <c r="IZ65" s="420"/>
      <c r="JA65" s="420"/>
    </row>
    <row r="66" spans="1:261" s="768" customFormat="1" ht="18" customHeight="1" x14ac:dyDescent="0.35">
      <c r="A66" s="783">
        <v>58</v>
      </c>
      <c r="B66" s="776"/>
      <c r="C66" s="422"/>
      <c r="D66" s="1002" t="s">
        <v>311</v>
      </c>
      <c r="E66" s="432">
        <f>F66+G66+O69+P66</f>
        <v>3979</v>
      </c>
      <c r="F66" s="772"/>
      <c r="G66" s="433"/>
      <c r="H66" s="1009"/>
      <c r="I66" s="1027"/>
      <c r="J66" s="1023"/>
      <c r="K66" s="1023">
        <v>79</v>
      </c>
      <c r="L66" s="1023"/>
      <c r="M66" s="1023">
        <v>3900</v>
      </c>
      <c r="N66" s="1023"/>
      <c r="O66" s="992">
        <f>SUM(I66:N66)</f>
        <v>3979</v>
      </c>
      <c r="P66" s="773"/>
      <c r="Q66" s="420"/>
      <c r="R66" s="420"/>
      <c r="S66" s="420"/>
      <c r="T66" s="420"/>
      <c r="U66" s="420"/>
      <c r="V66" s="420"/>
      <c r="W66" s="420"/>
      <c r="X66" s="420"/>
      <c r="Y66" s="420"/>
      <c r="Z66" s="420"/>
      <c r="AA66" s="420"/>
      <c r="AB66" s="420"/>
      <c r="AC66" s="420"/>
      <c r="AD66" s="420"/>
      <c r="AE66" s="420"/>
      <c r="AF66" s="420"/>
      <c r="AG66" s="420"/>
      <c r="AH66" s="420"/>
      <c r="AI66" s="420"/>
      <c r="AJ66" s="420"/>
      <c r="AK66" s="420"/>
      <c r="AL66" s="420"/>
      <c r="AM66" s="420"/>
      <c r="AN66" s="420"/>
      <c r="AO66" s="420"/>
      <c r="AP66" s="420"/>
      <c r="AQ66" s="420"/>
      <c r="AR66" s="420"/>
      <c r="AS66" s="420"/>
      <c r="AT66" s="420"/>
      <c r="AU66" s="420"/>
      <c r="AV66" s="420"/>
      <c r="AW66" s="420"/>
      <c r="AX66" s="420"/>
      <c r="AY66" s="420"/>
      <c r="AZ66" s="420"/>
      <c r="BA66" s="420"/>
      <c r="BB66" s="420"/>
      <c r="BC66" s="420"/>
      <c r="BD66" s="420"/>
      <c r="BE66" s="420"/>
      <c r="BF66" s="420"/>
      <c r="BG66" s="420"/>
      <c r="BH66" s="420"/>
      <c r="BI66" s="420"/>
      <c r="BJ66" s="420"/>
      <c r="BK66" s="420"/>
      <c r="BL66" s="420"/>
      <c r="BM66" s="420"/>
      <c r="BN66" s="420"/>
      <c r="BO66" s="420"/>
      <c r="BP66" s="420"/>
      <c r="BQ66" s="420"/>
      <c r="BR66" s="420"/>
      <c r="BS66" s="420"/>
      <c r="BT66" s="420"/>
      <c r="BU66" s="420"/>
      <c r="BV66" s="420"/>
      <c r="BW66" s="420"/>
      <c r="BX66" s="420"/>
      <c r="BY66" s="420"/>
      <c r="BZ66" s="420"/>
      <c r="CA66" s="420"/>
      <c r="CB66" s="420"/>
      <c r="CC66" s="420"/>
      <c r="CD66" s="420"/>
      <c r="CE66" s="420"/>
      <c r="CF66" s="420"/>
      <c r="CG66" s="420"/>
      <c r="CH66" s="420"/>
      <c r="CI66" s="420"/>
      <c r="CJ66" s="420"/>
      <c r="CK66" s="420"/>
      <c r="CL66" s="420"/>
      <c r="CM66" s="420"/>
      <c r="CN66" s="420"/>
      <c r="CO66" s="420"/>
      <c r="CP66" s="420"/>
      <c r="CQ66" s="420"/>
      <c r="CR66" s="420"/>
      <c r="CS66" s="420"/>
      <c r="CT66" s="420"/>
      <c r="CU66" s="420"/>
      <c r="CV66" s="420"/>
      <c r="CW66" s="420"/>
      <c r="CX66" s="420"/>
      <c r="CY66" s="420"/>
      <c r="CZ66" s="420"/>
      <c r="DA66" s="420"/>
      <c r="DB66" s="420"/>
      <c r="DC66" s="420"/>
      <c r="DD66" s="420"/>
      <c r="DE66" s="420"/>
      <c r="DF66" s="420"/>
      <c r="DG66" s="420"/>
      <c r="DH66" s="420"/>
      <c r="DI66" s="420"/>
      <c r="DJ66" s="420"/>
      <c r="DK66" s="420"/>
      <c r="DL66" s="420"/>
      <c r="DM66" s="420"/>
      <c r="DN66" s="420"/>
      <c r="DO66" s="420"/>
      <c r="DP66" s="420"/>
      <c r="DQ66" s="420"/>
      <c r="DR66" s="420"/>
      <c r="DS66" s="420"/>
      <c r="DT66" s="420"/>
      <c r="DU66" s="420"/>
      <c r="DV66" s="420"/>
      <c r="DW66" s="420"/>
      <c r="DX66" s="420"/>
      <c r="DY66" s="420"/>
      <c r="DZ66" s="420"/>
      <c r="EA66" s="420"/>
      <c r="EB66" s="420"/>
      <c r="EC66" s="420"/>
      <c r="ED66" s="420"/>
      <c r="EE66" s="420"/>
      <c r="EF66" s="420"/>
      <c r="EG66" s="420"/>
      <c r="EH66" s="420"/>
      <c r="EI66" s="420"/>
      <c r="EJ66" s="420"/>
      <c r="EK66" s="420"/>
      <c r="EL66" s="420"/>
      <c r="EM66" s="420"/>
      <c r="EN66" s="420"/>
      <c r="EO66" s="420"/>
      <c r="EP66" s="420"/>
      <c r="EQ66" s="420"/>
      <c r="ER66" s="420"/>
      <c r="ES66" s="420"/>
      <c r="ET66" s="420"/>
      <c r="EU66" s="420"/>
      <c r="EV66" s="420"/>
      <c r="EW66" s="420"/>
      <c r="EX66" s="420"/>
      <c r="EY66" s="420"/>
      <c r="EZ66" s="420"/>
      <c r="FA66" s="420"/>
      <c r="FB66" s="420"/>
      <c r="FC66" s="420"/>
      <c r="FD66" s="420"/>
      <c r="FE66" s="420"/>
      <c r="FF66" s="420"/>
      <c r="FG66" s="420"/>
      <c r="FH66" s="420"/>
      <c r="FI66" s="420"/>
      <c r="FJ66" s="420"/>
      <c r="FK66" s="420"/>
      <c r="FL66" s="420"/>
      <c r="FM66" s="420"/>
      <c r="FN66" s="420"/>
      <c r="FO66" s="420"/>
      <c r="FP66" s="420"/>
      <c r="FQ66" s="420"/>
      <c r="FR66" s="420"/>
      <c r="FS66" s="420"/>
      <c r="FT66" s="420"/>
      <c r="FU66" s="420"/>
      <c r="FV66" s="420"/>
      <c r="FW66" s="420"/>
      <c r="FX66" s="420"/>
      <c r="FY66" s="420"/>
      <c r="FZ66" s="420"/>
      <c r="GA66" s="420"/>
      <c r="GB66" s="420"/>
      <c r="GC66" s="420"/>
      <c r="GD66" s="420"/>
      <c r="GE66" s="420"/>
      <c r="GF66" s="420"/>
      <c r="GG66" s="420"/>
      <c r="GH66" s="420"/>
      <c r="GI66" s="420"/>
      <c r="GJ66" s="420"/>
      <c r="GK66" s="420"/>
      <c r="GL66" s="420"/>
      <c r="GM66" s="420"/>
      <c r="GN66" s="420"/>
      <c r="GO66" s="420"/>
      <c r="GP66" s="420"/>
      <c r="GQ66" s="420"/>
      <c r="GR66" s="420"/>
      <c r="GS66" s="420"/>
      <c r="GT66" s="420"/>
      <c r="GU66" s="420"/>
      <c r="GV66" s="420"/>
      <c r="GW66" s="420"/>
      <c r="GX66" s="420"/>
      <c r="GY66" s="420"/>
      <c r="GZ66" s="420"/>
      <c r="HA66" s="420"/>
      <c r="HB66" s="420"/>
      <c r="HC66" s="420"/>
      <c r="HD66" s="420"/>
      <c r="HE66" s="420"/>
      <c r="HF66" s="420"/>
      <c r="HG66" s="420"/>
      <c r="HH66" s="420"/>
      <c r="HI66" s="420"/>
      <c r="HJ66" s="420"/>
      <c r="HK66" s="420"/>
      <c r="HL66" s="420"/>
      <c r="HM66" s="420"/>
      <c r="HN66" s="420"/>
      <c r="HO66" s="420"/>
      <c r="HP66" s="420"/>
      <c r="HQ66" s="420"/>
      <c r="HR66" s="420"/>
      <c r="HS66" s="420"/>
      <c r="HT66" s="420"/>
      <c r="HU66" s="420"/>
      <c r="HV66" s="420"/>
      <c r="HW66" s="420"/>
      <c r="HX66" s="420"/>
      <c r="HY66" s="420"/>
      <c r="HZ66" s="420"/>
      <c r="IA66" s="420"/>
      <c r="IB66" s="420"/>
      <c r="IC66" s="420"/>
      <c r="ID66" s="420"/>
      <c r="IE66" s="420"/>
      <c r="IF66" s="420"/>
      <c r="IG66" s="420"/>
      <c r="IH66" s="420"/>
      <c r="II66" s="420"/>
      <c r="IJ66" s="420"/>
      <c r="IK66" s="420"/>
      <c r="IL66" s="420"/>
      <c r="IM66" s="420"/>
      <c r="IN66" s="420"/>
      <c r="IO66" s="420"/>
      <c r="IP66" s="420"/>
      <c r="IQ66" s="420"/>
      <c r="IR66" s="420"/>
      <c r="IS66" s="420"/>
      <c r="IT66" s="420"/>
      <c r="IU66" s="420"/>
      <c r="IV66" s="420"/>
      <c r="IW66" s="420"/>
      <c r="IX66" s="420"/>
      <c r="IY66" s="420"/>
      <c r="IZ66" s="420"/>
      <c r="JA66" s="420"/>
    </row>
    <row r="67" spans="1:261" s="768" customFormat="1" ht="18" customHeight="1" x14ac:dyDescent="0.35">
      <c r="A67" s="783">
        <v>59</v>
      </c>
      <c r="B67" s="776"/>
      <c r="C67" s="422"/>
      <c r="D67" s="583" t="s">
        <v>1072</v>
      </c>
      <c r="E67" s="432"/>
      <c r="F67" s="772"/>
      <c r="G67" s="433"/>
      <c r="H67" s="1009"/>
      <c r="I67" s="1027"/>
      <c r="J67" s="1023"/>
      <c r="K67" s="1548">
        <v>79</v>
      </c>
      <c r="L67" s="1548"/>
      <c r="M67" s="1548">
        <v>3900</v>
      </c>
      <c r="N67" s="1548"/>
      <c r="O67" s="777">
        <f>SUM(I67:N67)</f>
        <v>3979</v>
      </c>
      <c r="P67" s="773"/>
      <c r="Q67" s="420"/>
      <c r="R67" s="420"/>
      <c r="S67" s="420"/>
      <c r="T67" s="420"/>
      <c r="U67" s="420"/>
      <c r="V67" s="420"/>
      <c r="W67" s="420"/>
      <c r="X67" s="420"/>
      <c r="Y67" s="420"/>
      <c r="Z67" s="420"/>
      <c r="AA67" s="420"/>
      <c r="AB67" s="420"/>
      <c r="AC67" s="420"/>
      <c r="AD67" s="420"/>
      <c r="AE67" s="420"/>
      <c r="AF67" s="420"/>
      <c r="AG67" s="420"/>
      <c r="AH67" s="420"/>
      <c r="AI67" s="420"/>
      <c r="AJ67" s="420"/>
      <c r="AK67" s="420"/>
      <c r="AL67" s="420"/>
      <c r="AM67" s="420"/>
      <c r="AN67" s="420"/>
      <c r="AO67" s="420"/>
      <c r="AP67" s="420"/>
      <c r="AQ67" s="420"/>
      <c r="AR67" s="420"/>
      <c r="AS67" s="420"/>
      <c r="AT67" s="420"/>
      <c r="AU67" s="420"/>
      <c r="AV67" s="420"/>
      <c r="AW67" s="420"/>
      <c r="AX67" s="420"/>
      <c r="AY67" s="420"/>
      <c r="AZ67" s="420"/>
      <c r="BA67" s="420"/>
      <c r="BB67" s="420"/>
      <c r="BC67" s="420"/>
      <c r="BD67" s="420"/>
      <c r="BE67" s="420"/>
      <c r="BF67" s="420"/>
      <c r="BG67" s="420"/>
      <c r="BH67" s="420"/>
      <c r="BI67" s="420"/>
      <c r="BJ67" s="420"/>
      <c r="BK67" s="420"/>
      <c r="BL67" s="420"/>
      <c r="BM67" s="420"/>
      <c r="BN67" s="420"/>
      <c r="BO67" s="420"/>
      <c r="BP67" s="420"/>
      <c r="BQ67" s="420"/>
      <c r="BR67" s="420"/>
      <c r="BS67" s="420"/>
      <c r="BT67" s="420"/>
      <c r="BU67" s="420"/>
      <c r="BV67" s="420"/>
      <c r="BW67" s="420"/>
      <c r="BX67" s="420"/>
      <c r="BY67" s="420"/>
      <c r="BZ67" s="420"/>
      <c r="CA67" s="420"/>
      <c r="CB67" s="420"/>
      <c r="CC67" s="420"/>
      <c r="CD67" s="420"/>
      <c r="CE67" s="420"/>
      <c r="CF67" s="420"/>
      <c r="CG67" s="420"/>
      <c r="CH67" s="420"/>
      <c r="CI67" s="420"/>
      <c r="CJ67" s="420"/>
      <c r="CK67" s="420"/>
      <c r="CL67" s="420"/>
      <c r="CM67" s="420"/>
      <c r="CN67" s="420"/>
      <c r="CO67" s="420"/>
      <c r="CP67" s="420"/>
      <c r="CQ67" s="420"/>
      <c r="CR67" s="420"/>
      <c r="CS67" s="420"/>
      <c r="CT67" s="420"/>
      <c r="CU67" s="420"/>
      <c r="CV67" s="420"/>
      <c r="CW67" s="420"/>
      <c r="CX67" s="420"/>
      <c r="CY67" s="420"/>
      <c r="CZ67" s="420"/>
      <c r="DA67" s="420"/>
      <c r="DB67" s="420"/>
      <c r="DC67" s="420"/>
      <c r="DD67" s="420"/>
      <c r="DE67" s="420"/>
      <c r="DF67" s="420"/>
      <c r="DG67" s="420"/>
      <c r="DH67" s="420"/>
      <c r="DI67" s="420"/>
      <c r="DJ67" s="420"/>
      <c r="DK67" s="420"/>
      <c r="DL67" s="420"/>
      <c r="DM67" s="420"/>
      <c r="DN67" s="420"/>
      <c r="DO67" s="420"/>
      <c r="DP67" s="420"/>
      <c r="DQ67" s="420"/>
      <c r="DR67" s="420"/>
      <c r="DS67" s="420"/>
      <c r="DT67" s="420"/>
      <c r="DU67" s="420"/>
      <c r="DV67" s="420"/>
      <c r="DW67" s="420"/>
      <c r="DX67" s="420"/>
      <c r="DY67" s="420"/>
      <c r="DZ67" s="420"/>
      <c r="EA67" s="420"/>
      <c r="EB67" s="420"/>
      <c r="EC67" s="420"/>
      <c r="ED67" s="420"/>
      <c r="EE67" s="420"/>
      <c r="EF67" s="420"/>
      <c r="EG67" s="420"/>
      <c r="EH67" s="420"/>
      <c r="EI67" s="420"/>
      <c r="EJ67" s="420"/>
      <c r="EK67" s="420"/>
      <c r="EL67" s="420"/>
      <c r="EM67" s="420"/>
      <c r="EN67" s="420"/>
      <c r="EO67" s="420"/>
      <c r="EP67" s="420"/>
      <c r="EQ67" s="420"/>
      <c r="ER67" s="420"/>
      <c r="ES67" s="420"/>
      <c r="ET67" s="420"/>
      <c r="EU67" s="420"/>
      <c r="EV67" s="420"/>
      <c r="EW67" s="420"/>
      <c r="EX67" s="420"/>
      <c r="EY67" s="420"/>
      <c r="EZ67" s="420"/>
      <c r="FA67" s="420"/>
      <c r="FB67" s="420"/>
      <c r="FC67" s="420"/>
      <c r="FD67" s="420"/>
      <c r="FE67" s="420"/>
      <c r="FF67" s="420"/>
      <c r="FG67" s="420"/>
      <c r="FH67" s="420"/>
      <c r="FI67" s="420"/>
      <c r="FJ67" s="420"/>
      <c r="FK67" s="420"/>
      <c r="FL67" s="420"/>
      <c r="FM67" s="420"/>
      <c r="FN67" s="420"/>
      <c r="FO67" s="420"/>
      <c r="FP67" s="420"/>
      <c r="FQ67" s="420"/>
      <c r="FR67" s="420"/>
      <c r="FS67" s="420"/>
      <c r="FT67" s="420"/>
      <c r="FU67" s="420"/>
      <c r="FV67" s="420"/>
      <c r="FW67" s="420"/>
      <c r="FX67" s="420"/>
      <c r="FY67" s="420"/>
      <c r="FZ67" s="420"/>
      <c r="GA67" s="420"/>
      <c r="GB67" s="420"/>
      <c r="GC67" s="420"/>
      <c r="GD67" s="420"/>
      <c r="GE67" s="420"/>
      <c r="GF67" s="420"/>
      <c r="GG67" s="420"/>
      <c r="GH67" s="420"/>
      <c r="GI67" s="420"/>
      <c r="GJ67" s="420"/>
      <c r="GK67" s="420"/>
      <c r="GL67" s="420"/>
      <c r="GM67" s="420"/>
      <c r="GN67" s="420"/>
      <c r="GO67" s="420"/>
      <c r="GP67" s="420"/>
      <c r="GQ67" s="420"/>
      <c r="GR67" s="420"/>
      <c r="GS67" s="420"/>
      <c r="GT67" s="420"/>
      <c r="GU67" s="420"/>
      <c r="GV67" s="420"/>
      <c r="GW67" s="420"/>
      <c r="GX67" s="420"/>
      <c r="GY67" s="420"/>
      <c r="GZ67" s="420"/>
      <c r="HA67" s="420"/>
      <c r="HB67" s="420"/>
      <c r="HC67" s="420"/>
      <c r="HD67" s="420"/>
      <c r="HE67" s="420"/>
      <c r="HF67" s="420"/>
      <c r="HG67" s="420"/>
      <c r="HH67" s="420"/>
      <c r="HI67" s="420"/>
      <c r="HJ67" s="420"/>
      <c r="HK67" s="420"/>
      <c r="HL67" s="420"/>
      <c r="HM67" s="420"/>
      <c r="HN67" s="420"/>
      <c r="HO67" s="420"/>
      <c r="HP67" s="420"/>
      <c r="HQ67" s="420"/>
      <c r="HR67" s="420"/>
      <c r="HS67" s="420"/>
      <c r="HT67" s="420"/>
      <c r="HU67" s="420"/>
      <c r="HV67" s="420"/>
      <c r="HW67" s="420"/>
      <c r="HX67" s="420"/>
      <c r="HY67" s="420"/>
      <c r="HZ67" s="420"/>
      <c r="IA67" s="420"/>
      <c r="IB67" s="420"/>
      <c r="IC67" s="420"/>
      <c r="ID67" s="420"/>
      <c r="IE67" s="420"/>
      <c r="IF67" s="420"/>
      <c r="IG67" s="420"/>
      <c r="IH67" s="420"/>
      <c r="II67" s="420"/>
      <c r="IJ67" s="420"/>
      <c r="IK67" s="420"/>
      <c r="IL67" s="420"/>
      <c r="IM67" s="420"/>
      <c r="IN67" s="420"/>
      <c r="IO67" s="420"/>
      <c r="IP67" s="420"/>
      <c r="IQ67" s="420"/>
      <c r="IR67" s="420"/>
      <c r="IS67" s="420"/>
      <c r="IT67" s="420"/>
      <c r="IU67" s="420"/>
      <c r="IV67" s="420"/>
      <c r="IW67" s="420"/>
      <c r="IX67" s="420"/>
      <c r="IY67" s="420"/>
      <c r="IZ67" s="420"/>
      <c r="JA67" s="420"/>
    </row>
    <row r="68" spans="1:261" s="768" customFormat="1" ht="18" customHeight="1" x14ac:dyDescent="0.35">
      <c r="A68" s="783">
        <v>60</v>
      </c>
      <c r="B68" s="776"/>
      <c r="C68" s="422"/>
      <c r="D68" s="1338" t="s">
        <v>963</v>
      </c>
      <c r="E68" s="432"/>
      <c r="F68" s="772"/>
      <c r="G68" s="433"/>
      <c r="H68" s="1009"/>
      <c r="I68" s="1005"/>
      <c r="J68" s="769"/>
      <c r="K68" s="769"/>
      <c r="L68" s="769"/>
      <c r="M68" s="769"/>
      <c r="N68" s="769"/>
      <c r="O68" s="777">
        <f>SUM(I68:N68)</f>
        <v>0</v>
      </c>
      <c r="P68" s="773"/>
      <c r="Q68" s="420"/>
      <c r="R68" s="420"/>
      <c r="S68" s="420"/>
      <c r="T68" s="420"/>
      <c r="U68" s="420"/>
      <c r="V68" s="420"/>
      <c r="W68" s="420"/>
      <c r="X68" s="420"/>
      <c r="Y68" s="420"/>
      <c r="Z68" s="420"/>
      <c r="AA68" s="420"/>
      <c r="AB68" s="420"/>
      <c r="AC68" s="420"/>
      <c r="AD68" s="420"/>
      <c r="AE68" s="420"/>
      <c r="AF68" s="420"/>
      <c r="AG68" s="420"/>
      <c r="AH68" s="420"/>
      <c r="AI68" s="420"/>
      <c r="AJ68" s="420"/>
      <c r="AK68" s="420"/>
      <c r="AL68" s="420"/>
      <c r="AM68" s="420"/>
      <c r="AN68" s="420"/>
      <c r="AO68" s="420"/>
      <c r="AP68" s="420"/>
      <c r="AQ68" s="420"/>
      <c r="AR68" s="420"/>
      <c r="AS68" s="420"/>
      <c r="AT68" s="420"/>
      <c r="AU68" s="420"/>
      <c r="AV68" s="420"/>
      <c r="AW68" s="420"/>
      <c r="AX68" s="420"/>
      <c r="AY68" s="420"/>
      <c r="AZ68" s="420"/>
      <c r="BA68" s="420"/>
      <c r="BB68" s="420"/>
      <c r="BC68" s="420"/>
      <c r="BD68" s="420"/>
      <c r="BE68" s="420"/>
      <c r="BF68" s="420"/>
      <c r="BG68" s="420"/>
      <c r="BH68" s="420"/>
      <c r="BI68" s="420"/>
      <c r="BJ68" s="420"/>
      <c r="BK68" s="420"/>
      <c r="BL68" s="420"/>
      <c r="BM68" s="420"/>
      <c r="BN68" s="420"/>
      <c r="BO68" s="420"/>
      <c r="BP68" s="420"/>
      <c r="BQ68" s="420"/>
      <c r="BR68" s="420"/>
      <c r="BS68" s="420"/>
      <c r="BT68" s="420"/>
      <c r="BU68" s="420"/>
      <c r="BV68" s="420"/>
      <c r="BW68" s="420"/>
      <c r="BX68" s="420"/>
      <c r="BY68" s="420"/>
      <c r="BZ68" s="420"/>
      <c r="CA68" s="420"/>
      <c r="CB68" s="420"/>
      <c r="CC68" s="420"/>
      <c r="CD68" s="420"/>
      <c r="CE68" s="420"/>
      <c r="CF68" s="420"/>
      <c r="CG68" s="420"/>
      <c r="CH68" s="420"/>
      <c r="CI68" s="420"/>
      <c r="CJ68" s="420"/>
      <c r="CK68" s="420"/>
      <c r="CL68" s="420"/>
      <c r="CM68" s="420"/>
      <c r="CN68" s="420"/>
      <c r="CO68" s="420"/>
      <c r="CP68" s="420"/>
      <c r="CQ68" s="420"/>
      <c r="CR68" s="420"/>
      <c r="CS68" s="420"/>
      <c r="CT68" s="420"/>
      <c r="CU68" s="420"/>
      <c r="CV68" s="420"/>
      <c r="CW68" s="420"/>
      <c r="CX68" s="420"/>
      <c r="CY68" s="420"/>
      <c r="CZ68" s="420"/>
      <c r="DA68" s="420"/>
      <c r="DB68" s="420"/>
      <c r="DC68" s="420"/>
      <c r="DD68" s="420"/>
      <c r="DE68" s="420"/>
      <c r="DF68" s="420"/>
      <c r="DG68" s="420"/>
      <c r="DH68" s="420"/>
      <c r="DI68" s="420"/>
      <c r="DJ68" s="420"/>
      <c r="DK68" s="420"/>
      <c r="DL68" s="420"/>
      <c r="DM68" s="420"/>
      <c r="DN68" s="420"/>
      <c r="DO68" s="420"/>
      <c r="DP68" s="420"/>
      <c r="DQ68" s="420"/>
      <c r="DR68" s="420"/>
      <c r="DS68" s="420"/>
      <c r="DT68" s="420"/>
      <c r="DU68" s="420"/>
      <c r="DV68" s="420"/>
      <c r="DW68" s="420"/>
      <c r="DX68" s="420"/>
      <c r="DY68" s="420"/>
      <c r="DZ68" s="420"/>
      <c r="EA68" s="420"/>
      <c r="EB68" s="420"/>
      <c r="EC68" s="420"/>
      <c r="ED68" s="420"/>
      <c r="EE68" s="420"/>
      <c r="EF68" s="420"/>
      <c r="EG68" s="420"/>
      <c r="EH68" s="420"/>
      <c r="EI68" s="420"/>
      <c r="EJ68" s="420"/>
      <c r="EK68" s="420"/>
      <c r="EL68" s="420"/>
      <c r="EM68" s="420"/>
      <c r="EN68" s="420"/>
      <c r="EO68" s="420"/>
      <c r="EP68" s="420"/>
      <c r="EQ68" s="420"/>
      <c r="ER68" s="420"/>
      <c r="ES68" s="420"/>
      <c r="ET68" s="420"/>
      <c r="EU68" s="420"/>
      <c r="EV68" s="420"/>
      <c r="EW68" s="420"/>
      <c r="EX68" s="420"/>
      <c r="EY68" s="420"/>
      <c r="EZ68" s="420"/>
      <c r="FA68" s="420"/>
      <c r="FB68" s="420"/>
      <c r="FC68" s="420"/>
      <c r="FD68" s="420"/>
      <c r="FE68" s="420"/>
      <c r="FF68" s="420"/>
      <c r="FG68" s="420"/>
      <c r="FH68" s="420"/>
      <c r="FI68" s="420"/>
      <c r="FJ68" s="420"/>
      <c r="FK68" s="420"/>
      <c r="FL68" s="420"/>
      <c r="FM68" s="420"/>
      <c r="FN68" s="420"/>
      <c r="FO68" s="420"/>
      <c r="FP68" s="420"/>
      <c r="FQ68" s="420"/>
      <c r="FR68" s="420"/>
      <c r="FS68" s="420"/>
      <c r="FT68" s="420"/>
      <c r="FU68" s="420"/>
      <c r="FV68" s="420"/>
      <c r="FW68" s="420"/>
      <c r="FX68" s="420"/>
      <c r="FY68" s="420"/>
      <c r="FZ68" s="420"/>
      <c r="GA68" s="420"/>
      <c r="GB68" s="420"/>
      <c r="GC68" s="420"/>
      <c r="GD68" s="420"/>
      <c r="GE68" s="420"/>
      <c r="GF68" s="420"/>
      <c r="GG68" s="420"/>
      <c r="GH68" s="420"/>
      <c r="GI68" s="420"/>
      <c r="GJ68" s="420"/>
      <c r="GK68" s="420"/>
      <c r="GL68" s="420"/>
      <c r="GM68" s="420"/>
      <c r="GN68" s="420"/>
      <c r="GO68" s="420"/>
      <c r="GP68" s="420"/>
      <c r="GQ68" s="420"/>
      <c r="GR68" s="420"/>
      <c r="GS68" s="420"/>
      <c r="GT68" s="420"/>
      <c r="GU68" s="420"/>
      <c r="GV68" s="420"/>
      <c r="GW68" s="420"/>
      <c r="GX68" s="420"/>
      <c r="GY68" s="420"/>
      <c r="GZ68" s="420"/>
      <c r="HA68" s="420"/>
      <c r="HB68" s="420"/>
      <c r="HC68" s="420"/>
      <c r="HD68" s="420"/>
      <c r="HE68" s="420"/>
      <c r="HF68" s="420"/>
      <c r="HG68" s="420"/>
      <c r="HH68" s="420"/>
      <c r="HI68" s="420"/>
      <c r="HJ68" s="420"/>
      <c r="HK68" s="420"/>
      <c r="HL68" s="420"/>
      <c r="HM68" s="420"/>
      <c r="HN68" s="420"/>
      <c r="HO68" s="420"/>
      <c r="HP68" s="420"/>
      <c r="HQ68" s="420"/>
      <c r="HR68" s="420"/>
      <c r="HS68" s="420"/>
      <c r="HT68" s="420"/>
      <c r="HU68" s="420"/>
      <c r="HV68" s="420"/>
      <c r="HW68" s="420"/>
      <c r="HX68" s="420"/>
      <c r="HY68" s="420"/>
      <c r="HZ68" s="420"/>
      <c r="IA68" s="420"/>
      <c r="IB68" s="420"/>
      <c r="IC68" s="420"/>
      <c r="ID68" s="420"/>
      <c r="IE68" s="420"/>
      <c r="IF68" s="420"/>
      <c r="IG68" s="420"/>
      <c r="IH68" s="420"/>
      <c r="II68" s="420"/>
      <c r="IJ68" s="420"/>
      <c r="IK68" s="420"/>
      <c r="IL68" s="420"/>
      <c r="IM68" s="420"/>
      <c r="IN68" s="420"/>
      <c r="IO68" s="420"/>
      <c r="IP68" s="420"/>
      <c r="IQ68" s="420"/>
      <c r="IR68" s="420"/>
      <c r="IS68" s="420"/>
      <c r="IT68" s="420"/>
      <c r="IU68" s="420"/>
      <c r="IV68" s="420"/>
      <c r="IW68" s="420"/>
      <c r="IX68" s="420"/>
      <c r="IY68" s="420"/>
      <c r="IZ68" s="420"/>
      <c r="JA68" s="420"/>
    </row>
    <row r="69" spans="1:261" s="768" customFormat="1" ht="18" customHeight="1" x14ac:dyDescent="0.35">
      <c r="A69" s="783">
        <v>61</v>
      </c>
      <c r="B69" s="776"/>
      <c r="C69" s="422"/>
      <c r="D69" s="583" t="s">
        <v>1151</v>
      </c>
      <c r="E69" s="432"/>
      <c r="F69" s="772"/>
      <c r="G69" s="433"/>
      <c r="H69" s="1009"/>
      <c r="I69" s="1005"/>
      <c r="J69" s="769"/>
      <c r="K69" s="1548">
        <f>SUM(K67:K68)</f>
        <v>79</v>
      </c>
      <c r="L69" s="1548"/>
      <c r="M69" s="1548">
        <f>SUM(M67:M68)</f>
        <v>3900</v>
      </c>
      <c r="N69" s="769"/>
      <c r="O69" s="777">
        <f>SUM(I69:N69)</f>
        <v>3979</v>
      </c>
      <c r="P69" s="773"/>
      <c r="Q69" s="420"/>
      <c r="R69" s="420"/>
      <c r="S69" s="420"/>
      <c r="T69" s="420"/>
      <c r="U69" s="420"/>
      <c r="V69" s="420"/>
      <c r="W69" s="420"/>
      <c r="X69" s="420"/>
      <c r="Y69" s="420"/>
      <c r="Z69" s="420"/>
      <c r="AA69" s="420"/>
      <c r="AB69" s="420"/>
      <c r="AC69" s="420"/>
      <c r="AD69" s="420"/>
      <c r="AE69" s="420"/>
      <c r="AF69" s="420"/>
      <c r="AG69" s="420"/>
      <c r="AH69" s="420"/>
      <c r="AI69" s="420"/>
      <c r="AJ69" s="420"/>
      <c r="AK69" s="420"/>
      <c r="AL69" s="420"/>
      <c r="AM69" s="420"/>
      <c r="AN69" s="420"/>
      <c r="AO69" s="420"/>
      <c r="AP69" s="420"/>
      <c r="AQ69" s="420"/>
      <c r="AR69" s="420"/>
      <c r="AS69" s="420"/>
      <c r="AT69" s="420"/>
      <c r="AU69" s="420"/>
      <c r="AV69" s="420"/>
      <c r="AW69" s="420"/>
      <c r="AX69" s="420"/>
      <c r="AY69" s="420"/>
      <c r="AZ69" s="420"/>
      <c r="BA69" s="420"/>
      <c r="BB69" s="420"/>
      <c r="BC69" s="420"/>
      <c r="BD69" s="420"/>
      <c r="BE69" s="420"/>
      <c r="BF69" s="420"/>
      <c r="BG69" s="420"/>
      <c r="BH69" s="420"/>
      <c r="BI69" s="420"/>
      <c r="BJ69" s="420"/>
      <c r="BK69" s="420"/>
      <c r="BL69" s="420"/>
      <c r="BM69" s="420"/>
      <c r="BN69" s="420"/>
      <c r="BO69" s="420"/>
      <c r="BP69" s="420"/>
      <c r="BQ69" s="420"/>
      <c r="BR69" s="420"/>
      <c r="BS69" s="420"/>
      <c r="BT69" s="420"/>
      <c r="BU69" s="420"/>
      <c r="BV69" s="420"/>
      <c r="BW69" s="420"/>
      <c r="BX69" s="420"/>
      <c r="BY69" s="420"/>
      <c r="BZ69" s="420"/>
      <c r="CA69" s="420"/>
      <c r="CB69" s="420"/>
      <c r="CC69" s="420"/>
      <c r="CD69" s="420"/>
      <c r="CE69" s="420"/>
      <c r="CF69" s="420"/>
      <c r="CG69" s="420"/>
      <c r="CH69" s="420"/>
      <c r="CI69" s="420"/>
      <c r="CJ69" s="420"/>
      <c r="CK69" s="420"/>
      <c r="CL69" s="420"/>
      <c r="CM69" s="420"/>
      <c r="CN69" s="420"/>
      <c r="CO69" s="420"/>
      <c r="CP69" s="420"/>
      <c r="CQ69" s="420"/>
      <c r="CR69" s="420"/>
      <c r="CS69" s="420"/>
      <c r="CT69" s="420"/>
      <c r="CU69" s="420"/>
      <c r="CV69" s="420"/>
      <c r="CW69" s="420"/>
      <c r="CX69" s="420"/>
      <c r="CY69" s="420"/>
      <c r="CZ69" s="420"/>
      <c r="DA69" s="420"/>
      <c r="DB69" s="420"/>
      <c r="DC69" s="420"/>
      <c r="DD69" s="420"/>
      <c r="DE69" s="420"/>
      <c r="DF69" s="420"/>
      <c r="DG69" s="420"/>
      <c r="DH69" s="420"/>
      <c r="DI69" s="420"/>
      <c r="DJ69" s="420"/>
      <c r="DK69" s="420"/>
      <c r="DL69" s="420"/>
      <c r="DM69" s="420"/>
      <c r="DN69" s="420"/>
      <c r="DO69" s="420"/>
      <c r="DP69" s="420"/>
      <c r="DQ69" s="420"/>
      <c r="DR69" s="420"/>
      <c r="DS69" s="420"/>
      <c r="DT69" s="420"/>
      <c r="DU69" s="420"/>
      <c r="DV69" s="420"/>
      <c r="DW69" s="420"/>
      <c r="DX69" s="420"/>
      <c r="DY69" s="420"/>
      <c r="DZ69" s="420"/>
      <c r="EA69" s="420"/>
      <c r="EB69" s="420"/>
      <c r="EC69" s="420"/>
      <c r="ED69" s="420"/>
      <c r="EE69" s="420"/>
      <c r="EF69" s="420"/>
      <c r="EG69" s="420"/>
      <c r="EH69" s="420"/>
      <c r="EI69" s="420"/>
      <c r="EJ69" s="420"/>
      <c r="EK69" s="420"/>
      <c r="EL69" s="420"/>
      <c r="EM69" s="420"/>
      <c r="EN69" s="420"/>
      <c r="EO69" s="420"/>
      <c r="EP69" s="420"/>
      <c r="EQ69" s="420"/>
      <c r="ER69" s="420"/>
      <c r="ES69" s="420"/>
      <c r="ET69" s="420"/>
      <c r="EU69" s="420"/>
      <c r="EV69" s="420"/>
      <c r="EW69" s="420"/>
      <c r="EX69" s="420"/>
      <c r="EY69" s="420"/>
      <c r="EZ69" s="420"/>
      <c r="FA69" s="420"/>
      <c r="FB69" s="420"/>
      <c r="FC69" s="420"/>
      <c r="FD69" s="420"/>
      <c r="FE69" s="420"/>
      <c r="FF69" s="420"/>
      <c r="FG69" s="420"/>
      <c r="FH69" s="420"/>
      <c r="FI69" s="420"/>
      <c r="FJ69" s="420"/>
      <c r="FK69" s="420"/>
      <c r="FL69" s="420"/>
      <c r="FM69" s="420"/>
      <c r="FN69" s="420"/>
      <c r="FO69" s="420"/>
      <c r="FP69" s="420"/>
      <c r="FQ69" s="420"/>
      <c r="FR69" s="420"/>
      <c r="FS69" s="420"/>
      <c r="FT69" s="420"/>
      <c r="FU69" s="420"/>
      <c r="FV69" s="420"/>
      <c r="FW69" s="420"/>
      <c r="FX69" s="420"/>
      <c r="FY69" s="420"/>
      <c r="FZ69" s="420"/>
      <c r="GA69" s="420"/>
      <c r="GB69" s="420"/>
      <c r="GC69" s="420"/>
      <c r="GD69" s="420"/>
      <c r="GE69" s="420"/>
      <c r="GF69" s="420"/>
      <c r="GG69" s="420"/>
      <c r="GH69" s="420"/>
      <c r="GI69" s="420"/>
      <c r="GJ69" s="420"/>
      <c r="GK69" s="420"/>
      <c r="GL69" s="420"/>
      <c r="GM69" s="420"/>
      <c r="GN69" s="420"/>
      <c r="GO69" s="420"/>
      <c r="GP69" s="420"/>
      <c r="GQ69" s="420"/>
      <c r="GR69" s="420"/>
      <c r="GS69" s="420"/>
      <c r="GT69" s="420"/>
      <c r="GU69" s="420"/>
      <c r="GV69" s="420"/>
      <c r="GW69" s="420"/>
      <c r="GX69" s="420"/>
      <c r="GY69" s="420"/>
      <c r="GZ69" s="420"/>
      <c r="HA69" s="420"/>
      <c r="HB69" s="420"/>
      <c r="HC69" s="420"/>
      <c r="HD69" s="420"/>
      <c r="HE69" s="420"/>
      <c r="HF69" s="420"/>
      <c r="HG69" s="420"/>
      <c r="HH69" s="420"/>
      <c r="HI69" s="420"/>
      <c r="HJ69" s="420"/>
      <c r="HK69" s="420"/>
      <c r="HL69" s="420"/>
      <c r="HM69" s="420"/>
      <c r="HN69" s="420"/>
      <c r="HO69" s="420"/>
      <c r="HP69" s="420"/>
      <c r="HQ69" s="420"/>
      <c r="HR69" s="420"/>
      <c r="HS69" s="420"/>
      <c r="HT69" s="420"/>
      <c r="HU69" s="420"/>
      <c r="HV69" s="420"/>
      <c r="HW69" s="420"/>
      <c r="HX69" s="420"/>
      <c r="HY69" s="420"/>
      <c r="HZ69" s="420"/>
      <c r="IA69" s="420"/>
      <c r="IB69" s="420"/>
      <c r="IC69" s="420"/>
      <c r="ID69" s="420"/>
      <c r="IE69" s="420"/>
      <c r="IF69" s="420"/>
      <c r="IG69" s="420"/>
      <c r="IH69" s="420"/>
      <c r="II69" s="420"/>
      <c r="IJ69" s="420"/>
      <c r="IK69" s="420"/>
      <c r="IL69" s="420"/>
      <c r="IM69" s="420"/>
      <c r="IN69" s="420"/>
      <c r="IO69" s="420"/>
      <c r="IP69" s="420"/>
      <c r="IQ69" s="420"/>
      <c r="IR69" s="420"/>
      <c r="IS69" s="420"/>
      <c r="IT69" s="420"/>
      <c r="IU69" s="420"/>
      <c r="IV69" s="420"/>
      <c r="IW69" s="420"/>
      <c r="IX69" s="420"/>
      <c r="IY69" s="420"/>
      <c r="IZ69" s="420"/>
      <c r="JA69" s="420"/>
    </row>
    <row r="70" spans="1:261" s="768" customFormat="1" ht="22.5" customHeight="1" x14ac:dyDescent="0.35">
      <c r="A70" s="783">
        <v>62</v>
      </c>
      <c r="B70" s="776"/>
      <c r="C70" s="466">
        <v>13</v>
      </c>
      <c r="D70" s="780" t="s">
        <v>831</v>
      </c>
      <c r="E70" s="432"/>
      <c r="F70" s="772"/>
      <c r="G70" s="433"/>
      <c r="H70" s="1009" t="s">
        <v>24</v>
      </c>
      <c r="I70" s="1027"/>
      <c r="J70" s="1023"/>
      <c r="K70" s="1023"/>
      <c r="L70" s="1023"/>
      <c r="M70" s="1023"/>
      <c r="N70" s="1023"/>
      <c r="O70" s="992"/>
      <c r="P70" s="773"/>
      <c r="Q70" s="420"/>
      <c r="R70" s="420"/>
      <c r="S70" s="420"/>
      <c r="T70" s="420"/>
      <c r="U70" s="420"/>
      <c r="V70" s="420"/>
      <c r="W70" s="420"/>
      <c r="X70" s="420"/>
      <c r="Y70" s="420"/>
      <c r="Z70" s="420"/>
      <c r="AA70" s="420"/>
      <c r="AB70" s="420"/>
      <c r="AC70" s="420"/>
      <c r="AD70" s="420"/>
      <c r="AE70" s="420"/>
      <c r="AF70" s="420"/>
      <c r="AG70" s="420"/>
      <c r="AH70" s="420"/>
      <c r="AI70" s="420"/>
      <c r="AJ70" s="420"/>
      <c r="AK70" s="420"/>
      <c r="AL70" s="420"/>
      <c r="AM70" s="420"/>
      <c r="AN70" s="420"/>
      <c r="AO70" s="420"/>
      <c r="AP70" s="420"/>
      <c r="AQ70" s="420"/>
      <c r="AR70" s="420"/>
      <c r="AS70" s="420"/>
      <c r="AT70" s="420"/>
      <c r="AU70" s="420"/>
      <c r="AV70" s="420"/>
      <c r="AW70" s="420"/>
      <c r="AX70" s="420"/>
      <c r="AY70" s="420"/>
      <c r="AZ70" s="420"/>
      <c r="BA70" s="420"/>
      <c r="BB70" s="420"/>
      <c r="BC70" s="420"/>
      <c r="BD70" s="420"/>
      <c r="BE70" s="420"/>
      <c r="BF70" s="420"/>
      <c r="BG70" s="420"/>
      <c r="BH70" s="420"/>
      <c r="BI70" s="420"/>
      <c r="BJ70" s="420"/>
      <c r="BK70" s="420"/>
      <c r="BL70" s="420"/>
      <c r="BM70" s="420"/>
      <c r="BN70" s="420"/>
      <c r="BO70" s="420"/>
      <c r="BP70" s="420"/>
      <c r="BQ70" s="420"/>
      <c r="BR70" s="420"/>
      <c r="BS70" s="420"/>
      <c r="BT70" s="420"/>
      <c r="BU70" s="420"/>
      <c r="BV70" s="420"/>
      <c r="BW70" s="420"/>
      <c r="BX70" s="420"/>
      <c r="BY70" s="420"/>
      <c r="BZ70" s="420"/>
      <c r="CA70" s="420"/>
      <c r="CB70" s="420"/>
      <c r="CC70" s="420"/>
      <c r="CD70" s="420"/>
      <c r="CE70" s="420"/>
      <c r="CF70" s="420"/>
      <c r="CG70" s="420"/>
      <c r="CH70" s="420"/>
      <c r="CI70" s="420"/>
      <c r="CJ70" s="420"/>
      <c r="CK70" s="420"/>
      <c r="CL70" s="420"/>
      <c r="CM70" s="420"/>
      <c r="CN70" s="420"/>
      <c r="CO70" s="420"/>
      <c r="CP70" s="420"/>
      <c r="CQ70" s="420"/>
      <c r="CR70" s="420"/>
      <c r="CS70" s="420"/>
      <c r="CT70" s="420"/>
      <c r="CU70" s="420"/>
      <c r="CV70" s="420"/>
      <c r="CW70" s="420"/>
      <c r="CX70" s="420"/>
      <c r="CY70" s="420"/>
      <c r="CZ70" s="420"/>
      <c r="DA70" s="420"/>
      <c r="DB70" s="420"/>
      <c r="DC70" s="420"/>
      <c r="DD70" s="420"/>
      <c r="DE70" s="420"/>
      <c r="DF70" s="420"/>
      <c r="DG70" s="420"/>
      <c r="DH70" s="420"/>
      <c r="DI70" s="420"/>
      <c r="DJ70" s="420"/>
      <c r="DK70" s="420"/>
      <c r="DL70" s="420"/>
      <c r="DM70" s="420"/>
      <c r="DN70" s="420"/>
      <c r="DO70" s="420"/>
      <c r="DP70" s="420"/>
      <c r="DQ70" s="420"/>
      <c r="DR70" s="420"/>
      <c r="DS70" s="420"/>
      <c r="DT70" s="420"/>
      <c r="DU70" s="420"/>
      <c r="DV70" s="420"/>
      <c r="DW70" s="420"/>
      <c r="DX70" s="420"/>
      <c r="DY70" s="420"/>
      <c r="DZ70" s="420"/>
      <c r="EA70" s="420"/>
      <c r="EB70" s="420"/>
      <c r="EC70" s="420"/>
      <c r="ED70" s="420"/>
      <c r="EE70" s="420"/>
      <c r="EF70" s="420"/>
      <c r="EG70" s="420"/>
      <c r="EH70" s="420"/>
      <c r="EI70" s="420"/>
      <c r="EJ70" s="420"/>
      <c r="EK70" s="420"/>
      <c r="EL70" s="420"/>
      <c r="EM70" s="420"/>
      <c r="EN70" s="420"/>
      <c r="EO70" s="420"/>
      <c r="EP70" s="420"/>
      <c r="EQ70" s="420"/>
      <c r="ER70" s="420"/>
      <c r="ES70" s="420"/>
      <c r="ET70" s="420"/>
      <c r="EU70" s="420"/>
      <c r="EV70" s="420"/>
      <c r="EW70" s="420"/>
      <c r="EX70" s="420"/>
      <c r="EY70" s="420"/>
      <c r="EZ70" s="420"/>
      <c r="FA70" s="420"/>
      <c r="FB70" s="420"/>
      <c r="FC70" s="420"/>
      <c r="FD70" s="420"/>
      <c r="FE70" s="420"/>
      <c r="FF70" s="420"/>
      <c r="FG70" s="420"/>
      <c r="FH70" s="420"/>
      <c r="FI70" s="420"/>
      <c r="FJ70" s="420"/>
      <c r="FK70" s="420"/>
      <c r="FL70" s="420"/>
      <c r="FM70" s="420"/>
      <c r="FN70" s="420"/>
      <c r="FO70" s="420"/>
      <c r="FP70" s="420"/>
      <c r="FQ70" s="420"/>
      <c r="FR70" s="420"/>
      <c r="FS70" s="420"/>
      <c r="FT70" s="420"/>
      <c r="FU70" s="420"/>
      <c r="FV70" s="420"/>
      <c r="FW70" s="420"/>
      <c r="FX70" s="420"/>
      <c r="FY70" s="420"/>
      <c r="FZ70" s="420"/>
      <c r="GA70" s="420"/>
      <c r="GB70" s="420"/>
      <c r="GC70" s="420"/>
      <c r="GD70" s="420"/>
      <c r="GE70" s="420"/>
      <c r="GF70" s="420"/>
      <c r="GG70" s="420"/>
      <c r="GH70" s="420"/>
      <c r="GI70" s="420"/>
      <c r="GJ70" s="420"/>
      <c r="GK70" s="420"/>
      <c r="GL70" s="420"/>
      <c r="GM70" s="420"/>
      <c r="GN70" s="420"/>
      <c r="GO70" s="420"/>
      <c r="GP70" s="420"/>
      <c r="GQ70" s="420"/>
      <c r="GR70" s="420"/>
      <c r="GS70" s="420"/>
      <c r="GT70" s="420"/>
      <c r="GU70" s="420"/>
      <c r="GV70" s="420"/>
      <c r="GW70" s="420"/>
      <c r="GX70" s="420"/>
      <c r="GY70" s="420"/>
      <c r="GZ70" s="420"/>
      <c r="HA70" s="420"/>
      <c r="HB70" s="420"/>
      <c r="HC70" s="420"/>
      <c r="HD70" s="420"/>
      <c r="HE70" s="420"/>
      <c r="HF70" s="420"/>
      <c r="HG70" s="420"/>
      <c r="HH70" s="420"/>
      <c r="HI70" s="420"/>
      <c r="HJ70" s="420"/>
      <c r="HK70" s="420"/>
      <c r="HL70" s="420"/>
      <c r="HM70" s="420"/>
      <c r="HN70" s="420"/>
      <c r="HO70" s="420"/>
      <c r="HP70" s="420"/>
      <c r="HQ70" s="420"/>
      <c r="HR70" s="420"/>
      <c r="HS70" s="420"/>
      <c r="HT70" s="420"/>
      <c r="HU70" s="420"/>
      <c r="HV70" s="420"/>
      <c r="HW70" s="420"/>
      <c r="HX70" s="420"/>
      <c r="HY70" s="420"/>
      <c r="HZ70" s="420"/>
      <c r="IA70" s="420"/>
      <c r="IB70" s="420"/>
      <c r="IC70" s="420"/>
      <c r="ID70" s="420"/>
      <c r="IE70" s="420"/>
      <c r="IF70" s="420"/>
      <c r="IG70" s="420"/>
      <c r="IH70" s="420"/>
      <c r="II70" s="420"/>
      <c r="IJ70" s="420"/>
      <c r="IK70" s="420"/>
      <c r="IL70" s="420"/>
      <c r="IM70" s="420"/>
      <c r="IN70" s="420"/>
      <c r="IO70" s="420"/>
      <c r="IP70" s="420"/>
      <c r="IQ70" s="420"/>
      <c r="IR70" s="420"/>
      <c r="IS70" s="420"/>
      <c r="IT70" s="420"/>
      <c r="IU70" s="420"/>
      <c r="IV70" s="420"/>
      <c r="IW70" s="420"/>
      <c r="IX70" s="420"/>
      <c r="IY70" s="420"/>
      <c r="IZ70" s="420"/>
      <c r="JA70" s="420"/>
    </row>
    <row r="71" spans="1:261" s="768" customFormat="1" ht="18" customHeight="1" x14ac:dyDescent="0.35">
      <c r="A71" s="783">
        <v>63</v>
      </c>
      <c r="B71" s="776"/>
      <c r="C71" s="422"/>
      <c r="D71" s="1002" t="s">
        <v>311</v>
      </c>
      <c r="E71" s="432">
        <f>F71+G71+O74+P71</f>
        <v>2000</v>
      </c>
      <c r="F71" s="772"/>
      <c r="G71" s="433"/>
      <c r="H71" s="1009"/>
      <c r="I71" s="1027"/>
      <c r="J71" s="1023"/>
      <c r="K71" s="1023"/>
      <c r="L71" s="1023"/>
      <c r="M71" s="1023">
        <v>2000</v>
      </c>
      <c r="N71" s="1023"/>
      <c r="O71" s="992">
        <f>SUM(I71:N71)</f>
        <v>2000</v>
      </c>
      <c r="P71" s="773"/>
      <c r="Q71" s="420"/>
      <c r="R71" s="420"/>
      <c r="S71" s="420"/>
      <c r="T71" s="420"/>
      <c r="U71" s="420"/>
      <c r="V71" s="420"/>
      <c r="W71" s="420"/>
      <c r="X71" s="420"/>
      <c r="Y71" s="420"/>
      <c r="Z71" s="420"/>
      <c r="AA71" s="420"/>
      <c r="AB71" s="420"/>
      <c r="AC71" s="420"/>
      <c r="AD71" s="420"/>
      <c r="AE71" s="420"/>
      <c r="AF71" s="420"/>
      <c r="AG71" s="420"/>
      <c r="AH71" s="420"/>
      <c r="AI71" s="420"/>
      <c r="AJ71" s="420"/>
      <c r="AK71" s="420"/>
      <c r="AL71" s="420"/>
      <c r="AM71" s="420"/>
      <c r="AN71" s="420"/>
      <c r="AO71" s="420"/>
      <c r="AP71" s="420"/>
      <c r="AQ71" s="420"/>
      <c r="AR71" s="420"/>
      <c r="AS71" s="420"/>
      <c r="AT71" s="420"/>
      <c r="AU71" s="420"/>
      <c r="AV71" s="420"/>
      <c r="AW71" s="420"/>
      <c r="AX71" s="420"/>
      <c r="AY71" s="420"/>
      <c r="AZ71" s="420"/>
      <c r="BA71" s="420"/>
      <c r="BB71" s="420"/>
      <c r="BC71" s="420"/>
      <c r="BD71" s="420"/>
      <c r="BE71" s="420"/>
      <c r="BF71" s="420"/>
      <c r="BG71" s="420"/>
      <c r="BH71" s="420"/>
      <c r="BI71" s="420"/>
      <c r="BJ71" s="420"/>
      <c r="BK71" s="420"/>
      <c r="BL71" s="420"/>
      <c r="BM71" s="420"/>
      <c r="BN71" s="420"/>
      <c r="BO71" s="420"/>
      <c r="BP71" s="420"/>
      <c r="BQ71" s="420"/>
      <c r="BR71" s="420"/>
      <c r="BS71" s="420"/>
      <c r="BT71" s="420"/>
      <c r="BU71" s="420"/>
      <c r="BV71" s="420"/>
      <c r="BW71" s="420"/>
      <c r="BX71" s="420"/>
      <c r="BY71" s="420"/>
      <c r="BZ71" s="420"/>
      <c r="CA71" s="420"/>
      <c r="CB71" s="420"/>
      <c r="CC71" s="420"/>
      <c r="CD71" s="420"/>
      <c r="CE71" s="420"/>
      <c r="CF71" s="420"/>
      <c r="CG71" s="420"/>
      <c r="CH71" s="420"/>
      <c r="CI71" s="420"/>
      <c r="CJ71" s="420"/>
      <c r="CK71" s="420"/>
      <c r="CL71" s="420"/>
      <c r="CM71" s="420"/>
      <c r="CN71" s="420"/>
      <c r="CO71" s="420"/>
      <c r="CP71" s="420"/>
      <c r="CQ71" s="420"/>
      <c r="CR71" s="420"/>
      <c r="CS71" s="420"/>
      <c r="CT71" s="420"/>
      <c r="CU71" s="420"/>
      <c r="CV71" s="420"/>
      <c r="CW71" s="420"/>
      <c r="CX71" s="420"/>
      <c r="CY71" s="420"/>
      <c r="CZ71" s="420"/>
      <c r="DA71" s="420"/>
      <c r="DB71" s="420"/>
      <c r="DC71" s="420"/>
      <c r="DD71" s="420"/>
      <c r="DE71" s="420"/>
      <c r="DF71" s="420"/>
      <c r="DG71" s="420"/>
      <c r="DH71" s="420"/>
      <c r="DI71" s="420"/>
      <c r="DJ71" s="420"/>
      <c r="DK71" s="420"/>
      <c r="DL71" s="420"/>
      <c r="DM71" s="420"/>
      <c r="DN71" s="420"/>
      <c r="DO71" s="420"/>
      <c r="DP71" s="420"/>
      <c r="DQ71" s="420"/>
      <c r="DR71" s="420"/>
      <c r="DS71" s="420"/>
      <c r="DT71" s="420"/>
      <c r="DU71" s="420"/>
      <c r="DV71" s="420"/>
      <c r="DW71" s="420"/>
      <c r="DX71" s="420"/>
      <c r="DY71" s="420"/>
      <c r="DZ71" s="420"/>
      <c r="EA71" s="420"/>
      <c r="EB71" s="420"/>
      <c r="EC71" s="420"/>
      <c r="ED71" s="420"/>
      <c r="EE71" s="420"/>
      <c r="EF71" s="420"/>
      <c r="EG71" s="420"/>
      <c r="EH71" s="420"/>
      <c r="EI71" s="420"/>
      <c r="EJ71" s="420"/>
      <c r="EK71" s="420"/>
      <c r="EL71" s="420"/>
      <c r="EM71" s="420"/>
      <c r="EN71" s="420"/>
      <c r="EO71" s="420"/>
      <c r="EP71" s="420"/>
      <c r="EQ71" s="420"/>
      <c r="ER71" s="420"/>
      <c r="ES71" s="420"/>
      <c r="ET71" s="420"/>
      <c r="EU71" s="420"/>
      <c r="EV71" s="420"/>
      <c r="EW71" s="420"/>
      <c r="EX71" s="420"/>
      <c r="EY71" s="420"/>
      <c r="EZ71" s="420"/>
      <c r="FA71" s="420"/>
      <c r="FB71" s="420"/>
      <c r="FC71" s="420"/>
      <c r="FD71" s="420"/>
      <c r="FE71" s="420"/>
      <c r="FF71" s="420"/>
      <c r="FG71" s="420"/>
      <c r="FH71" s="420"/>
      <c r="FI71" s="420"/>
      <c r="FJ71" s="420"/>
      <c r="FK71" s="420"/>
      <c r="FL71" s="420"/>
      <c r="FM71" s="420"/>
      <c r="FN71" s="420"/>
      <c r="FO71" s="420"/>
      <c r="FP71" s="420"/>
      <c r="FQ71" s="420"/>
      <c r="FR71" s="420"/>
      <c r="FS71" s="420"/>
      <c r="FT71" s="420"/>
      <c r="FU71" s="420"/>
      <c r="FV71" s="420"/>
      <c r="FW71" s="420"/>
      <c r="FX71" s="420"/>
      <c r="FY71" s="420"/>
      <c r="FZ71" s="420"/>
      <c r="GA71" s="420"/>
      <c r="GB71" s="420"/>
      <c r="GC71" s="420"/>
      <c r="GD71" s="420"/>
      <c r="GE71" s="420"/>
      <c r="GF71" s="420"/>
      <c r="GG71" s="420"/>
      <c r="GH71" s="420"/>
      <c r="GI71" s="420"/>
      <c r="GJ71" s="420"/>
      <c r="GK71" s="420"/>
      <c r="GL71" s="420"/>
      <c r="GM71" s="420"/>
      <c r="GN71" s="420"/>
      <c r="GO71" s="420"/>
      <c r="GP71" s="420"/>
      <c r="GQ71" s="420"/>
      <c r="GR71" s="420"/>
      <c r="GS71" s="420"/>
      <c r="GT71" s="420"/>
      <c r="GU71" s="420"/>
      <c r="GV71" s="420"/>
      <c r="GW71" s="420"/>
      <c r="GX71" s="420"/>
      <c r="GY71" s="420"/>
      <c r="GZ71" s="420"/>
      <c r="HA71" s="420"/>
      <c r="HB71" s="420"/>
      <c r="HC71" s="420"/>
      <c r="HD71" s="420"/>
      <c r="HE71" s="420"/>
      <c r="HF71" s="420"/>
      <c r="HG71" s="420"/>
      <c r="HH71" s="420"/>
      <c r="HI71" s="420"/>
      <c r="HJ71" s="420"/>
      <c r="HK71" s="420"/>
      <c r="HL71" s="420"/>
      <c r="HM71" s="420"/>
      <c r="HN71" s="420"/>
      <c r="HO71" s="420"/>
      <c r="HP71" s="420"/>
      <c r="HQ71" s="420"/>
      <c r="HR71" s="420"/>
      <c r="HS71" s="420"/>
      <c r="HT71" s="420"/>
      <c r="HU71" s="420"/>
      <c r="HV71" s="420"/>
      <c r="HW71" s="420"/>
      <c r="HX71" s="420"/>
      <c r="HY71" s="420"/>
      <c r="HZ71" s="420"/>
      <c r="IA71" s="420"/>
      <c r="IB71" s="420"/>
      <c r="IC71" s="420"/>
      <c r="ID71" s="420"/>
      <c r="IE71" s="420"/>
      <c r="IF71" s="420"/>
      <c r="IG71" s="420"/>
      <c r="IH71" s="420"/>
      <c r="II71" s="420"/>
      <c r="IJ71" s="420"/>
      <c r="IK71" s="420"/>
      <c r="IL71" s="420"/>
      <c r="IM71" s="420"/>
      <c r="IN71" s="420"/>
      <c r="IO71" s="420"/>
      <c r="IP71" s="420"/>
      <c r="IQ71" s="420"/>
      <c r="IR71" s="420"/>
      <c r="IS71" s="420"/>
      <c r="IT71" s="420"/>
      <c r="IU71" s="420"/>
      <c r="IV71" s="420"/>
      <c r="IW71" s="420"/>
      <c r="IX71" s="420"/>
      <c r="IY71" s="420"/>
      <c r="IZ71" s="420"/>
      <c r="JA71" s="420"/>
    </row>
    <row r="72" spans="1:261" s="768" customFormat="1" ht="18" customHeight="1" x14ac:dyDescent="0.35">
      <c r="A72" s="783">
        <v>64</v>
      </c>
      <c r="B72" s="776"/>
      <c r="C72" s="422"/>
      <c r="D72" s="583" t="s">
        <v>1072</v>
      </c>
      <c r="E72" s="432"/>
      <c r="F72" s="772"/>
      <c r="G72" s="433"/>
      <c r="H72" s="1009"/>
      <c r="I72" s="1027"/>
      <c r="J72" s="1023"/>
      <c r="K72" s="1023"/>
      <c r="L72" s="1023"/>
      <c r="M72" s="1548">
        <v>2000</v>
      </c>
      <c r="N72" s="769"/>
      <c r="O72" s="777">
        <f>SUM(I72:N72)</f>
        <v>2000</v>
      </c>
      <c r="P72" s="773"/>
      <c r="Q72" s="420"/>
      <c r="R72" s="420"/>
      <c r="S72" s="420"/>
      <c r="T72" s="420"/>
      <c r="U72" s="420"/>
      <c r="V72" s="420"/>
      <c r="W72" s="420"/>
      <c r="X72" s="420"/>
      <c r="Y72" s="420"/>
      <c r="Z72" s="420"/>
      <c r="AA72" s="420"/>
      <c r="AB72" s="420"/>
      <c r="AC72" s="420"/>
      <c r="AD72" s="420"/>
      <c r="AE72" s="420"/>
      <c r="AF72" s="420"/>
      <c r="AG72" s="420"/>
      <c r="AH72" s="420"/>
      <c r="AI72" s="420"/>
      <c r="AJ72" s="420"/>
      <c r="AK72" s="420"/>
      <c r="AL72" s="420"/>
      <c r="AM72" s="420"/>
      <c r="AN72" s="420"/>
      <c r="AO72" s="420"/>
      <c r="AP72" s="420"/>
      <c r="AQ72" s="420"/>
      <c r="AR72" s="420"/>
      <c r="AS72" s="420"/>
      <c r="AT72" s="420"/>
      <c r="AU72" s="420"/>
      <c r="AV72" s="420"/>
      <c r="AW72" s="420"/>
      <c r="AX72" s="420"/>
      <c r="AY72" s="420"/>
      <c r="AZ72" s="420"/>
      <c r="BA72" s="420"/>
      <c r="BB72" s="420"/>
      <c r="BC72" s="420"/>
      <c r="BD72" s="420"/>
      <c r="BE72" s="420"/>
      <c r="BF72" s="420"/>
      <c r="BG72" s="420"/>
      <c r="BH72" s="420"/>
      <c r="BI72" s="420"/>
      <c r="BJ72" s="420"/>
      <c r="BK72" s="420"/>
      <c r="BL72" s="420"/>
      <c r="BM72" s="420"/>
      <c r="BN72" s="420"/>
      <c r="BO72" s="420"/>
      <c r="BP72" s="420"/>
      <c r="BQ72" s="420"/>
      <c r="BR72" s="420"/>
      <c r="BS72" s="420"/>
      <c r="BT72" s="420"/>
      <c r="BU72" s="420"/>
      <c r="BV72" s="420"/>
      <c r="BW72" s="420"/>
      <c r="BX72" s="420"/>
      <c r="BY72" s="420"/>
      <c r="BZ72" s="420"/>
      <c r="CA72" s="420"/>
      <c r="CB72" s="420"/>
      <c r="CC72" s="420"/>
      <c r="CD72" s="420"/>
      <c r="CE72" s="420"/>
      <c r="CF72" s="420"/>
      <c r="CG72" s="420"/>
      <c r="CH72" s="420"/>
      <c r="CI72" s="420"/>
      <c r="CJ72" s="420"/>
      <c r="CK72" s="420"/>
      <c r="CL72" s="420"/>
      <c r="CM72" s="420"/>
      <c r="CN72" s="420"/>
      <c r="CO72" s="420"/>
      <c r="CP72" s="420"/>
      <c r="CQ72" s="420"/>
      <c r="CR72" s="420"/>
      <c r="CS72" s="420"/>
      <c r="CT72" s="420"/>
      <c r="CU72" s="420"/>
      <c r="CV72" s="420"/>
      <c r="CW72" s="420"/>
      <c r="CX72" s="420"/>
      <c r="CY72" s="420"/>
      <c r="CZ72" s="420"/>
      <c r="DA72" s="420"/>
      <c r="DB72" s="420"/>
      <c r="DC72" s="420"/>
      <c r="DD72" s="420"/>
      <c r="DE72" s="420"/>
      <c r="DF72" s="420"/>
      <c r="DG72" s="420"/>
      <c r="DH72" s="420"/>
      <c r="DI72" s="420"/>
      <c r="DJ72" s="420"/>
      <c r="DK72" s="420"/>
      <c r="DL72" s="420"/>
      <c r="DM72" s="420"/>
      <c r="DN72" s="420"/>
      <c r="DO72" s="420"/>
      <c r="DP72" s="420"/>
      <c r="DQ72" s="420"/>
      <c r="DR72" s="420"/>
      <c r="DS72" s="420"/>
      <c r="DT72" s="420"/>
      <c r="DU72" s="420"/>
      <c r="DV72" s="420"/>
      <c r="DW72" s="420"/>
      <c r="DX72" s="420"/>
      <c r="DY72" s="420"/>
      <c r="DZ72" s="420"/>
      <c r="EA72" s="420"/>
      <c r="EB72" s="420"/>
      <c r="EC72" s="420"/>
      <c r="ED72" s="420"/>
      <c r="EE72" s="420"/>
      <c r="EF72" s="420"/>
      <c r="EG72" s="420"/>
      <c r="EH72" s="420"/>
      <c r="EI72" s="420"/>
      <c r="EJ72" s="420"/>
      <c r="EK72" s="420"/>
      <c r="EL72" s="420"/>
      <c r="EM72" s="420"/>
      <c r="EN72" s="420"/>
      <c r="EO72" s="420"/>
      <c r="EP72" s="420"/>
      <c r="EQ72" s="420"/>
      <c r="ER72" s="420"/>
      <c r="ES72" s="420"/>
      <c r="ET72" s="420"/>
      <c r="EU72" s="420"/>
      <c r="EV72" s="420"/>
      <c r="EW72" s="420"/>
      <c r="EX72" s="420"/>
      <c r="EY72" s="420"/>
      <c r="EZ72" s="420"/>
      <c r="FA72" s="420"/>
      <c r="FB72" s="420"/>
      <c r="FC72" s="420"/>
      <c r="FD72" s="420"/>
      <c r="FE72" s="420"/>
      <c r="FF72" s="420"/>
      <c r="FG72" s="420"/>
      <c r="FH72" s="420"/>
      <c r="FI72" s="420"/>
      <c r="FJ72" s="420"/>
      <c r="FK72" s="420"/>
      <c r="FL72" s="420"/>
      <c r="FM72" s="420"/>
      <c r="FN72" s="420"/>
      <c r="FO72" s="420"/>
      <c r="FP72" s="420"/>
      <c r="FQ72" s="420"/>
      <c r="FR72" s="420"/>
      <c r="FS72" s="420"/>
      <c r="FT72" s="420"/>
      <c r="FU72" s="420"/>
      <c r="FV72" s="420"/>
      <c r="FW72" s="420"/>
      <c r="FX72" s="420"/>
      <c r="FY72" s="420"/>
      <c r="FZ72" s="420"/>
      <c r="GA72" s="420"/>
      <c r="GB72" s="420"/>
      <c r="GC72" s="420"/>
      <c r="GD72" s="420"/>
      <c r="GE72" s="420"/>
      <c r="GF72" s="420"/>
      <c r="GG72" s="420"/>
      <c r="GH72" s="420"/>
      <c r="GI72" s="420"/>
      <c r="GJ72" s="420"/>
      <c r="GK72" s="420"/>
      <c r="GL72" s="420"/>
      <c r="GM72" s="420"/>
      <c r="GN72" s="420"/>
      <c r="GO72" s="420"/>
      <c r="GP72" s="420"/>
      <c r="GQ72" s="420"/>
      <c r="GR72" s="420"/>
      <c r="GS72" s="420"/>
      <c r="GT72" s="420"/>
      <c r="GU72" s="420"/>
      <c r="GV72" s="420"/>
      <c r="GW72" s="420"/>
      <c r="GX72" s="420"/>
      <c r="GY72" s="420"/>
      <c r="GZ72" s="420"/>
      <c r="HA72" s="420"/>
      <c r="HB72" s="420"/>
      <c r="HC72" s="420"/>
      <c r="HD72" s="420"/>
      <c r="HE72" s="420"/>
      <c r="HF72" s="420"/>
      <c r="HG72" s="420"/>
      <c r="HH72" s="420"/>
      <c r="HI72" s="420"/>
      <c r="HJ72" s="420"/>
      <c r="HK72" s="420"/>
      <c r="HL72" s="420"/>
      <c r="HM72" s="420"/>
      <c r="HN72" s="420"/>
      <c r="HO72" s="420"/>
      <c r="HP72" s="420"/>
      <c r="HQ72" s="420"/>
      <c r="HR72" s="420"/>
      <c r="HS72" s="420"/>
      <c r="HT72" s="420"/>
      <c r="HU72" s="420"/>
      <c r="HV72" s="420"/>
      <c r="HW72" s="420"/>
      <c r="HX72" s="420"/>
      <c r="HY72" s="420"/>
      <c r="HZ72" s="420"/>
      <c r="IA72" s="420"/>
      <c r="IB72" s="420"/>
      <c r="IC72" s="420"/>
      <c r="ID72" s="420"/>
      <c r="IE72" s="420"/>
      <c r="IF72" s="420"/>
      <c r="IG72" s="420"/>
      <c r="IH72" s="420"/>
      <c r="II72" s="420"/>
      <c r="IJ72" s="420"/>
      <c r="IK72" s="420"/>
      <c r="IL72" s="420"/>
      <c r="IM72" s="420"/>
      <c r="IN72" s="420"/>
      <c r="IO72" s="420"/>
      <c r="IP72" s="420"/>
      <c r="IQ72" s="420"/>
      <c r="IR72" s="420"/>
      <c r="IS72" s="420"/>
      <c r="IT72" s="420"/>
      <c r="IU72" s="420"/>
      <c r="IV72" s="420"/>
      <c r="IW72" s="420"/>
      <c r="IX72" s="420"/>
      <c r="IY72" s="420"/>
      <c r="IZ72" s="420"/>
      <c r="JA72" s="420"/>
    </row>
    <row r="73" spans="1:261" s="768" customFormat="1" ht="18" customHeight="1" x14ac:dyDescent="0.35">
      <c r="A73" s="783">
        <v>65</v>
      </c>
      <c r="B73" s="776"/>
      <c r="C73" s="422"/>
      <c r="D73" s="1338" t="s">
        <v>963</v>
      </c>
      <c r="E73" s="432"/>
      <c r="F73" s="772"/>
      <c r="G73" s="433"/>
      <c r="H73" s="1009"/>
      <c r="I73" s="769"/>
      <c r="J73" s="769"/>
      <c r="K73" s="769"/>
      <c r="L73" s="769"/>
      <c r="M73" s="769"/>
      <c r="N73" s="769"/>
      <c r="O73" s="777">
        <f>SUM(I73:N73)</f>
        <v>0</v>
      </c>
      <c r="P73" s="773"/>
      <c r="Q73" s="420"/>
      <c r="R73" s="420"/>
      <c r="S73" s="420"/>
      <c r="T73" s="420"/>
      <c r="U73" s="420"/>
      <c r="V73" s="420"/>
      <c r="W73" s="420"/>
      <c r="X73" s="420"/>
      <c r="Y73" s="420"/>
      <c r="Z73" s="420"/>
      <c r="AA73" s="420"/>
      <c r="AB73" s="420"/>
      <c r="AC73" s="420"/>
      <c r="AD73" s="420"/>
      <c r="AE73" s="420"/>
      <c r="AF73" s="420"/>
      <c r="AG73" s="420"/>
      <c r="AH73" s="420"/>
      <c r="AI73" s="420"/>
      <c r="AJ73" s="420"/>
      <c r="AK73" s="420"/>
      <c r="AL73" s="420"/>
      <c r="AM73" s="420"/>
      <c r="AN73" s="420"/>
      <c r="AO73" s="420"/>
      <c r="AP73" s="420"/>
      <c r="AQ73" s="420"/>
      <c r="AR73" s="420"/>
      <c r="AS73" s="420"/>
      <c r="AT73" s="420"/>
      <c r="AU73" s="420"/>
      <c r="AV73" s="420"/>
      <c r="AW73" s="420"/>
      <c r="AX73" s="420"/>
      <c r="AY73" s="420"/>
      <c r="AZ73" s="420"/>
      <c r="BA73" s="420"/>
      <c r="BB73" s="420"/>
      <c r="BC73" s="420"/>
      <c r="BD73" s="420"/>
      <c r="BE73" s="420"/>
      <c r="BF73" s="420"/>
      <c r="BG73" s="420"/>
      <c r="BH73" s="420"/>
      <c r="BI73" s="420"/>
      <c r="BJ73" s="420"/>
      <c r="BK73" s="420"/>
      <c r="BL73" s="420"/>
      <c r="BM73" s="420"/>
      <c r="BN73" s="420"/>
      <c r="BO73" s="420"/>
      <c r="BP73" s="420"/>
      <c r="BQ73" s="420"/>
      <c r="BR73" s="420"/>
      <c r="BS73" s="420"/>
      <c r="BT73" s="420"/>
      <c r="BU73" s="420"/>
      <c r="BV73" s="420"/>
      <c r="BW73" s="420"/>
      <c r="BX73" s="420"/>
      <c r="BY73" s="420"/>
      <c r="BZ73" s="420"/>
      <c r="CA73" s="420"/>
      <c r="CB73" s="420"/>
      <c r="CC73" s="420"/>
      <c r="CD73" s="420"/>
      <c r="CE73" s="420"/>
      <c r="CF73" s="420"/>
      <c r="CG73" s="420"/>
      <c r="CH73" s="420"/>
      <c r="CI73" s="420"/>
      <c r="CJ73" s="420"/>
      <c r="CK73" s="420"/>
      <c r="CL73" s="420"/>
      <c r="CM73" s="420"/>
      <c r="CN73" s="420"/>
      <c r="CO73" s="420"/>
      <c r="CP73" s="420"/>
      <c r="CQ73" s="420"/>
      <c r="CR73" s="420"/>
      <c r="CS73" s="420"/>
      <c r="CT73" s="420"/>
      <c r="CU73" s="420"/>
      <c r="CV73" s="420"/>
      <c r="CW73" s="420"/>
      <c r="CX73" s="420"/>
      <c r="CY73" s="420"/>
      <c r="CZ73" s="420"/>
      <c r="DA73" s="420"/>
      <c r="DB73" s="420"/>
      <c r="DC73" s="420"/>
      <c r="DD73" s="420"/>
      <c r="DE73" s="420"/>
      <c r="DF73" s="420"/>
      <c r="DG73" s="420"/>
      <c r="DH73" s="420"/>
      <c r="DI73" s="420"/>
      <c r="DJ73" s="420"/>
      <c r="DK73" s="420"/>
      <c r="DL73" s="420"/>
      <c r="DM73" s="420"/>
      <c r="DN73" s="420"/>
      <c r="DO73" s="420"/>
      <c r="DP73" s="420"/>
      <c r="DQ73" s="420"/>
      <c r="DR73" s="420"/>
      <c r="DS73" s="420"/>
      <c r="DT73" s="420"/>
      <c r="DU73" s="420"/>
      <c r="DV73" s="420"/>
      <c r="DW73" s="420"/>
      <c r="DX73" s="420"/>
      <c r="DY73" s="420"/>
      <c r="DZ73" s="420"/>
      <c r="EA73" s="420"/>
      <c r="EB73" s="420"/>
      <c r="EC73" s="420"/>
      <c r="ED73" s="420"/>
      <c r="EE73" s="420"/>
      <c r="EF73" s="420"/>
      <c r="EG73" s="420"/>
      <c r="EH73" s="420"/>
      <c r="EI73" s="420"/>
      <c r="EJ73" s="420"/>
      <c r="EK73" s="420"/>
      <c r="EL73" s="420"/>
      <c r="EM73" s="420"/>
      <c r="EN73" s="420"/>
      <c r="EO73" s="420"/>
      <c r="EP73" s="420"/>
      <c r="EQ73" s="420"/>
      <c r="ER73" s="420"/>
      <c r="ES73" s="420"/>
      <c r="ET73" s="420"/>
      <c r="EU73" s="420"/>
      <c r="EV73" s="420"/>
      <c r="EW73" s="420"/>
      <c r="EX73" s="420"/>
      <c r="EY73" s="420"/>
      <c r="EZ73" s="420"/>
      <c r="FA73" s="420"/>
      <c r="FB73" s="420"/>
      <c r="FC73" s="420"/>
      <c r="FD73" s="420"/>
      <c r="FE73" s="420"/>
      <c r="FF73" s="420"/>
      <c r="FG73" s="420"/>
      <c r="FH73" s="420"/>
      <c r="FI73" s="420"/>
      <c r="FJ73" s="420"/>
      <c r="FK73" s="420"/>
      <c r="FL73" s="420"/>
      <c r="FM73" s="420"/>
      <c r="FN73" s="420"/>
      <c r="FO73" s="420"/>
      <c r="FP73" s="420"/>
      <c r="FQ73" s="420"/>
      <c r="FR73" s="420"/>
      <c r="FS73" s="420"/>
      <c r="FT73" s="420"/>
      <c r="FU73" s="420"/>
      <c r="FV73" s="420"/>
      <c r="FW73" s="420"/>
      <c r="FX73" s="420"/>
      <c r="FY73" s="420"/>
      <c r="FZ73" s="420"/>
      <c r="GA73" s="420"/>
      <c r="GB73" s="420"/>
      <c r="GC73" s="420"/>
      <c r="GD73" s="420"/>
      <c r="GE73" s="420"/>
      <c r="GF73" s="420"/>
      <c r="GG73" s="420"/>
      <c r="GH73" s="420"/>
      <c r="GI73" s="420"/>
      <c r="GJ73" s="420"/>
      <c r="GK73" s="420"/>
      <c r="GL73" s="420"/>
      <c r="GM73" s="420"/>
      <c r="GN73" s="420"/>
      <c r="GO73" s="420"/>
      <c r="GP73" s="420"/>
      <c r="GQ73" s="420"/>
      <c r="GR73" s="420"/>
      <c r="GS73" s="420"/>
      <c r="GT73" s="420"/>
      <c r="GU73" s="420"/>
      <c r="GV73" s="420"/>
      <c r="GW73" s="420"/>
      <c r="GX73" s="420"/>
      <c r="GY73" s="420"/>
      <c r="GZ73" s="420"/>
      <c r="HA73" s="420"/>
      <c r="HB73" s="420"/>
      <c r="HC73" s="420"/>
      <c r="HD73" s="420"/>
      <c r="HE73" s="420"/>
      <c r="HF73" s="420"/>
      <c r="HG73" s="420"/>
      <c r="HH73" s="420"/>
      <c r="HI73" s="420"/>
      <c r="HJ73" s="420"/>
      <c r="HK73" s="420"/>
      <c r="HL73" s="420"/>
      <c r="HM73" s="420"/>
      <c r="HN73" s="420"/>
      <c r="HO73" s="420"/>
      <c r="HP73" s="420"/>
      <c r="HQ73" s="420"/>
      <c r="HR73" s="420"/>
      <c r="HS73" s="420"/>
      <c r="HT73" s="420"/>
      <c r="HU73" s="420"/>
      <c r="HV73" s="420"/>
      <c r="HW73" s="420"/>
      <c r="HX73" s="420"/>
      <c r="HY73" s="420"/>
      <c r="HZ73" s="420"/>
      <c r="IA73" s="420"/>
      <c r="IB73" s="420"/>
      <c r="IC73" s="420"/>
      <c r="ID73" s="420"/>
      <c r="IE73" s="420"/>
      <c r="IF73" s="420"/>
      <c r="IG73" s="420"/>
      <c r="IH73" s="420"/>
      <c r="II73" s="420"/>
      <c r="IJ73" s="420"/>
      <c r="IK73" s="420"/>
      <c r="IL73" s="420"/>
      <c r="IM73" s="420"/>
      <c r="IN73" s="420"/>
      <c r="IO73" s="420"/>
      <c r="IP73" s="420"/>
      <c r="IQ73" s="420"/>
      <c r="IR73" s="420"/>
      <c r="IS73" s="420"/>
      <c r="IT73" s="420"/>
      <c r="IU73" s="420"/>
      <c r="IV73" s="420"/>
      <c r="IW73" s="420"/>
      <c r="IX73" s="420"/>
      <c r="IY73" s="420"/>
      <c r="IZ73" s="420"/>
      <c r="JA73" s="420"/>
    </row>
    <row r="74" spans="1:261" s="768" customFormat="1" ht="18" customHeight="1" thickBot="1" x14ac:dyDescent="0.4">
      <c r="A74" s="783">
        <v>66</v>
      </c>
      <c r="B74" s="1522"/>
      <c r="C74" s="1523"/>
      <c r="D74" s="583" t="s">
        <v>1151</v>
      </c>
      <c r="E74" s="1524"/>
      <c r="F74" s="1525"/>
      <c r="G74" s="1526"/>
      <c r="H74" s="1527"/>
      <c r="I74" s="1528"/>
      <c r="J74" s="1528"/>
      <c r="K74" s="1528"/>
      <c r="L74" s="1528"/>
      <c r="M74" s="1565">
        <f>SUM(M72:M73)</f>
        <v>2000</v>
      </c>
      <c r="N74" s="1528"/>
      <c r="O74" s="777">
        <f>SUM(I74:N74)</f>
        <v>2000</v>
      </c>
      <c r="P74" s="1531"/>
      <c r="Q74" s="420"/>
      <c r="R74" s="420"/>
      <c r="S74" s="420"/>
      <c r="T74" s="420"/>
      <c r="U74" s="420"/>
      <c r="V74" s="420"/>
      <c r="W74" s="420"/>
      <c r="X74" s="420"/>
      <c r="Y74" s="420"/>
      <c r="Z74" s="420"/>
      <c r="AA74" s="420"/>
      <c r="AB74" s="420"/>
      <c r="AC74" s="420"/>
      <c r="AD74" s="420"/>
      <c r="AE74" s="420"/>
      <c r="AF74" s="420"/>
      <c r="AG74" s="420"/>
      <c r="AH74" s="420"/>
      <c r="AI74" s="420"/>
      <c r="AJ74" s="420"/>
      <c r="AK74" s="420"/>
      <c r="AL74" s="420"/>
      <c r="AM74" s="420"/>
      <c r="AN74" s="420"/>
      <c r="AO74" s="420"/>
      <c r="AP74" s="420"/>
      <c r="AQ74" s="420"/>
      <c r="AR74" s="420"/>
      <c r="AS74" s="420"/>
      <c r="AT74" s="420"/>
      <c r="AU74" s="420"/>
      <c r="AV74" s="420"/>
      <c r="AW74" s="420"/>
      <c r="AX74" s="420"/>
      <c r="AY74" s="420"/>
      <c r="AZ74" s="420"/>
      <c r="BA74" s="420"/>
      <c r="BB74" s="420"/>
      <c r="BC74" s="420"/>
      <c r="BD74" s="420"/>
      <c r="BE74" s="420"/>
      <c r="BF74" s="420"/>
      <c r="BG74" s="420"/>
      <c r="BH74" s="420"/>
      <c r="BI74" s="420"/>
      <c r="BJ74" s="420"/>
      <c r="BK74" s="420"/>
      <c r="BL74" s="420"/>
      <c r="BM74" s="420"/>
      <c r="BN74" s="420"/>
      <c r="BO74" s="420"/>
      <c r="BP74" s="420"/>
      <c r="BQ74" s="420"/>
      <c r="BR74" s="420"/>
      <c r="BS74" s="420"/>
      <c r="BT74" s="420"/>
      <c r="BU74" s="420"/>
      <c r="BV74" s="420"/>
      <c r="BW74" s="420"/>
      <c r="BX74" s="420"/>
      <c r="BY74" s="420"/>
      <c r="BZ74" s="420"/>
      <c r="CA74" s="420"/>
      <c r="CB74" s="420"/>
      <c r="CC74" s="420"/>
      <c r="CD74" s="420"/>
      <c r="CE74" s="420"/>
      <c r="CF74" s="420"/>
      <c r="CG74" s="420"/>
      <c r="CH74" s="420"/>
      <c r="CI74" s="420"/>
      <c r="CJ74" s="420"/>
      <c r="CK74" s="420"/>
      <c r="CL74" s="420"/>
      <c r="CM74" s="420"/>
      <c r="CN74" s="420"/>
      <c r="CO74" s="420"/>
      <c r="CP74" s="420"/>
      <c r="CQ74" s="420"/>
      <c r="CR74" s="420"/>
      <c r="CS74" s="420"/>
      <c r="CT74" s="420"/>
      <c r="CU74" s="420"/>
      <c r="CV74" s="420"/>
      <c r="CW74" s="420"/>
      <c r="CX74" s="420"/>
      <c r="CY74" s="420"/>
      <c r="CZ74" s="420"/>
      <c r="DA74" s="420"/>
      <c r="DB74" s="420"/>
      <c r="DC74" s="420"/>
      <c r="DD74" s="420"/>
      <c r="DE74" s="420"/>
      <c r="DF74" s="420"/>
      <c r="DG74" s="420"/>
      <c r="DH74" s="420"/>
      <c r="DI74" s="420"/>
      <c r="DJ74" s="420"/>
      <c r="DK74" s="420"/>
      <c r="DL74" s="420"/>
      <c r="DM74" s="420"/>
      <c r="DN74" s="420"/>
      <c r="DO74" s="420"/>
      <c r="DP74" s="420"/>
      <c r="DQ74" s="420"/>
      <c r="DR74" s="420"/>
      <c r="DS74" s="420"/>
      <c r="DT74" s="420"/>
      <c r="DU74" s="420"/>
      <c r="DV74" s="420"/>
      <c r="DW74" s="420"/>
      <c r="DX74" s="420"/>
      <c r="DY74" s="420"/>
      <c r="DZ74" s="420"/>
      <c r="EA74" s="420"/>
      <c r="EB74" s="420"/>
      <c r="EC74" s="420"/>
      <c r="ED74" s="420"/>
      <c r="EE74" s="420"/>
      <c r="EF74" s="420"/>
      <c r="EG74" s="420"/>
      <c r="EH74" s="420"/>
      <c r="EI74" s="420"/>
      <c r="EJ74" s="420"/>
      <c r="EK74" s="420"/>
      <c r="EL74" s="420"/>
      <c r="EM74" s="420"/>
      <c r="EN74" s="420"/>
      <c r="EO74" s="420"/>
      <c r="EP74" s="420"/>
      <c r="EQ74" s="420"/>
      <c r="ER74" s="420"/>
      <c r="ES74" s="420"/>
      <c r="ET74" s="420"/>
      <c r="EU74" s="420"/>
      <c r="EV74" s="420"/>
      <c r="EW74" s="420"/>
      <c r="EX74" s="420"/>
      <c r="EY74" s="420"/>
      <c r="EZ74" s="420"/>
      <c r="FA74" s="420"/>
      <c r="FB74" s="420"/>
      <c r="FC74" s="420"/>
      <c r="FD74" s="420"/>
      <c r="FE74" s="420"/>
      <c r="FF74" s="420"/>
      <c r="FG74" s="420"/>
      <c r="FH74" s="420"/>
      <c r="FI74" s="420"/>
      <c r="FJ74" s="420"/>
      <c r="FK74" s="420"/>
      <c r="FL74" s="420"/>
      <c r="FM74" s="420"/>
      <c r="FN74" s="420"/>
      <c r="FO74" s="420"/>
      <c r="FP74" s="420"/>
      <c r="FQ74" s="420"/>
      <c r="FR74" s="420"/>
      <c r="FS74" s="420"/>
      <c r="FT74" s="420"/>
      <c r="FU74" s="420"/>
      <c r="FV74" s="420"/>
      <c r="FW74" s="420"/>
      <c r="FX74" s="420"/>
      <c r="FY74" s="420"/>
      <c r="FZ74" s="420"/>
      <c r="GA74" s="420"/>
      <c r="GB74" s="420"/>
      <c r="GC74" s="420"/>
      <c r="GD74" s="420"/>
      <c r="GE74" s="420"/>
      <c r="GF74" s="420"/>
      <c r="GG74" s="420"/>
      <c r="GH74" s="420"/>
      <c r="GI74" s="420"/>
      <c r="GJ74" s="420"/>
      <c r="GK74" s="420"/>
      <c r="GL74" s="420"/>
      <c r="GM74" s="420"/>
      <c r="GN74" s="420"/>
      <c r="GO74" s="420"/>
      <c r="GP74" s="420"/>
      <c r="GQ74" s="420"/>
      <c r="GR74" s="420"/>
      <c r="GS74" s="420"/>
      <c r="GT74" s="420"/>
      <c r="GU74" s="420"/>
      <c r="GV74" s="420"/>
      <c r="GW74" s="420"/>
      <c r="GX74" s="420"/>
      <c r="GY74" s="420"/>
      <c r="GZ74" s="420"/>
      <c r="HA74" s="420"/>
      <c r="HB74" s="420"/>
      <c r="HC74" s="420"/>
      <c r="HD74" s="420"/>
      <c r="HE74" s="420"/>
      <c r="HF74" s="420"/>
      <c r="HG74" s="420"/>
      <c r="HH74" s="420"/>
      <c r="HI74" s="420"/>
      <c r="HJ74" s="420"/>
      <c r="HK74" s="420"/>
      <c r="HL74" s="420"/>
      <c r="HM74" s="420"/>
      <c r="HN74" s="420"/>
      <c r="HO74" s="420"/>
      <c r="HP74" s="420"/>
      <c r="HQ74" s="420"/>
      <c r="HR74" s="420"/>
      <c r="HS74" s="420"/>
      <c r="HT74" s="420"/>
      <c r="HU74" s="420"/>
      <c r="HV74" s="420"/>
      <c r="HW74" s="420"/>
      <c r="HX74" s="420"/>
      <c r="HY74" s="420"/>
      <c r="HZ74" s="420"/>
      <c r="IA74" s="420"/>
      <c r="IB74" s="420"/>
      <c r="IC74" s="420"/>
      <c r="ID74" s="420"/>
      <c r="IE74" s="420"/>
      <c r="IF74" s="420"/>
      <c r="IG74" s="420"/>
      <c r="IH74" s="420"/>
      <c r="II74" s="420"/>
      <c r="IJ74" s="420"/>
      <c r="IK74" s="420"/>
      <c r="IL74" s="420"/>
      <c r="IM74" s="420"/>
      <c r="IN74" s="420"/>
      <c r="IO74" s="420"/>
      <c r="IP74" s="420"/>
      <c r="IQ74" s="420"/>
      <c r="IR74" s="420"/>
      <c r="IS74" s="420"/>
      <c r="IT74" s="420"/>
      <c r="IU74" s="420"/>
      <c r="IV74" s="420"/>
      <c r="IW74" s="420"/>
      <c r="IX74" s="420"/>
      <c r="IY74" s="420"/>
      <c r="IZ74" s="420"/>
      <c r="JA74" s="420"/>
    </row>
    <row r="75" spans="1:261" s="425" customFormat="1" ht="20.100000000000001" customHeight="1" x14ac:dyDescent="0.2">
      <c r="A75" s="783">
        <v>67</v>
      </c>
      <c r="B75" s="2311" t="s">
        <v>13</v>
      </c>
      <c r="C75" s="2312"/>
      <c r="D75" s="2312"/>
      <c r="E75" s="2312"/>
      <c r="F75" s="2312"/>
      <c r="G75" s="2313"/>
      <c r="H75" s="1529"/>
      <c r="I75" s="1971"/>
      <c r="J75" s="1971"/>
      <c r="K75" s="1971"/>
      <c r="L75" s="1971"/>
      <c r="M75" s="1971"/>
      <c r="N75" s="1971"/>
      <c r="O75" s="1971"/>
      <c r="P75" s="1582"/>
    </row>
    <row r="76" spans="1:261" s="425" customFormat="1" ht="20.100000000000001" customHeight="1" x14ac:dyDescent="0.3">
      <c r="A76" s="783">
        <v>68</v>
      </c>
      <c r="B76" s="1864"/>
      <c r="C76" s="1865"/>
      <c r="D76" s="2304" t="s">
        <v>311</v>
      </c>
      <c r="E76" s="2305"/>
      <c r="F76" s="2305"/>
      <c r="G76" s="2306"/>
      <c r="H76" s="1872"/>
      <c r="I76" s="1969">
        <f>I71+I66+I61+I56+I51+I46+I41+I36+I31+I26+I21+I16+I11</f>
        <v>0</v>
      </c>
      <c r="J76" s="1969">
        <f t="shared" ref="J76:O77" si="1">J71+J66+J61+J56+J51+J46+J41+J36+J31+J26+J21+J16+J11</f>
        <v>0</v>
      </c>
      <c r="K76" s="1969">
        <f t="shared" si="1"/>
        <v>39215</v>
      </c>
      <c r="L76" s="1969">
        <f t="shared" si="1"/>
        <v>0</v>
      </c>
      <c r="M76" s="1969">
        <f t="shared" si="1"/>
        <v>7494559</v>
      </c>
      <c r="N76" s="1969">
        <f t="shared" si="1"/>
        <v>40493</v>
      </c>
      <c r="O76" s="1972">
        <f t="shared" si="1"/>
        <v>7574267</v>
      </c>
      <c r="P76" s="1873">
        <f>SUM(P9:P75)</f>
        <v>17916034</v>
      </c>
    </row>
    <row r="77" spans="1:261" s="425" customFormat="1" ht="20.100000000000001" customHeight="1" x14ac:dyDescent="0.3">
      <c r="A77" s="783">
        <v>69</v>
      </c>
      <c r="B77" s="1864"/>
      <c r="C77" s="1865"/>
      <c r="D77" s="583" t="s">
        <v>1072</v>
      </c>
      <c r="E77" s="1853"/>
      <c r="F77" s="1853"/>
      <c r="G77" s="1854"/>
      <c r="H77" s="1872"/>
      <c r="I77" s="1871">
        <f>I72+I67+I62+I57+I52+I47+I42+I37+I32+I27+I22+I17+I12</f>
        <v>0</v>
      </c>
      <c r="J77" s="1871">
        <f t="shared" si="1"/>
        <v>0</v>
      </c>
      <c r="K77" s="1871">
        <f t="shared" si="1"/>
        <v>124142</v>
      </c>
      <c r="L77" s="1871">
        <f t="shared" si="1"/>
        <v>0</v>
      </c>
      <c r="M77" s="1871">
        <f t="shared" si="1"/>
        <v>11596010</v>
      </c>
      <c r="N77" s="1871">
        <f t="shared" si="1"/>
        <v>40493</v>
      </c>
      <c r="O77" s="1874">
        <f t="shared" si="1"/>
        <v>11760645</v>
      </c>
      <c r="P77" s="1873"/>
    </row>
    <row r="78" spans="1:261" s="425" customFormat="1" ht="20.100000000000001" customHeight="1" x14ac:dyDescent="0.3">
      <c r="A78" s="783">
        <v>70</v>
      </c>
      <c r="B78" s="1534"/>
      <c r="C78" s="1535"/>
      <c r="D78" s="2235" t="s">
        <v>963</v>
      </c>
      <c r="E78" s="2307"/>
      <c r="F78" s="2307"/>
      <c r="G78" s="2308"/>
      <c r="H78" s="1530"/>
      <c r="I78" s="1341">
        <f>I73+I68+I63+I58+I53+I48+I43+I38+I33+I28+I23+I18+I13</f>
        <v>0</v>
      </c>
      <c r="J78" s="1341">
        <f t="shared" ref="J78:N78" si="2">J73+J68+J63+J58+J53+J48+J43+J38+J33+J28+J23+J18+J13</f>
        <v>0</v>
      </c>
      <c r="K78" s="1341">
        <f t="shared" si="2"/>
        <v>0</v>
      </c>
      <c r="L78" s="1341">
        <f t="shared" si="2"/>
        <v>0</v>
      </c>
      <c r="M78" s="1341">
        <f t="shared" si="2"/>
        <v>0</v>
      </c>
      <c r="N78" s="1341">
        <f t="shared" si="2"/>
        <v>0</v>
      </c>
      <c r="O78" s="2007">
        <f>I78+J78+K78+L78+M78+N78</f>
        <v>0</v>
      </c>
      <c r="P78" s="1538"/>
    </row>
    <row r="79" spans="1:261" s="425" customFormat="1" ht="20.100000000000001" customHeight="1" thickBot="1" x14ac:dyDescent="0.35">
      <c r="A79" s="783">
        <v>71</v>
      </c>
      <c r="B79" s="1536"/>
      <c r="C79" s="1537"/>
      <c r="D79" s="2232" t="s">
        <v>1151</v>
      </c>
      <c r="E79" s="2309"/>
      <c r="F79" s="2309"/>
      <c r="G79" s="2310"/>
      <c r="H79" s="1532"/>
      <c r="I79" s="1533">
        <f>SUM(I77:I78)</f>
        <v>0</v>
      </c>
      <c r="J79" s="1533">
        <f t="shared" ref="J79:O79" si="3">SUM(J77:J78)</f>
        <v>0</v>
      </c>
      <c r="K79" s="1533">
        <f t="shared" si="3"/>
        <v>124142</v>
      </c>
      <c r="L79" s="1533">
        <f t="shared" si="3"/>
        <v>0</v>
      </c>
      <c r="M79" s="1533">
        <f t="shared" si="3"/>
        <v>11596010</v>
      </c>
      <c r="N79" s="1533">
        <f t="shared" si="3"/>
        <v>40493</v>
      </c>
      <c r="O79" s="1541">
        <f t="shared" si="3"/>
        <v>11760645</v>
      </c>
      <c r="P79" s="1539"/>
    </row>
    <row r="80" spans="1:261" ht="18" customHeight="1" x14ac:dyDescent="0.35">
      <c r="B80" s="774" t="s">
        <v>27</v>
      </c>
      <c r="C80" s="775"/>
      <c r="D80" s="774"/>
      <c r="E80" s="434"/>
      <c r="F80" s="435"/>
      <c r="G80" s="434"/>
      <c r="H80" s="761"/>
      <c r="I80" s="434"/>
      <c r="J80" s="434"/>
      <c r="K80" s="434"/>
      <c r="L80" s="434"/>
      <c r="M80" s="434"/>
      <c r="N80" s="434"/>
      <c r="O80" s="785"/>
    </row>
    <row r="81" spans="2:15" ht="18" customHeight="1" x14ac:dyDescent="0.35">
      <c r="B81" s="774" t="s">
        <v>28</v>
      </c>
      <c r="C81" s="775"/>
      <c r="D81" s="774"/>
      <c r="E81" s="643"/>
      <c r="F81" s="435"/>
      <c r="G81" s="434"/>
      <c r="H81" s="761"/>
      <c r="I81" s="434"/>
      <c r="J81" s="434"/>
      <c r="K81" s="434"/>
      <c r="L81" s="434"/>
      <c r="M81" s="434"/>
      <c r="N81" s="434"/>
      <c r="O81" s="785"/>
    </row>
    <row r="82" spans="2:15" ht="18" customHeight="1" x14ac:dyDescent="0.35">
      <c r="B82" s="774" t="s">
        <v>29</v>
      </c>
      <c r="C82" s="775"/>
      <c r="D82" s="774"/>
      <c r="E82" s="643"/>
      <c r="F82" s="435"/>
      <c r="G82" s="434"/>
      <c r="H82" s="761"/>
      <c r="I82" s="434"/>
      <c r="J82" s="434"/>
      <c r="K82" s="434"/>
      <c r="L82" s="434"/>
      <c r="M82" s="434"/>
      <c r="N82" s="434"/>
      <c r="O82" s="785"/>
    </row>
    <row r="83" spans="2:15" x14ac:dyDescent="0.35">
      <c r="B83" s="431" t="s">
        <v>959</v>
      </c>
      <c r="C83" s="431"/>
    </row>
  </sheetData>
  <mergeCells count="21">
    <mergeCell ref="A1:D1"/>
    <mergeCell ref="I1:P1"/>
    <mergeCell ref="A2:P2"/>
    <mergeCell ref="A3:P3"/>
    <mergeCell ref="B6:B8"/>
    <mergeCell ref="C6:C8"/>
    <mergeCell ref="D6:D8"/>
    <mergeCell ref="E6:E8"/>
    <mergeCell ref="F6:F8"/>
    <mergeCell ref="G6:G8"/>
    <mergeCell ref="H6:H8"/>
    <mergeCell ref="I6:O6"/>
    <mergeCell ref="P6:P8"/>
    <mergeCell ref="D76:G76"/>
    <mergeCell ref="D78:G78"/>
    <mergeCell ref="D79:G79"/>
    <mergeCell ref="Q6:R6"/>
    <mergeCell ref="I7:L7"/>
    <mergeCell ref="M7:N7"/>
    <mergeCell ref="O7:O8"/>
    <mergeCell ref="B75:G75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7" fitToHeight="0" orientation="landscape" r:id="rId1"/>
  <headerFooter>
    <oddFooter>&amp;C- &amp;P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B192"/>
  <sheetViews>
    <sheetView view="pageBreakPreview" zoomScale="75" zoomScaleNormal="100" zoomScaleSheetLayoutView="75" workbookViewId="0">
      <selection activeCell="B1" sqref="B1:Q1"/>
    </sheetView>
  </sheetViews>
  <sheetFormatPr defaultColWidth="9.140625" defaultRowHeight="17.25" x14ac:dyDescent="0.35"/>
  <cols>
    <col min="1" max="1" width="4.42578125" style="760" customWidth="1"/>
    <col min="2" max="3" width="5.7109375" style="898" customWidth="1"/>
    <col min="4" max="4" width="62.7109375" style="420" customWidth="1"/>
    <col min="5" max="5" width="12.7109375" style="897" customWidth="1"/>
    <col min="6" max="7" width="10.7109375" style="897" customWidth="1"/>
    <col min="8" max="8" width="6.7109375" style="763" customWidth="1"/>
    <col min="9" max="13" width="14.85546875" style="897" customWidth="1"/>
    <col min="14" max="14" width="14.85546875" style="1033" customWidth="1"/>
    <col min="15" max="15" width="14.85546875" style="897" customWidth="1"/>
    <col min="16" max="16" width="15.7109375" style="784" customWidth="1"/>
    <col min="17" max="17" width="13.85546875" style="897" customWidth="1"/>
    <col min="18" max="16384" width="9.140625" style="420"/>
  </cols>
  <sheetData>
    <row r="1" spans="1:262" x14ac:dyDescent="0.35">
      <c r="A1" s="2058"/>
      <c r="B1" s="2260" t="s">
        <v>1314</v>
      </c>
      <c r="C1" s="2260"/>
      <c r="D1" s="2260"/>
      <c r="E1" s="2260"/>
      <c r="F1" s="2260"/>
      <c r="G1" s="2260"/>
      <c r="H1" s="2260"/>
      <c r="I1" s="2260"/>
      <c r="J1" s="2260"/>
      <c r="K1" s="2260"/>
      <c r="L1" s="2260"/>
      <c r="M1" s="2260"/>
      <c r="N1" s="2260"/>
      <c r="O1" s="2260"/>
      <c r="P1" s="2260"/>
      <c r="Q1" s="2260"/>
    </row>
    <row r="2" spans="1:262" ht="18" customHeight="1" x14ac:dyDescent="0.3">
      <c r="A2" s="2059"/>
      <c r="B2" s="2261" t="s">
        <v>1297</v>
      </c>
      <c r="C2" s="2261"/>
      <c r="D2" s="2261"/>
      <c r="E2" s="2261"/>
      <c r="F2" s="2261"/>
      <c r="G2" s="2261"/>
      <c r="H2" s="2261"/>
      <c r="I2" s="2261"/>
      <c r="J2" s="2261"/>
      <c r="K2" s="2261"/>
      <c r="L2" s="2261"/>
      <c r="M2" s="2261"/>
      <c r="N2" s="2261"/>
      <c r="O2" s="2261"/>
      <c r="P2" s="2261"/>
      <c r="Q2" s="2261"/>
      <c r="R2" s="762"/>
      <c r="S2" s="762"/>
      <c r="T2" s="762"/>
      <c r="U2" s="762"/>
      <c r="V2" s="762"/>
      <c r="W2" s="762"/>
      <c r="X2" s="762"/>
      <c r="Y2" s="762"/>
      <c r="Z2" s="762"/>
      <c r="AA2" s="762"/>
      <c r="AB2" s="762"/>
      <c r="AC2" s="762"/>
      <c r="AD2" s="762"/>
      <c r="AE2" s="762"/>
      <c r="AF2" s="762"/>
      <c r="AG2" s="762"/>
      <c r="AH2" s="762"/>
      <c r="AI2" s="762"/>
      <c r="AJ2" s="762"/>
      <c r="AK2" s="762"/>
      <c r="AL2" s="762"/>
      <c r="AM2" s="762"/>
      <c r="AN2" s="762"/>
      <c r="AO2" s="762"/>
      <c r="AP2" s="762"/>
      <c r="AQ2" s="762"/>
      <c r="AR2" s="762"/>
      <c r="AS2" s="762"/>
      <c r="AT2" s="762"/>
      <c r="AU2" s="762"/>
      <c r="AV2" s="762"/>
      <c r="AW2" s="762"/>
      <c r="AX2" s="762"/>
      <c r="AY2" s="762"/>
      <c r="AZ2" s="762"/>
      <c r="BA2" s="762"/>
      <c r="BB2" s="762"/>
      <c r="BC2" s="762"/>
      <c r="BD2" s="762"/>
      <c r="BE2" s="762"/>
      <c r="BF2" s="762"/>
      <c r="BG2" s="762"/>
      <c r="BH2" s="762"/>
      <c r="BI2" s="762"/>
      <c r="BJ2" s="762"/>
      <c r="BK2" s="762"/>
      <c r="BL2" s="762"/>
      <c r="BM2" s="762"/>
      <c r="BN2" s="762"/>
      <c r="BO2" s="762"/>
      <c r="BP2" s="762"/>
      <c r="BQ2" s="762"/>
      <c r="BR2" s="762"/>
      <c r="BS2" s="762"/>
      <c r="BT2" s="762"/>
      <c r="BU2" s="762"/>
      <c r="BV2" s="762"/>
      <c r="BW2" s="762"/>
      <c r="BX2" s="762"/>
      <c r="BY2" s="762"/>
      <c r="BZ2" s="762"/>
      <c r="CA2" s="762"/>
      <c r="CB2" s="762"/>
      <c r="CC2" s="762"/>
      <c r="CD2" s="762"/>
      <c r="CE2" s="762"/>
      <c r="CF2" s="762"/>
      <c r="CG2" s="762"/>
      <c r="CH2" s="762"/>
      <c r="CI2" s="762"/>
      <c r="CJ2" s="762"/>
      <c r="CK2" s="762"/>
      <c r="CL2" s="762"/>
      <c r="CM2" s="762"/>
      <c r="CN2" s="762"/>
      <c r="CO2" s="762"/>
      <c r="CP2" s="762"/>
      <c r="CQ2" s="762"/>
      <c r="CR2" s="762"/>
      <c r="CS2" s="762"/>
      <c r="CT2" s="762"/>
      <c r="CU2" s="762"/>
      <c r="CV2" s="762"/>
      <c r="CW2" s="762"/>
      <c r="CX2" s="762"/>
      <c r="CY2" s="762"/>
      <c r="CZ2" s="762"/>
      <c r="DA2" s="762"/>
      <c r="DB2" s="762"/>
      <c r="DC2" s="762"/>
      <c r="DD2" s="762"/>
      <c r="DE2" s="762"/>
      <c r="DF2" s="762"/>
      <c r="DG2" s="762"/>
      <c r="DH2" s="762"/>
      <c r="DI2" s="762"/>
      <c r="DJ2" s="762"/>
      <c r="DK2" s="762"/>
      <c r="DL2" s="762"/>
      <c r="DM2" s="762"/>
      <c r="DN2" s="762"/>
      <c r="DO2" s="762"/>
      <c r="DP2" s="762"/>
      <c r="DQ2" s="762"/>
      <c r="DR2" s="762"/>
      <c r="DS2" s="762"/>
      <c r="DT2" s="762"/>
      <c r="DU2" s="762"/>
      <c r="DV2" s="762"/>
      <c r="DW2" s="762"/>
      <c r="DX2" s="762"/>
      <c r="DY2" s="762"/>
      <c r="DZ2" s="762"/>
      <c r="EA2" s="762"/>
      <c r="EB2" s="762"/>
      <c r="EC2" s="762"/>
      <c r="ED2" s="762"/>
      <c r="EE2" s="762"/>
      <c r="EF2" s="762"/>
      <c r="EG2" s="762"/>
      <c r="EH2" s="762"/>
      <c r="EI2" s="762"/>
      <c r="EJ2" s="762"/>
      <c r="EK2" s="762"/>
      <c r="EL2" s="762"/>
      <c r="EM2" s="762"/>
      <c r="EN2" s="762"/>
      <c r="EO2" s="762"/>
      <c r="EP2" s="762"/>
      <c r="EQ2" s="762"/>
      <c r="ER2" s="762"/>
      <c r="ES2" s="762"/>
      <c r="ET2" s="762"/>
      <c r="EU2" s="762"/>
      <c r="EV2" s="762"/>
      <c r="EW2" s="762"/>
      <c r="EX2" s="762"/>
      <c r="EY2" s="762"/>
      <c r="EZ2" s="762"/>
      <c r="FA2" s="762"/>
      <c r="FB2" s="762"/>
      <c r="FC2" s="762"/>
      <c r="FD2" s="762"/>
      <c r="FE2" s="762"/>
      <c r="FF2" s="762"/>
      <c r="FG2" s="762"/>
      <c r="FH2" s="762"/>
      <c r="FI2" s="762"/>
      <c r="FJ2" s="762"/>
      <c r="FK2" s="762"/>
      <c r="FL2" s="762"/>
      <c r="FM2" s="762"/>
      <c r="FN2" s="762"/>
      <c r="FO2" s="762"/>
      <c r="FP2" s="762"/>
      <c r="FQ2" s="762"/>
      <c r="FR2" s="762"/>
      <c r="FS2" s="762"/>
      <c r="FT2" s="762"/>
      <c r="FU2" s="762"/>
      <c r="FV2" s="762"/>
      <c r="FW2" s="762"/>
      <c r="FX2" s="762"/>
      <c r="FY2" s="762"/>
      <c r="FZ2" s="762"/>
      <c r="GA2" s="762"/>
      <c r="GB2" s="762"/>
      <c r="GC2" s="762"/>
      <c r="GD2" s="762"/>
      <c r="GE2" s="762"/>
      <c r="GF2" s="762"/>
      <c r="GG2" s="762"/>
      <c r="GH2" s="762"/>
      <c r="GI2" s="762"/>
      <c r="GJ2" s="762"/>
      <c r="GK2" s="762"/>
      <c r="GL2" s="762"/>
      <c r="GM2" s="762"/>
      <c r="GN2" s="762"/>
      <c r="GO2" s="762"/>
      <c r="GP2" s="762"/>
      <c r="GQ2" s="762"/>
      <c r="GR2" s="762"/>
      <c r="GS2" s="762"/>
      <c r="GT2" s="762"/>
      <c r="GU2" s="762"/>
      <c r="GV2" s="762"/>
      <c r="GW2" s="762"/>
      <c r="GX2" s="762"/>
      <c r="GY2" s="762"/>
      <c r="GZ2" s="762"/>
      <c r="HA2" s="762"/>
      <c r="HB2" s="762"/>
      <c r="HC2" s="762"/>
      <c r="HD2" s="762"/>
      <c r="HE2" s="762"/>
      <c r="HF2" s="762"/>
      <c r="HG2" s="762"/>
      <c r="HH2" s="762"/>
      <c r="HI2" s="762"/>
      <c r="HJ2" s="762"/>
      <c r="HK2" s="762"/>
      <c r="HL2" s="762"/>
      <c r="HM2" s="762"/>
      <c r="HN2" s="762"/>
      <c r="HO2" s="762"/>
      <c r="HP2" s="762"/>
      <c r="HQ2" s="762"/>
      <c r="HR2" s="762"/>
      <c r="HS2" s="762"/>
      <c r="HT2" s="762"/>
      <c r="HU2" s="762"/>
      <c r="HV2" s="762"/>
      <c r="HW2" s="762"/>
      <c r="HX2" s="762"/>
      <c r="HY2" s="762"/>
      <c r="HZ2" s="762"/>
      <c r="IA2" s="762"/>
      <c r="IB2" s="762"/>
      <c r="IC2" s="762"/>
      <c r="ID2" s="762"/>
      <c r="IE2" s="762"/>
      <c r="IF2" s="762"/>
      <c r="IG2" s="762"/>
      <c r="IH2" s="762"/>
      <c r="II2" s="762"/>
      <c r="IJ2" s="762"/>
      <c r="IK2" s="762"/>
      <c r="IL2" s="762"/>
      <c r="IM2" s="762"/>
      <c r="IN2" s="762"/>
      <c r="IO2" s="762"/>
      <c r="IP2" s="762"/>
      <c r="IQ2" s="762"/>
    </row>
    <row r="3" spans="1:262" ht="18" customHeight="1" x14ac:dyDescent="0.3">
      <c r="A3" s="2059"/>
      <c r="B3" s="2055"/>
      <c r="C3" s="2055"/>
      <c r="D3" s="2055"/>
      <c r="E3" s="2055"/>
      <c r="F3" s="2055"/>
      <c r="G3" s="2055"/>
      <c r="H3" s="2055"/>
      <c r="I3" s="2055"/>
      <c r="J3" s="2055"/>
      <c r="K3" s="2055"/>
      <c r="L3" s="2055"/>
      <c r="M3" s="2055"/>
      <c r="N3" s="2055"/>
      <c r="O3" s="2055"/>
      <c r="P3" s="2055"/>
      <c r="Q3" s="2055"/>
      <c r="R3" s="762"/>
      <c r="S3" s="762"/>
      <c r="T3" s="762"/>
      <c r="U3" s="762"/>
      <c r="V3" s="762"/>
      <c r="W3" s="762"/>
      <c r="X3" s="762"/>
      <c r="Y3" s="762"/>
      <c r="Z3" s="762"/>
      <c r="AA3" s="762"/>
      <c r="AB3" s="762"/>
      <c r="AC3" s="762"/>
      <c r="AD3" s="762"/>
      <c r="AE3" s="762"/>
      <c r="AF3" s="762"/>
      <c r="AG3" s="762"/>
      <c r="AH3" s="762"/>
      <c r="AI3" s="762"/>
      <c r="AJ3" s="762"/>
      <c r="AK3" s="762"/>
      <c r="AL3" s="762"/>
      <c r="AM3" s="762"/>
      <c r="AN3" s="762"/>
      <c r="AO3" s="762"/>
      <c r="AP3" s="762"/>
      <c r="AQ3" s="762"/>
      <c r="AR3" s="762"/>
      <c r="AS3" s="762"/>
      <c r="AT3" s="762"/>
      <c r="AU3" s="762"/>
      <c r="AV3" s="762"/>
      <c r="AW3" s="762"/>
      <c r="AX3" s="762"/>
      <c r="AY3" s="762"/>
      <c r="AZ3" s="762"/>
      <c r="BA3" s="762"/>
      <c r="BB3" s="762"/>
      <c r="BC3" s="762"/>
      <c r="BD3" s="762"/>
      <c r="BE3" s="762"/>
      <c r="BF3" s="762"/>
      <c r="BG3" s="762"/>
      <c r="BH3" s="762"/>
      <c r="BI3" s="762"/>
      <c r="BJ3" s="762"/>
      <c r="BK3" s="762"/>
      <c r="BL3" s="762"/>
      <c r="BM3" s="762"/>
      <c r="BN3" s="762"/>
      <c r="BO3" s="762"/>
      <c r="BP3" s="762"/>
      <c r="BQ3" s="762"/>
      <c r="BR3" s="762"/>
      <c r="BS3" s="762"/>
      <c r="BT3" s="762"/>
      <c r="BU3" s="762"/>
      <c r="BV3" s="762"/>
      <c r="BW3" s="762"/>
      <c r="BX3" s="762"/>
      <c r="BY3" s="762"/>
      <c r="BZ3" s="762"/>
      <c r="CA3" s="762"/>
      <c r="CB3" s="762"/>
      <c r="CC3" s="762"/>
      <c r="CD3" s="762"/>
      <c r="CE3" s="762"/>
      <c r="CF3" s="762"/>
      <c r="CG3" s="762"/>
      <c r="CH3" s="762"/>
      <c r="CI3" s="762"/>
      <c r="CJ3" s="762"/>
      <c r="CK3" s="762"/>
      <c r="CL3" s="762"/>
      <c r="CM3" s="762"/>
      <c r="CN3" s="762"/>
      <c r="CO3" s="762"/>
      <c r="CP3" s="762"/>
      <c r="CQ3" s="762"/>
      <c r="CR3" s="762"/>
      <c r="CS3" s="762"/>
      <c r="CT3" s="762"/>
      <c r="CU3" s="762"/>
      <c r="CV3" s="762"/>
      <c r="CW3" s="762"/>
      <c r="CX3" s="762"/>
      <c r="CY3" s="762"/>
      <c r="CZ3" s="762"/>
      <c r="DA3" s="762"/>
      <c r="DB3" s="762"/>
      <c r="DC3" s="762"/>
      <c r="DD3" s="762"/>
      <c r="DE3" s="762"/>
      <c r="DF3" s="762"/>
      <c r="DG3" s="762"/>
      <c r="DH3" s="762"/>
      <c r="DI3" s="762"/>
      <c r="DJ3" s="762"/>
      <c r="DK3" s="762"/>
      <c r="DL3" s="762"/>
      <c r="DM3" s="762"/>
      <c r="DN3" s="762"/>
      <c r="DO3" s="762"/>
      <c r="DP3" s="762"/>
      <c r="DQ3" s="762"/>
      <c r="DR3" s="762"/>
      <c r="DS3" s="762"/>
      <c r="DT3" s="762"/>
      <c r="DU3" s="762"/>
      <c r="DV3" s="762"/>
      <c r="DW3" s="762"/>
      <c r="DX3" s="762"/>
      <c r="DY3" s="762"/>
      <c r="DZ3" s="762"/>
      <c r="EA3" s="762"/>
      <c r="EB3" s="762"/>
      <c r="EC3" s="762"/>
      <c r="ED3" s="762"/>
      <c r="EE3" s="762"/>
      <c r="EF3" s="762"/>
      <c r="EG3" s="762"/>
      <c r="EH3" s="762"/>
      <c r="EI3" s="762"/>
      <c r="EJ3" s="762"/>
      <c r="EK3" s="762"/>
      <c r="EL3" s="762"/>
      <c r="EM3" s="762"/>
      <c r="EN3" s="762"/>
      <c r="EO3" s="762"/>
      <c r="EP3" s="762"/>
      <c r="EQ3" s="762"/>
      <c r="ER3" s="762"/>
      <c r="ES3" s="762"/>
      <c r="ET3" s="762"/>
      <c r="EU3" s="762"/>
      <c r="EV3" s="762"/>
      <c r="EW3" s="762"/>
      <c r="EX3" s="762"/>
      <c r="EY3" s="762"/>
      <c r="EZ3" s="762"/>
      <c r="FA3" s="762"/>
      <c r="FB3" s="762"/>
      <c r="FC3" s="762"/>
      <c r="FD3" s="762"/>
      <c r="FE3" s="762"/>
      <c r="FF3" s="762"/>
      <c r="FG3" s="762"/>
      <c r="FH3" s="762"/>
      <c r="FI3" s="762"/>
      <c r="FJ3" s="762"/>
      <c r="FK3" s="762"/>
      <c r="FL3" s="762"/>
      <c r="FM3" s="762"/>
      <c r="FN3" s="762"/>
      <c r="FO3" s="762"/>
      <c r="FP3" s="762"/>
      <c r="FQ3" s="762"/>
      <c r="FR3" s="762"/>
      <c r="FS3" s="762"/>
      <c r="FT3" s="762"/>
      <c r="FU3" s="762"/>
      <c r="FV3" s="762"/>
      <c r="FW3" s="762"/>
      <c r="FX3" s="762"/>
      <c r="FY3" s="762"/>
      <c r="FZ3" s="762"/>
      <c r="GA3" s="762"/>
      <c r="GB3" s="762"/>
      <c r="GC3" s="762"/>
      <c r="GD3" s="762"/>
      <c r="GE3" s="762"/>
      <c r="GF3" s="762"/>
      <c r="GG3" s="762"/>
      <c r="GH3" s="762"/>
      <c r="GI3" s="762"/>
      <c r="GJ3" s="762"/>
      <c r="GK3" s="762"/>
      <c r="GL3" s="762"/>
      <c r="GM3" s="762"/>
      <c r="GN3" s="762"/>
      <c r="GO3" s="762"/>
      <c r="GP3" s="762"/>
      <c r="GQ3" s="762"/>
      <c r="GR3" s="762"/>
      <c r="GS3" s="762"/>
      <c r="GT3" s="762"/>
      <c r="GU3" s="762"/>
      <c r="GV3" s="762"/>
      <c r="GW3" s="762"/>
      <c r="GX3" s="762"/>
      <c r="GY3" s="762"/>
      <c r="GZ3" s="762"/>
      <c r="HA3" s="762"/>
      <c r="HB3" s="762"/>
      <c r="HC3" s="762"/>
      <c r="HD3" s="762"/>
      <c r="HE3" s="762"/>
      <c r="HF3" s="762"/>
      <c r="HG3" s="762"/>
      <c r="HH3" s="762"/>
      <c r="HI3" s="762"/>
      <c r="HJ3" s="762"/>
      <c r="HK3" s="762"/>
      <c r="HL3" s="762"/>
      <c r="HM3" s="762"/>
      <c r="HN3" s="762"/>
      <c r="HO3" s="762"/>
      <c r="HP3" s="762"/>
      <c r="HQ3" s="762"/>
      <c r="HR3" s="762"/>
      <c r="HS3" s="762"/>
      <c r="HT3" s="762"/>
      <c r="HU3" s="762"/>
      <c r="HV3" s="762"/>
      <c r="HW3" s="762"/>
      <c r="HX3" s="762"/>
      <c r="HY3" s="762"/>
      <c r="HZ3" s="762"/>
      <c r="IA3" s="762"/>
      <c r="IB3" s="762"/>
      <c r="IC3" s="762"/>
      <c r="ID3" s="762"/>
      <c r="IE3" s="762"/>
      <c r="IF3" s="762"/>
      <c r="IG3" s="762"/>
      <c r="IH3" s="762"/>
      <c r="II3" s="762"/>
      <c r="IJ3" s="762"/>
      <c r="IK3" s="762"/>
      <c r="IL3" s="762"/>
      <c r="IM3" s="762"/>
      <c r="IN3" s="762"/>
      <c r="IO3" s="762"/>
      <c r="IP3" s="762"/>
      <c r="IQ3" s="762"/>
    </row>
    <row r="4" spans="1:262" ht="24.75" customHeight="1" x14ac:dyDescent="0.35">
      <c r="A4" s="2265" t="s">
        <v>14</v>
      </c>
      <c r="B4" s="2265"/>
      <c r="C4" s="2265"/>
      <c r="D4" s="2265"/>
      <c r="E4" s="2265"/>
      <c r="F4" s="2265"/>
      <c r="G4" s="2265"/>
      <c r="H4" s="2265"/>
      <c r="I4" s="2265"/>
      <c r="J4" s="2265"/>
      <c r="K4" s="2265"/>
      <c r="L4" s="2265"/>
      <c r="M4" s="2265"/>
      <c r="N4" s="2265"/>
      <c r="O4" s="2265"/>
      <c r="P4" s="2265"/>
      <c r="Q4" s="2265"/>
    </row>
    <row r="5" spans="1:262" ht="24.75" customHeight="1" x14ac:dyDescent="0.35">
      <c r="A5" s="2324" t="s">
        <v>1286</v>
      </c>
      <c r="B5" s="2324"/>
      <c r="C5" s="2324"/>
      <c r="D5" s="2324"/>
      <c r="E5" s="2324"/>
      <c r="F5" s="2324"/>
      <c r="G5" s="2324"/>
      <c r="H5" s="2324"/>
      <c r="I5" s="2324"/>
      <c r="J5" s="2324"/>
      <c r="K5" s="2324"/>
      <c r="L5" s="2324"/>
      <c r="M5" s="2324"/>
      <c r="N5" s="2324"/>
      <c r="O5" s="2324"/>
      <c r="P5" s="2324"/>
      <c r="Q5" s="2324"/>
    </row>
    <row r="6" spans="1:262" s="978" customFormat="1" ht="18" customHeight="1" x14ac:dyDescent="0.3">
      <c r="A6" s="760"/>
      <c r="B6" s="760"/>
      <c r="C6" s="760"/>
      <c r="E6" s="718"/>
      <c r="F6" s="718"/>
      <c r="G6" s="718"/>
      <c r="H6" s="979"/>
      <c r="I6" s="718"/>
      <c r="J6" s="718"/>
      <c r="K6" s="718"/>
      <c r="L6" s="718"/>
      <c r="M6" s="718"/>
      <c r="N6" s="718"/>
      <c r="O6" s="718"/>
      <c r="P6" s="980"/>
      <c r="Q6" s="724" t="s">
        <v>0</v>
      </c>
    </row>
    <row r="7" spans="1:262" s="984" customFormat="1" ht="18" customHeight="1" thickBot="1" x14ac:dyDescent="0.35">
      <c r="A7" s="981"/>
      <c r="B7" s="982" t="s">
        <v>1</v>
      </c>
      <c r="C7" s="983" t="s">
        <v>3</v>
      </c>
      <c r="D7" s="983" t="s">
        <v>2</v>
      </c>
      <c r="E7" s="983" t="s">
        <v>4</v>
      </c>
      <c r="F7" s="983" t="s">
        <v>5</v>
      </c>
      <c r="G7" s="983" t="s">
        <v>15</v>
      </c>
      <c r="H7" s="983" t="s">
        <v>16</v>
      </c>
      <c r="I7" s="983" t="s">
        <v>17</v>
      </c>
      <c r="J7" s="983" t="s">
        <v>36</v>
      </c>
      <c r="K7" s="983" t="s">
        <v>30</v>
      </c>
      <c r="L7" s="983" t="s">
        <v>23</v>
      </c>
      <c r="M7" s="983" t="s">
        <v>37</v>
      </c>
      <c r="N7" s="983" t="s">
        <v>38</v>
      </c>
      <c r="O7" s="983" t="s">
        <v>160</v>
      </c>
      <c r="P7" s="983" t="s">
        <v>161</v>
      </c>
      <c r="Q7" s="983" t="s">
        <v>162</v>
      </c>
      <c r="R7" s="981"/>
      <c r="S7" s="981"/>
      <c r="T7" s="981"/>
      <c r="U7" s="981"/>
      <c r="V7" s="981"/>
      <c r="W7" s="981"/>
      <c r="X7" s="981"/>
      <c r="Y7" s="981"/>
      <c r="Z7" s="981"/>
      <c r="AA7" s="981"/>
      <c r="AB7" s="981"/>
      <c r="AC7" s="981"/>
      <c r="AD7" s="981"/>
      <c r="AE7" s="981"/>
      <c r="AF7" s="981"/>
      <c r="AG7" s="981"/>
      <c r="AH7" s="981"/>
      <c r="AI7" s="981"/>
      <c r="AJ7" s="981"/>
      <c r="AK7" s="981"/>
      <c r="AL7" s="981"/>
      <c r="AM7" s="981"/>
      <c r="AN7" s="981"/>
      <c r="AO7" s="981"/>
      <c r="AP7" s="981"/>
      <c r="AQ7" s="981"/>
      <c r="AR7" s="981"/>
      <c r="AS7" s="981"/>
      <c r="AT7" s="981"/>
      <c r="AU7" s="981"/>
      <c r="AV7" s="981"/>
      <c r="AW7" s="981"/>
      <c r="AX7" s="981"/>
      <c r="AY7" s="981"/>
      <c r="AZ7" s="981"/>
      <c r="BA7" s="981"/>
      <c r="BB7" s="981"/>
      <c r="BC7" s="981"/>
      <c r="BD7" s="981"/>
      <c r="BE7" s="981"/>
      <c r="BF7" s="981"/>
      <c r="BG7" s="981"/>
      <c r="BH7" s="981"/>
      <c r="BI7" s="981"/>
      <c r="BJ7" s="981"/>
      <c r="BK7" s="981"/>
      <c r="BL7" s="981"/>
      <c r="BM7" s="981"/>
      <c r="BN7" s="981"/>
      <c r="BO7" s="981"/>
      <c r="BP7" s="981"/>
      <c r="BQ7" s="981"/>
      <c r="BR7" s="981"/>
      <c r="BS7" s="981"/>
      <c r="BT7" s="981"/>
      <c r="BU7" s="981"/>
      <c r="BV7" s="981"/>
      <c r="BW7" s="981"/>
      <c r="BX7" s="981"/>
      <c r="BY7" s="981"/>
      <c r="BZ7" s="981"/>
      <c r="CA7" s="981"/>
      <c r="CB7" s="981"/>
      <c r="CC7" s="981"/>
      <c r="CD7" s="981"/>
      <c r="CE7" s="981"/>
      <c r="CF7" s="981"/>
      <c r="CG7" s="981"/>
      <c r="CH7" s="981"/>
      <c r="CI7" s="981"/>
      <c r="CJ7" s="981"/>
      <c r="CK7" s="981"/>
      <c r="CL7" s="981"/>
      <c r="CM7" s="981"/>
      <c r="CN7" s="981"/>
      <c r="CO7" s="981"/>
      <c r="CP7" s="981"/>
      <c r="CQ7" s="981"/>
      <c r="CR7" s="981"/>
      <c r="CS7" s="981"/>
      <c r="CT7" s="981"/>
      <c r="CU7" s="981"/>
      <c r="CV7" s="981"/>
      <c r="CW7" s="981"/>
      <c r="CX7" s="981"/>
      <c r="CY7" s="981"/>
      <c r="CZ7" s="981"/>
      <c r="DA7" s="981"/>
      <c r="DB7" s="981"/>
      <c r="DC7" s="981"/>
      <c r="DD7" s="981"/>
      <c r="DE7" s="981"/>
      <c r="DF7" s="981"/>
      <c r="DG7" s="981"/>
      <c r="DH7" s="981"/>
      <c r="DI7" s="981"/>
      <c r="DJ7" s="981"/>
      <c r="DK7" s="981"/>
      <c r="DL7" s="981"/>
      <c r="DM7" s="981"/>
      <c r="DN7" s="981"/>
      <c r="DO7" s="981"/>
      <c r="DP7" s="981"/>
      <c r="DQ7" s="981"/>
      <c r="DR7" s="981"/>
      <c r="DS7" s="981"/>
      <c r="DT7" s="981"/>
      <c r="DU7" s="981"/>
      <c r="DV7" s="981"/>
      <c r="DW7" s="981"/>
      <c r="DX7" s="981"/>
      <c r="DY7" s="981"/>
      <c r="DZ7" s="981"/>
      <c r="EA7" s="981"/>
      <c r="EB7" s="981"/>
      <c r="EC7" s="981"/>
      <c r="ED7" s="981"/>
      <c r="EE7" s="981"/>
      <c r="EF7" s="981"/>
      <c r="EG7" s="981"/>
      <c r="EH7" s="981"/>
      <c r="EI7" s="981"/>
      <c r="EJ7" s="981"/>
      <c r="EK7" s="981"/>
      <c r="EL7" s="981"/>
      <c r="EM7" s="981"/>
      <c r="EN7" s="981"/>
      <c r="EO7" s="981"/>
      <c r="EP7" s="981"/>
      <c r="EQ7" s="981"/>
      <c r="ER7" s="981"/>
      <c r="ES7" s="981"/>
      <c r="ET7" s="981"/>
      <c r="EU7" s="981"/>
      <c r="EV7" s="981"/>
      <c r="EW7" s="981"/>
      <c r="EX7" s="981"/>
      <c r="EY7" s="981"/>
      <c r="EZ7" s="981"/>
      <c r="FA7" s="981"/>
      <c r="FB7" s="981"/>
      <c r="FC7" s="981"/>
      <c r="FD7" s="981"/>
      <c r="FE7" s="981"/>
      <c r="FF7" s="981"/>
      <c r="FG7" s="981"/>
      <c r="FH7" s="981"/>
      <c r="FI7" s="981"/>
      <c r="FJ7" s="981"/>
      <c r="FK7" s="981"/>
      <c r="FL7" s="981"/>
      <c r="FM7" s="981"/>
      <c r="FN7" s="981"/>
      <c r="FO7" s="981"/>
      <c r="FP7" s="981"/>
      <c r="FQ7" s="981"/>
      <c r="FR7" s="981"/>
      <c r="FS7" s="981"/>
      <c r="FT7" s="981"/>
      <c r="FU7" s="981"/>
      <c r="FV7" s="981"/>
      <c r="FW7" s="981"/>
      <c r="FX7" s="981"/>
      <c r="FY7" s="981"/>
      <c r="FZ7" s="981"/>
      <c r="GA7" s="981"/>
      <c r="GB7" s="981"/>
      <c r="GC7" s="981"/>
      <c r="GD7" s="981"/>
      <c r="GE7" s="981"/>
      <c r="GF7" s="981"/>
      <c r="GG7" s="981"/>
      <c r="GH7" s="981"/>
      <c r="GI7" s="981"/>
      <c r="GJ7" s="981"/>
      <c r="GK7" s="981"/>
      <c r="GL7" s="981"/>
      <c r="GM7" s="981"/>
      <c r="GN7" s="981"/>
      <c r="GO7" s="981"/>
      <c r="GP7" s="981"/>
      <c r="GQ7" s="981"/>
      <c r="GR7" s="981"/>
      <c r="GS7" s="981"/>
      <c r="GT7" s="981"/>
      <c r="GU7" s="981"/>
      <c r="GV7" s="981"/>
      <c r="GW7" s="981"/>
      <c r="GX7" s="981"/>
      <c r="GY7" s="981"/>
      <c r="GZ7" s="981"/>
      <c r="HA7" s="981"/>
      <c r="HB7" s="981"/>
      <c r="HC7" s="981"/>
      <c r="HD7" s="981"/>
      <c r="HE7" s="981"/>
      <c r="HF7" s="981"/>
      <c r="HG7" s="981"/>
      <c r="HH7" s="981"/>
      <c r="HI7" s="981"/>
      <c r="HJ7" s="981"/>
      <c r="HK7" s="981"/>
      <c r="HL7" s="981"/>
      <c r="HM7" s="981"/>
      <c r="HN7" s="981"/>
      <c r="HO7" s="981"/>
      <c r="HP7" s="981"/>
      <c r="HQ7" s="981"/>
      <c r="HR7" s="981"/>
      <c r="HS7" s="981"/>
      <c r="HT7" s="981"/>
      <c r="HU7" s="981"/>
      <c r="HV7" s="981"/>
      <c r="HW7" s="981"/>
      <c r="HX7" s="981"/>
      <c r="HY7" s="981"/>
      <c r="HZ7" s="981"/>
      <c r="IA7" s="981"/>
      <c r="IB7" s="981"/>
      <c r="IC7" s="981"/>
      <c r="ID7" s="981"/>
      <c r="IE7" s="981"/>
      <c r="IF7" s="981"/>
      <c r="IG7" s="981"/>
      <c r="IH7" s="981"/>
      <c r="II7" s="981"/>
      <c r="IJ7" s="981"/>
      <c r="IK7" s="981"/>
      <c r="IL7" s="981"/>
      <c r="IM7" s="981"/>
      <c r="IN7" s="981"/>
      <c r="IO7" s="981"/>
      <c r="IP7" s="981"/>
      <c r="IQ7" s="981"/>
    </row>
    <row r="8" spans="1:262" ht="22.5" customHeight="1" x14ac:dyDescent="0.3">
      <c r="B8" s="2318" t="s">
        <v>18</v>
      </c>
      <c r="C8" s="2314" t="s">
        <v>19</v>
      </c>
      <c r="D8" s="2325" t="s">
        <v>6</v>
      </c>
      <c r="E8" s="2321" t="s">
        <v>648</v>
      </c>
      <c r="F8" s="2321" t="s">
        <v>960</v>
      </c>
      <c r="G8" s="2328" t="s">
        <v>1020</v>
      </c>
      <c r="H8" s="2282" t="s">
        <v>20</v>
      </c>
      <c r="I8" s="2331" t="s">
        <v>634</v>
      </c>
      <c r="J8" s="2321"/>
      <c r="K8" s="2321"/>
      <c r="L8" s="2321"/>
      <c r="M8" s="2321"/>
      <c r="N8" s="2321"/>
      <c r="O8" s="2321"/>
      <c r="P8" s="2332"/>
      <c r="Q8" s="2333" t="s">
        <v>644</v>
      </c>
      <c r="R8" s="2317"/>
      <c r="S8" s="2317"/>
    </row>
    <row r="9" spans="1:262" ht="33" customHeight="1" x14ac:dyDescent="0.3">
      <c r="B9" s="2319"/>
      <c r="C9" s="2315"/>
      <c r="D9" s="2326"/>
      <c r="E9" s="2322"/>
      <c r="F9" s="2322"/>
      <c r="G9" s="2329"/>
      <c r="H9" s="2283"/>
      <c r="I9" s="2336" t="s">
        <v>650</v>
      </c>
      <c r="J9" s="2337"/>
      <c r="K9" s="2338"/>
      <c r="L9" s="2338"/>
      <c r="M9" s="2339" t="s">
        <v>163</v>
      </c>
      <c r="N9" s="2339"/>
      <c r="O9" s="2339"/>
      <c r="P9" s="2340" t="s">
        <v>129</v>
      </c>
      <c r="Q9" s="2334"/>
    </row>
    <row r="10" spans="1:262" ht="53.25" customHeight="1" thickBot="1" x14ac:dyDescent="0.35">
      <c r="B10" s="2320"/>
      <c r="C10" s="2316"/>
      <c r="D10" s="2327"/>
      <c r="E10" s="2323"/>
      <c r="F10" s="2323"/>
      <c r="G10" s="2330"/>
      <c r="H10" s="2284"/>
      <c r="I10" s="1003" t="s">
        <v>40</v>
      </c>
      <c r="J10" s="764" t="s">
        <v>645</v>
      </c>
      <c r="K10" s="765" t="s">
        <v>42</v>
      </c>
      <c r="L10" s="765" t="s">
        <v>647</v>
      </c>
      <c r="M10" s="764" t="s">
        <v>231</v>
      </c>
      <c r="N10" s="764" t="s">
        <v>232</v>
      </c>
      <c r="O10" s="764" t="s">
        <v>164</v>
      </c>
      <c r="P10" s="2341"/>
      <c r="Q10" s="2335"/>
    </row>
    <row r="11" spans="1:262" s="768" customFormat="1" ht="22.5" customHeight="1" x14ac:dyDescent="0.35">
      <c r="A11" s="783">
        <v>1</v>
      </c>
      <c r="B11" s="766">
        <v>18</v>
      </c>
      <c r="C11" s="778" t="s">
        <v>14</v>
      </c>
      <c r="D11" s="991"/>
      <c r="E11" s="429"/>
      <c r="F11" s="427"/>
      <c r="G11" s="428"/>
      <c r="H11" s="1008"/>
      <c r="I11" s="1004"/>
      <c r="J11" s="786"/>
      <c r="K11" s="786"/>
      <c r="L11" s="786"/>
      <c r="M11" s="786"/>
      <c r="N11" s="786"/>
      <c r="O11" s="786"/>
      <c r="P11" s="767"/>
      <c r="Q11" s="77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420"/>
      <c r="AJ11" s="420"/>
      <c r="AK11" s="420"/>
      <c r="AL11" s="420"/>
      <c r="AM11" s="420"/>
      <c r="AN11" s="420"/>
      <c r="AO11" s="420"/>
      <c r="AP11" s="420"/>
      <c r="AQ11" s="420"/>
      <c r="AR11" s="420"/>
      <c r="AS11" s="420"/>
      <c r="AT11" s="420"/>
      <c r="AU11" s="420"/>
      <c r="AV11" s="420"/>
      <c r="AW11" s="420"/>
      <c r="AX11" s="420"/>
      <c r="AY11" s="420"/>
      <c r="AZ11" s="420"/>
      <c r="BA11" s="420"/>
      <c r="BB11" s="420"/>
      <c r="BC11" s="420"/>
      <c r="BD11" s="420"/>
      <c r="BE11" s="420"/>
      <c r="BF11" s="420"/>
      <c r="BG11" s="420"/>
      <c r="BH11" s="420"/>
      <c r="BI11" s="420"/>
      <c r="BJ11" s="420"/>
      <c r="BK11" s="420"/>
      <c r="BL11" s="420"/>
      <c r="BM11" s="420"/>
      <c r="BN11" s="420"/>
      <c r="BO11" s="420"/>
      <c r="BP11" s="420"/>
      <c r="BQ11" s="420"/>
      <c r="BR11" s="420"/>
      <c r="BS11" s="420"/>
      <c r="BT11" s="420"/>
      <c r="BU11" s="420"/>
      <c r="BV11" s="420"/>
      <c r="BW11" s="420"/>
      <c r="BX11" s="420"/>
      <c r="BY11" s="420"/>
      <c r="BZ11" s="420"/>
      <c r="CA11" s="420"/>
      <c r="CB11" s="420"/>
      <c r="CC11" s="420"/>
      <c r="CD11" s="420"/>
      <c r="CE11" s="420"/>
      <c r="CF11" s="420"/>
      <c r="CG11" s="420"/>
      <c r="CH11" s="420"/>
      <c r="CI11" s="420"/>
      <c r="CJ11" s="420"/>
      <c r="CK11" s="420"/>
      <c r="CL11" s="420"/>
      <c r="CM11" s="420"/>
      <c r="CN11" s="420"/>
      <c r="CO11" s="420"/>
      <c r="CP11" s="420"/>
      <c r="CQ11" s="420"/>
      <c r="CR11" s="420"/>
      <c r="CS11" s="420"/>
      <c r="CT11" s="420"/>
      <c r="CU11" s="420"/>
      <c r="CV11" s="420"/>
      <c r="CW11" s="420"/>
      <c r="CX11" s="420"/>
      <c r="CY11" s="420"/>
      <c r="CZ11" s="420"/>
      <c r="DA11" s="420"/>
      <c r="DB11" s="420"/>
      <c r="DC11" s="420"/>
      <c r="DD11" s="420"/>
      <c r="DE11" s="420"/>
      <c r="DF11" s="420"/>
      <c r="DG11" s="420"/>
      <c r="DH11" s="420"/>
      <c r="DI11" s="420"/>
      <c r="DJ11" s="420"/>
      <c r="DK11" s="420"/>
      <c r="DL11" s="420"/>
      <c r="DM11" s="420"/>
      <c r="DN11" s="420"/>
      <c r="DO11" s="420"/>
      <c r="DP11" s="420"/>
      <c r="DQ11" s="420"/>
      <c r="DR11" s="420"/>
      <c r="DS11" s="420"/>
      <c r="DT11" s="420"/>
      <c r="DU11" s="420"/>
      <c r="DV11" s="420"/>
      <c r="DW11" s="420"/>
      <c r="DX11" s="420"/>
      <c r="DY11" s="420"/>
      <c r="DZ11" s="420"/>
      <c r="EA11" s="420"/>
      <c r="EB11" s="420"/>
      <c r="EC11" s="420"/>
      <c r="ED11" s="420"/>
      <c r="EE11" s="420"/>
      <c r="EF11" s="420"/>
      <c r="EG11" s="420"/>
      <c r="EH11" s="420"/>
      <c r="EI11" s="420"/>
      <c r="EJ11" s="420"/>
      <c r="EK11" s="420"/>
      <c r="EL11" s="420"/>
      <c r="EM11" s="420"/>
      <c r="EN11" s="420"/>
      <c r="EO11" s="420"/>
      <c r="EP11" s="420"/>
      <c r="EQ11" s="420"/>
      <c r="ER11" s="420"/>
      <c r="ES11" s="420"/>
      <c r="ET11" s="420"/>
      <c r="EU11" s="420"/>
      <c r="EV11" s="420"/>
      <c r="EW11" s="420"/>
      <c r="EX11" s="420"/>
      <c r="EY11" s="420"/>
      <c r="EZ11" s="420"/>
      <c r="FA11" s="420"/>
      <c r="FB11" s="420"/>
      <c r="FC11" s="420"/>
      <c r="FD11" s="420"/>
      <c r="FE11" s="420"/>
      <c r="FF11" s="420"/>
      <c r="FG11" s="420"/>
      <c r="FH11" s="420"/>
      <c r="FI11" s="420"/>
      <c r="FJ11" s="420"/>
      <c r="FK11" s="420"/>
      <c r="FL11" s="420"/>
      <c r="FM11" s="420"/>
      <c r="FN11" s="420"/>
      <c r="FO11" s="420"/>
      <c r="FP11" s="420"/>
      <c r="FQ11" s="420"/>
      <c r="FR11" s="420"/>
      <c r="FS11" s="420"/>
      <c r="FT11" s="420"/>
      <c r="FU11" s="420"/>
      <c r="FV11" s="420"/>
      <c r="FW11" s="420"/>
      <c r="FX11" s="420"/>
      <c r="FY11" s="420"/>
      <c r="FZ11" s="420"/>
      <c r="GA11" s="420"/>
      <c r="GB11" s="420"/>
      <c r="GC11" s="420"/>
      <c r="GD11" s="420"/>
      <c r="GE11" s="420"/>
      <c r="GF11" s="420"/>
      <c r="GG11" s="420"/>
      <c r="GH11" s="420"/>
      <c r="GI11" s="420"/>
      <c r="GJ11" s="420"/>
      <c r="GK11" s="420"/>
      <c r="GL11" s="420"/>
      <c r="GM11" s="420"/>
      <c r="GN11" s="420"/>
      <c r="GO11" s="420"/>
      <c r="GP11" s="420"/>
      <c r="GQ11" s="420"/>
      <c r="GR11" s="420"/>
      <c r="GS11" s="420"/>
      <c r="GT11" s="420"/>
      <c r="GU11" s="420"/>
      <c r="GV11" s="420"/>
      <c r="GW11" s="420"/>
      <c r="GX11" s="420"/>
      <c r="GY11" s="420"/>
      <c r="GZ11" s="420"/>
      <c r="HA11" s="420"/>
      <c r="HB11" s="420"/>
      <c r="HC11" s="420"/>
      <c r="HD11" s="420"/>
      <c r="HE11" s="420"/>
      <c r="HF11" s="420"/>
      <c r="HG11" s="420"/>
      <c r="HH11" s="420"/>
      <c r="HI11" s="420"/>
      <c r="HJ11" s="420"/>
      <c r="HK11" s="420"/>
      <c r="HL11" s="420"/>
      <c r="HM11" s="420"/>
      <c r="HN11" s="420"/>
      <c r="HO11" s="420"/>
      <c r="HP11" s="420"/>
      <c r="HQ11" s="420"/>
      <c r="HR11" s="420"/>
      <c r="HS11" s="420"/>
      <c r="HT11" s="420"/>
      <c r="HU11" s="420"/>
      <c r="HV11" s="420"/>
      <c r="HW11" s="420"/>
      <c r="HX11" s="420"/>
      <c r="HY11" s="420"/>
      <c r="HZ11" s="420"/>
      <c r="IA11" s="420"/>
      <c r="IB11" s="420"/>
      <c r="IC11" s="420"/>
      <c r="ID11" s="420"/>
      <c r="IE11" s="420"/>
      <c r="IF11" s="420"/>
      <c r="IG11" s="420"/>
      <c r="IH11" s="420"/>
      <c r="II11" s="420"/>
      <c r="IJ11" s="420"/>
      <c r="IK11" s="420"/>
      <c r="IL11" s="420"/>
      <c r="IM11" s="420"/>
      <c r="IN11" s="420"/>
      <c r="IO11" s="420"/>
      <c r="IP11" s="420"/>
      <c r="IQ11" s="420"/>
      <c r="IR11" s="420"/>
      <c r="IS11" s="420"/>
      <c r="IT11" s="420"/>
      <c r="IU11" s="420"/>
      <c r="IV11" s="420"/>
      <c r="IW11" s="420"/>
      <c r="IX11" s="420"/>
      <c r="IY11" s="420"/>
      <c r="IZ11" s="420"/>
      <c r="JA11" s="420"/>
      <c r="JB11" s="420"/>
    </row>
    <row r="12" spans="1:262" s="768" customFormat="1" ht="24.95" customHeight="1" x14ac:dyDescent="0.35">
      <c r="A12" s="783">
        <v>2</v>
      </c>
      <c r="B12" s="766"/>
      <c r="C12" s="1066">
        <v>1</v>
      </c>
      <c r="D12" s="1052" t="s">
        <v>750</v>
      </c>
      <c r="E12" s="429"/>
      <c r="F12" s="427"/>
      <c r="G12" s="428"/>
      <c r="H12" s="1008" t="s">
        <v>24</v>
      </c>
      <c r="I12" s="769"/>
      <c r="J12" s="769"/>
      <c r="K12" s="769"/>
      <c r="L12" s="769"/>
      <c r="M12" s="769"/>
      <c r="N12" s="769"/>
      <c r="O12" s="769"/>
      <c r="P12" s="777"/>
      <c r="Q12" s="77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420"/>
      <c r="AJ12" s="420"/>
      <c r="AK12" s="420"/>
      <c r="AL12" s="420"/>
      <c r="AM12" s="420"/>
      <c r="AN12" s="420"/>
      <c r="AO12" s="420"/>
      <c r="AP12" s="420"/>
      <c r="AQ12" s="420"/>
      <c r="AR12" s="420"/>
      <c r="AS12" s="420"/>
      <c r="AT12" s="420"/>
      <c r="AU12" s="420"/>
      <c r="AV12" s="420"/>
      <c r="AW12" s="420"/>
      <c r="AX12" s="420"/>
      <c r="AY12" s="420"/>
      <c r="AZ12" s="420"/>
      <c r="BA12" s="420"/>
      <c r="BB12" s="420"/>
      <c r="BC12" s="420"/>
      <c r="BD12" s="420"/>
      <c r="BE12" s="420"/>
      <c r="BF12" s="420"/>
      <c r="BG12" s="420"/>
      <c r="BH12" s="420"/>
      <c r="BI12" s="420"/>
      <c r="BJ12" s="420"/>
      <c r="BK12" s="420"/>
      <c r="BL12" s="420"/>
      <c r="BM12" s="420"/>
      <c r="BN12" s="420"/>
      <c r="BO12" s="420"/>
      <c r="BP12" s="420"/>
      <c r="BQ12" s="420"/>
      <c r="BR12" s="420"/>
      <c r="BS12" s="420"/>
      <c r="BT12" s="420"/>
      <c r="BU12" s="420"/>
      <c r="BV12" s="420"/>
      <c r="BW12" s="420"/>
      <c r="BX12" s="420"/>
      <c r="BY12" s="420"/>
      <c r="BZ12" s="420"/>
      <c r="CA12" s="420"/>
      <c r="CB12" s="420"/>
      <c r="CC12" s="420"/>
      <c r="CD12" s="420"/>
      <c r="CE12" s="420"/>
      <c r="CF12" s="420"/>
      <c r="CG12" s="420"/>
      <c r="CH12" s="420"/>
      <c r="CI12" s="420"/>
      <c r="CJ12" s="420"/>
      <c r="CK12" s="420"/>
      <c r="CL12" s="420"/>
      <c r="CM12" s="420"/>
      <c r="CN12" s="420"/>
      <c r="CO12" s="420"/>
      <c r="CP12" s="420"/>
      <c r="CQ12" s="420"/>
      <c r="CR12" s="420"/>
      <c r="CS12" s="420"/>
      <c r="CT12" s="420"/>
      <c r="CU12" s="420"/>
      <c r="CV12" s="420"/>
      <c r="CW12" s="420"/>
      <c r="CX12" s="420"/>
      <c r="CY12" s="420"/>
      <c r="CZ12" s="420"/>
      <c r="DA12" s="420"/>
      <c r="DB12" s="420"/>
      <c r="DC12" s="420"/>
      <c r="DD12" s="420"/>
      <c r="DE12" s="420"/>
      <c r="DF12" s="420"/>
      <c r="DG12" s="420"/>
      <c r="DH12" s="420"/>
      <c r="DI12" s="420"/>
      <c r="DJ12" s="420"/>
      <c r="DK12" s="420"/>
      <c r="DL12" s="420"/>
      <c r="DM12" s="420"/>
      <c r="DN12" s="420"/>
      <c r="DO12" s="420"/>
      <c r="DP12" s="420"/>
      <c r="DQ12" s="420"/>
      <c r="DR12" s="420"/>
      <c r="DS12" s="420"/>
      <c r="DT12" s="420"/>
      <c r="DU12" s="420"/>
      <c r="DV12" s="420"/>
      <c r="DW12" s="420"/>
      <c r="DX12" s="420"/>
      <c r="DY12" s="420"/>
      <c r="DZ12" s="420"/>
      <c r="EA12" s="420"/>
      <c r="EB12" s="420"/>
      <c r="EC12" s="420"/>
      <c r="ED12" s="420"/>
      <c r="EE12" s="420"/>
      <c r="EF12" s="420"/>
      <c r="EG12" s="420"/>
      <c r="EH12" s="420"/>
      <c r="EI12" s="420"/>
      <c r="EJ12" s="420"/>
      <c r="EK12" s="420"/>
      <c r="EL12" s="420"/>
      <c r="EM12" s="420"/>
      <c r="EN12" s="420"/>
      <c r="EO12" s="420"/>
      <c r="EP12" s="420"/>
      <c r="EQ12" s="420"/>
      <c r="ER12" s="420"/>
      <c r="ES12" s="420"/>
      <c r="ET12" s="420"/>
      <c r="EU12" s="420"/>
      <c r="EV12" s="420"/>
      <c r="EW12" s="420"/>
      <c r="EX12" s="420"/>
      <c r="EY12" s="420"/>
      <c r="EZ12" s="420"/>
      <c r="FA12" s="420"/>
      <c r="FB12" s="420"/>
      <c r="FC12" s="420"/>
      <c r="FD12" s="420"/>
      <c r="FE12" s="420"/>
      <c r="FF12" s="420"/>
      <c r="FG12" s="420"/>
      <c r="FH12" s="420"/>
      <c r="FI12" s="420"/>
      <c r="FJ12" s="420"/>
      <c r="FK12" s="420"/>
      <c r="FL12" s="420"/>
      <c r="FM12" s="420"/>
      <c r="FN12" s="420"/>
      <c r="FO12" s="420"/>
      <c r="FP12" s="420"/>
      <c r="FQ12" s="420"/>
      <c r="FR12" s="420"/>
      <c r="FS12" s="420"/>
      <c r="FT12" s="420"/>
      <c r="FU12" s="420"/>
      <c r="FV12" s="420"/>
      <c r="FW12" s="420"/>
      <c r="FX12" s="420"/>
      <c r="FY12" s="420"/>
      <c r="FZ12" s="420"/>
      <c r="GA12" s="420"/>
      <c r="GB12" s="420"/>
      <c r="GC12" s="420"/>
      <c r="GD12" s="420"/>
      <c r="GE12" s="420"/>
      <c r="GF12" s="420"/>
      <c r="GG12" s="420"/>
      <c r="GH12" s="420"/>
      <c r="GI12" s="420"/>
      <c r="GJ12" s="420"/>
      <c r="GK12" s="420"/>
      <c r="GL12" s="420"/>
      <c r="GM12" s="420"/>
      <c r="GN12" s="420"/>
      <c r="GO12" s="420"/>
      <c r="GP12" s="420"/>
      <c r="GQ12" s="420"/>
      <c r="GR12" s="420"/>
      <c r="GS12" s="420"/>
      <c r="GT12" s="420"/>
      <c r="GU12" s="420"/>
      <c r="GV12" s="420"/>
      <c r="GW12" s="420"/>
      <c r="GX12" s="420"/>
      <c r="GY12" s="420"/>
      <c r="GZ12" s="420"/>
      <c r="HA12" s="420"/>
      <c r="HB12" s="420"/>
      <c r="HC12" s="420"/>
      <c r="HD12" s="420"/>
      <c r="HE12" s="420"/>
      <c r="HF12" s="420"/>
      <c r="HG12" s="420"/>
      <c r="HH12" s="420"/>
      <c r="HI12" s="420"/>
      <c r="HJ12" s="420"/>
      <c r="HK12" s="420"/>
      <c r="HL12" s="420"/>
      <c r="HM12" s="420"/>
      <c r="HN12" s="420"/>
      <c r="HO12" s="420"/>
      <c r="HP12" s="420"/>
      <c r="HQ12" s="420"/>
      <c r="HR12" s="420"/>
      <c r="HS12" s="420"/>
      <c r="HT12" s="420"/>
      <c r="HU12" s="420"/>
      <c r="HV12" s="420"/>
      <c r="HW12" s="420"/>
      <c r="HX12" s="420"/>
      <c r="HY12" s="420"/>
      <c r="HZ12" s="420"/>
      <c r="IA12" s="420"/>
      <c r="IB12" s="420"/>
      <c r="IC12" s="420"/>
      <c r="ID12" s="420"/>
      <c r="IE12" s="420"/>
      <c r="IF12" s="420"/>
      <c r="IG12" s="420"/>
      <c r="IH12" s="420"/>
      <c r="II12" s="420"/>
      <c r="IJ12" s="420"/>
      <c r="IK12" s="420"/>
      <c r="IL12" s="420"/>
      <c r="IM12" s="420"/>
      <c r="IN12" s="420"/>
      <c r="IO12" s="420"/>
      <c r="IP12" s="420"/>
      <c r="IQ12" s="420"/>
      <c r="IR12" s="420"/>
      <c r="IS12" s="420"/>
      <c r="IT12" s="420"/>
      <c r="IU12" s="420"/>
      <c r="IV12" s="420"/>
      <c r="IW12" s="420"/>
      <c r="IX12" s="420"/>
      <c r="IY12" s="420"/>
      <c r="IZ12" s="420"/>
      <c r="JA12" s="420"/>
      <c r="JB12" s="420"/>
    </row>
    <row r="13" spans="1:262" s="768" customFormat="1" ht="22.5" customHeight="1" x14ac:dyDescent="0.35">
      <c r="A13" s="783">
        <v>3</v>
      </c>
      <c r="B13" s="776"/>
      <c r="C13" s="466"/>
      <c r="D13" s="1034" t="s">
        <v>748</v>
      </c>
      <c r="E13" s="432"/>
      <c r="F13" s="772"/>
      <c r="G13" s="433"/>
      <c r="H13" s="1009"/>
      <c r="I13" s="1005"/>
      <c r="J13" s="769"/>
      <c r="K13" s="769"/>
      <c r="L13" s="769"/>
      <c r="M13" s="769"/>
      <c r="N13" s="769"/>
      <c r="O13" s="769"/>
      <c r="P13" s="777"/>
      <c r="Q13" s="773"/>
      <c r="R13" s="420"/>
      <c r="S13" s="420"/>
      <c r="T13" s="420"/>
      <c r="U13" s="420"/>
      <c r="V13" s="420"/>
      <c r="W13" s="420"/>
      <c r="X13" s="420"/>
      <c r="Y13" s="420"/>
      <c r="Z13" s="420"/>
      <c r="AA13" s="420"/>
      <c r="AB13" s="420"/>
      <c r="AC13" s="420"/>
      <c r="AD13" s="420"/>
      <c r="AE13" s="420"/>
      <c r="AF13" s="420"/>
      <c r="AG13" s="420"/>
      <c r="AH13" s="420"/>
      <c r="AI13" s="420"/>
      <c r="AJ13" s="420"/>
      <c r="AK13" s="420"/>
      <c r="AL13" s="420"/>
      <c r="AM13" s="420"/>
      <c r="AN13" s="420"/>
      <c r="AO13" s="420"/>
      <c r="AP13" s="420"/>
      <c r="AQ13" s="420"/>
      <c r="AR13" s="420"/>
      <c r="AS13" s="420"/>
      <c r="AT13" s="420"/>
      <c r="AU13" s="420"/>
      <c r="AV13" s="420"/>
      <c r="AW13" s="420"/>
      <c r="AX13" s="420"/>
      <c r="AY13" s="420"/>
      <c r="AZ13" s="420"/>
      <c r="BA13" s="420"/>
      <c r="BB13" s="420"/>
      <c r="BC13" s="420"/>
      <c r="BD13" s="420"/>
      <c r="BE13" s="420"/>
      <c r="BF13" s="420"/>
      <c r="BG13" s="420"/>
      <c r="BH13" s="420"/>
      <c r="BI13" s="420"/>
      <c r="BJ13" s="420"/>
      <c r="BK13" s="420"/>
      <c r="BL13" s="420"/>
      <c r="BM13" s="420"/>
      <c r="BN13" s="420"/>
      <c r="BO13" s="420"/>
      <c r="BP13" s="420"/>
      <c r="BQ13" s="420"/>
      <c r="BR13" s="420"/>
      <c r="BS13" s="420"/>
      <c r="BT13" s="420"/>
      <c r="BU13" s="420"/>
      <c r="BV13" s="420"/>
      <c r="BW13" s="420"/>
      <c r="BX13" s="420"/>
      <c r="BY13" s="420"/>
      <c r="BZ13" s="420"/>
      <c r="CA13" s="420"/>
      <c r="CB13" s="420"/>
      <c r="CC13" s="420"/>
      <c r="CD13" s="420"/>
      <c r="CE13" s="420"/>
      <c r="CF13" s="420"/>
      <c r="CG13" s="420"/>
      <c r="CH13" s="420"/>
      <c r="CI13" s="420"/>
      <c r="CJ13" s="420"/>
      <c r="CK13" s="420"/>
      <c r="CL13" s="420"/>
      <c r="CM13" s="420"/>
      <c r="CN13" s="420"/>
      <c r="CO13" s="420"/>
      <c r="CP13" s="420"/>
      <c r="CQ13" s="420"/>
      <c r="CR13" s="420"/>
      <c r="CS13" s="420"/>
      <c r="CT13" s="420"/>
      <c r="CU13" s="420"/>
      <c r="CV13" s="420"/>
      <c r="CW13" s="420"/>
      <c r="CX13" s="420"/>
      <c r="CY13" s="420"/>
      <c r="CZ13" s="420"/>
      <c r="DA13" s="420"/>
      <c r="DB13" s="420"/>
      <c r="DC13" s="420"/>
      <c r="DD13" s="420"/>
      <c r="DE13" s="420"/>
      <c r="DF13" s="420"/>
      <c r="DG13" s="420"/>
      <c r="DH13" s="420"/>
      <c r="DI13" s="420"/>
      <c r="DJ13" s="420"/>
      <c r="DK13" s="420"/>
      <c r="DL13" s="420"/>
      <c r="DM13" s="420"/>
      <c r="DN13" s="420"/>
      <c r="DO13" s="420"/>
      <c r="DP13" s="420"/>
      <c r="DQ13" s="420"/>
      <c r="DR13" s="420"/>
      <c r="DS13" s="420"/>
      <c r="DT13" s="420"/>
      <c r="DU13" s="420"/>
      <c r="DV13" s="420"/>
      <c r="DW13" s="420"/>
      <c r="DX13" s="420"/>
      <c r="DY13" s="420"/>
      <c r="DZ13" s="420"/>
      <c r="EA13" s="420"/>
      <c r="EB13" s="420"/>
      <c r="EC13" s="420"/>
      <c r="ED13" s="420"/>
      <c r="EE13" s="420"/>
      <c r="EF13" s="420"/>
      <c r="EG13" s="420"/>
      <c r="EH13" s="420"/>
      <c r="EI13" s="420"/>
      <c r="EJ13" s="420"/>
      <c r="EK13" s="420"/>
      <c r="EL13" s="420"/>
      <c r="EM13" s="420"/>
      <c r="EN13" s="420"/>
      <c r="EO13" s="420"/>
      <c r="EP13" s="420"/>
      <c r="EQ13" s="420"/>
      <c r="ER13" s="420"/>
      <c r="ES13" s="420"/>
      <c r="ET13" s="420"/>
      <c r="EU13" s="420"/>
      <c r="EV13" s="420"/>
      <c r="EW13" s="420"/>
      <c r="EX13" s="420"/>
      <c r="EY13" s="420"/>
      <c r="EZ13" s="420"/>
      <c r="FA13" s="420"/>
      <c r="FB13" s="420"/>
      <c r="FC13" s="420"/>
      <c r="FD13" s="420"/>
      <c r="FE13" s="420"/>
      <c r="FF13" s="420"/>
      <c r="FG13" s="420"/>
      <c r="FH13" s="420"/>
      <c r="FI13" s="420"/>
      <c r="FJ13" s="420"/>
      <c r="FK13" s="420"/>
      <c r="FL13" s="420"/>
      <c r="FM13" s="420"/>
      <c r="FN13" s="420"/>
      <c r="FO13" s="420"/>
      <c r="FP13" s="420"/>
      <c r="FQ13" s="420"/>
      <c r="FR13" s="420"/>
      <c r="FS13" s="420"/>
      <c r="FT13" s="420"/>
      <c r="FU13" s="420"/>
      <c r="FV13" s="420"/>
      <c r="FW13" s="420"/>
      <c r="FX13" s="420"/>
      <c r="FY13" s="420"/>
      <c r="FZ13" s="420"/>
      <c r="GA13" s="420"/>
      <c r="GB13" s="420"/>
      <c r="GC13" s="420"/>
      <c r="GD13" s="420"/>
      <c r="GE13" s="420"/>
      <c r="GF13" s="420"/>
      <c r="GG13" s="420"/>
      <c r="GH13" s="420"/>
      <c r="GI13" s="420"/>
      <c r="GJ13" s="420"/>
      <c r="GK13" s="420"/>
      <c r="GL13" s="420"/>
      <c r="GM13" s="420"/>
      <c r="GN13" s="420"/>
      <c r="GO13" s="420"/>
      <c r="GP13" s="420"/>
      <c r="GQ13" s="420"/>
      <c r="GR13" s="420"/>
      <c r="GS13" s="420"/>
      <c r="GT13" s="420"/>
      <c r="GU13" s="420"/>
      <c r="GV13" s="420"/>
      <c r="GW13" s="420"/>
      <c r="GX13" s="420"/>
      <c r="GY13" s="420"/>
      <c r="GZ13" s="420"/>
      <c r="HA13" s="420"/>
      <c r="HB13" s="420"/>
      <c r="HC13" s="420"/>
      <c r="HD13" s="420"/>
      <c r="HE13" s="420"/>
      <c r="HF13" s="420"/>
      <c r="HG13" s="420"/>
      <c r="HH13" s="420"/>
      <c r="HI13" s="420"/>
      <c r="HJ13" s="420"/>
      <c r="HK13" s="420"/>
      <c r="HL13" s="420"/>
      <c r="HM13" s="420"/>
      <c r="HN13" s="420"/>
      <c r="HO13" s="420"/>
      <c r="HP13" s="420"/>
      <c r="HQ13" s="420"/>
      <c r="HR13" s="420"/>
      <c r="HS13" s="420"/>
      <c r="HT13" s="420"/>
      <c r="HU13" s="420"/>
      <c r="HV13" s="420"/>
      <c r="HW13" s="420"/>
      <c r="HX13" s="420"/>
      <c r="HY13" s="420"/>
      <c r="HZ13" s="420"/>
      <c r="IA13" s="420"/>
      <c r="IB13" s="420"/>
      <c r="IC13" s="420"/>
      <c r="ID13" s="420"/>
      <c r="IE13" s="420"/>
      <c r="IF13" s="420"/>
      <c r="IG13" s="420"/>
      <c r="IH13" s="420"/>
      <c r="II13" s="420"/>
      <c r="IJ13" s="420"/>
      <c r="IK13" s="420"/>
      <c r="IL13" s="420"/>
      <c r="IM13" s="420"/>
      <c r="IN13" s="420"/>
      <c r="IO13" s="420"/>
      <c r="IP13" s="420"/>
      <c r="IQ13" s="420"/>
      <c r="IR13" s="420"/>
      <c r="IS13" s="420"/>
      <c r="IT13" s="420"/>
      <c r="IU13" s="420"/>
      <c r="IV13" s="420"/>
      <c r="IW13" s="420"/>
      <c r="IX13" s="420"/>
      <c r="IY13" s="420"/>
      <c r="IZ13" s="420"/>
      <c r="JA13" s="420"/>
      <c r="JB13" s="420"/>
    </row>
    <row r="14" spans="1:262" s="1001" customFormat="1" ht="18" customHeight="1" x14ac:dyDescent="0.35">
      <c r="A14" s="783">
        <v>4</v>
      </c>
      <c r="B14" s="993"/>
      <c r="C14" s="466"/>
      <c r="D14" s="995" t="s">
        <v>311</v>
      </c>
      <c r="E14" s="432">
        <f>F14+G14+P19+2261</f>
        <v>338971</v>
      </c>
      <c r="F14" s="1036"/>
      <c r="G14" s="433">
        <f>50667+10996+4445+8177+635-1891</f>
        <v>73029</v>
      </c>
      <c r="H14" s="1010"/>
      <c r="I14" s="1006">
        <v>1000</v>
      </c>
      <c r="J14" s="999">
        <v>500</v>
      </c>
      <c r="K14" s="999">
        <f>320196-4230-1500</f>
        <v>314466</v>
      </c>
      <c r="L14" s="999"/>
      <c r="M14" s="1023"/>
      <c r="N14" s="1023"/>
      <c r="O14" s="999"/>
      <c r="P14" s="992">
        <f>SUM(I14:O14)</f>
        <v>315966</v>
      </c>
      <c r="Q14" s="1000"/>
    </row>
    <row r="15" spans="1:262" s="1001" customFormat="1" ht="18" customHeight="1" x14ac:dyDescent="0.35">
      <c r="A15" s="783">
        <v>5</v>
      </c>
      <c r="B15" s="993"/>
      <c r="C15" s="466"/>
      <c r="D15" s="583" t="s">
        <v>1072</v>
      </c>
      <c r="E15" s="432"/>
      <c r="F15" s="1036"/>
      <c r="G15" s="433"/>
      <c r="H15" s="1010"/>
      <c r="I15" s="1549">
        <v>1000</v>
      </c>
      <c r="J15" s="1548">
        <v>500</v>
      </c>
      <c r="K15" s="1548">
        <v>258850</v>
      </c>
      <c r="L15" s="1548"/>
      <c r="M15" s="769"/>
      <c r="N15" s="769"/>
      <c r="O15" s="1548"/>
      <c r="P15" s="1571">
        <f>SUM(I15:O15)</f>
        <v>260350</v>
      </c>
      <c r="Q15" s="1000"/>
    </row>
    <row r="16" spans="1:262" s="1001" customFormat="1" ht="18" customHeight="1" x14ac:dyDescent="0.35">
      <c r="A16" s="783">
        <v>6</v>
      </c>
      <c r="B16" s="993"/>
      <c r="C16" s="466"/>
      <c r="D16" s="1338" t="s">
        <v>987</v>
      </c>
      <c r="E16" s="432"/>
      <c r="F16" s="1036"/>
      <c r="G16" s="433"/>
      <c r="H16" s="1010"/>
      <c r="I16" s="1005">
        <v>-1000</v>
      </c>
      <c r="J16" s="769">
        <v>-500</v>
      </c>
      <c r="K16" s="1810">
        <v>1500</v>
      </c>
      <c r="L16" s="1548"/>
      <c r="M16" s="769"/>
      <c r="N16" s="769"/>
      <c r="O16" s="1548"/>
      <c r="P16" s="1778">
        <f>SUM(I16:O16)</f>
        <v>0</v>
      </c>
      <c r="Q16" s="1000"/>
    </row>
    <row r="17" spans="1:262" s="1001" customFormat="1" ht="18" customHeight="1" x14ac:dyDescent="0.35">
      <c r="A17" s="783">
        <v>7</v>
      </c>
      <c r="B17" s="993"/>
      <c r="C17" s="466"/>
      <c r="D17" s="1338" t="s">
        <v>1159</v>
      </c>
      <c r="E17" s="432"/>
      <c r="F17" s="1036"/>
      <c r="G17" s="433"/>
      <c r="H17" s="1010"/>
      <c r="I17" s="1005"/>
      <c r="J17" s="1005"/>
      <c r="K17" s="1814">
        <v>1222</v>
      </c>
      <c r="L17" s="1548"/>
      <c r="M17" s="769"/>
      <c r="N17" s="769"/>
      <c r="O17" s="1548"/>
      <c r="P17" s="1778">
        <f t="shared" ref="P17:P18" si="0">SUM(I17:O17)</f>
        <v>1222</v>
      </c>
      <c r="Q17" s="1000"/>
    </row>
    <row r="18" spans="1:262" s="1001" customFormat="1" ht="18" customHeight="1" x14ac:dyDescent="0.35">
      <c r="A18" s="783">
        <v>8</v>
      </c>
      <c r="B18" s="993"/>
      <c r="C18" s="466"/>
      <c r="D18" s="1338" t="s">
        <v>1159</v>
      </c>
      <c r="E18" s="432"/>
      <c r="F18" s="1036"/>
      <c r="G18" s="433"/>
      <c r="H18" s="1010"/>
      <c r="I18" s="1005"/>
      <c r="J18" s="1005"/>
      <c r="K18" s="1814">
        <v>609</v>
      </c>
      <c r="L18" s="1810">
        <v>350</v>
      </c>
      <c r="M18" s="1810"/>
      <c r="N18" s="1810"/>
      <c r="O18" s="1810">
        <v>1150</v>
      </c>
      <c r="P18" s="1778">
        <f t="shared" si="0"/>
        <v>2109</v>
      </c>
      <c r="Q18" s="1000"/>
    </row>
    <row r="19" spans="1:262" s="1001" customFormat="1" ht="18" customHeight="1" x14ac:dyDescent="0.35">
      <c r="A19" s="783">
        <v>9</v>
      </c>
      <c r="B19" s="993"/>
      <c r="C19" s="466"/>
      <c r="D19" s="583" t="s">
        <v>1151</v>
      </c>
      <c r="E19" s="432"/>
      <c r="F19" s="1036"/>
      <c r="G19" s="433"/>
      <c r="H19" s="1010"/>
      <c r="I19" s="1549">
        <f>SUM(I15:I18)</f>
        <v>0</v>
      </c>
      <c r="J19" s="1549">
        <f t="shared" ref="J19:O19" si="1">SUM(J15:J18)</f>
        <v>0</v>
      </c>
      <c r="K19" s="1549">
        <f t="shared" si="1"/>
        <v>262181</v>
      </c>
      <c r="L19" s="1549">
        <f t="shared" si="1"/>
        <v>350</v>
      </c>
      <c r="M19" s="1549"/>
      <c r="N19" s="1549"/>
      <c r="O19" s="1549">
        <f t="shared" si="1"/>
        <v>1150</v>
      </c>
      <c r="P19" s="777">
        <f>SUM(P15:P18)</f>
        <v>263681</v>
      </c>
      <c r="Q19" s="1000"/>
    </row>
    <row r="20" spans="1:262" s="1001" customFormat="1" ht="22.5" customHeight="1" x14ac:dyDescent="0.35">
      <c r="A20" s="783">
        <v>10</v>
      </c>
      <c r="B20" s="993"/>
      <c r="C20" s="466"/>
      <c r="D20" s="1034" t="s">
        <v>749</v>
      </c>
      <c r="E20" s="432"/>
      <c r="F20" s="1036"/>
      <c r="G20" s="433"/>
      <c r="H20" s="1010"/>
      <c r="I20" s="1006"/>
      <c r="J20" s="999"/>
      <c r="K20" s="1023"/>
      <c r="L20" s="999"/>
      <c r="M20" s="1023"/>
      <c r="N20" s="1023"/>
      <c r="O20" s="999"/>
      <c r="P20" s="992"/>
      <c r="Q20" s="1000"/>
    </row>
    <row r="21" spans="1:262" s="1001" customFormat="1" ht="22.5" customHeight="1" x14ac:dyDescent="0.35">
      <c r="A21" s="783">
        <v>11</v>
      </c>
      <c r="B21" s="993"/>
      <c r="C21" s="466"/>
      <c r="D21" s="771" t="s">
        <v>832</v>
      </c>
      <c r="E21" s="432"/>
      <c r="F21" s="1036"/>
      <c r="G21" s="433"/>
      <c r="H21" s="1010"/>
      <c r="I21" s="1006"/>
      <c r="J21" s="999"/>
      <c r="K21" s="1023"/>
      <c r="L21" s="999"/>
      <c r="M21" s="1023"/>
      <c r="N21" s="1023"/>
      <c r="O21" s="999"/>
      <c r="P21" s="992"/>
      <c r="Q21" s="1000"/>
    </row>
    <row r="22" spans="1:262" s="1001" customFormat="1" ht="18" customHeight="1" x14ac:dyDescent="0.35">
      <c r="A22" s="783">
        <v>12</v>
      </c>
      <c r="B22" s="993"/>
      <c r="C22" s="466"/>
      <c r="D22" s="995" t="s">
        <v>311</v>
      </c>
      <c r="E22" s="432">
        <f>F22+G22+P25</f>
        <v>0</v>
      </c>
      <c r="F22" s="1036"/>
      <c r="G22" s="433"/>
      <c r="H22" s="1010"/>
      <c r="I22" s="1006"/>
      <c r="J22" s="999"/>
      <c r="K22" s="1023"/>
      <c r="L22" s="999"/>
      <c r="M22" s="1023"/>
      <c r="N22" s="999">
        <v>68500</v>
      </c>
      <c r="O22" s="999"/>
      <c r="P22" s="992">
        <f>SUM(I22:O22)</f>
        <v>68500</v>
      </c>
      <c r="Q22" s="1000"/>
    </row>
    <row r="23" spans="1:262" s="1001" customFormat="1" ht="18" customHeight="1" x14ac:dyDescent="0.35">
      <c r="A23" s="783">
        <v>13</v>
      </c>
      <c r="B23" s="993"/>
      <c r="C23" s="466"/>
      <c r="D23" s="583" t="s">
        <v>1072</v>
      </c>
      <c r="E23" s="432"/>
      <c r="F23" s="1036"/>
      <c r="G23" s="433"/>
      <c r="H23" s="1010"/>
      <c r="I23" s="1006"/>
      <c r="J23" s="999"/>
      <c r="K23" s="1023"/>
      <c r="L23" s="999"/>
      <c r="M23" s="1023"/>
      <c r="N23" s="1548">
        <v>0</v>
      </c>
      <c r="O23" s="1548"/>
      <c r="P23" s="777">
        <f>SUM(I23:O23)</f>
        <v>0</v>
      </c>
      <c r="Q23" s="1000"/>
    </row>
    <row r="24" spans="1:262" s="1001" customFormat="1" ht="18" customHeight="1" x14ac:dyDescent="0.35">
      <c r="A24" s="783">
        <v>14</v>
      </c>
      <c r="B24" s="993"/>
      <c r="C24" s="466"/>
      <c r="D24" s="1338" t="s">
        <v>986</v>
      </c>
      <c r="E24" s="432"/>
      <c r="F24" s="1036"/>
      <c r="G24" s="433"/>
      <c r="H24" s="1010"/>
      <c r="I24" s="1549"/>
      <c r="J24" s="1548"/>
      <c r="K24" s="769"/>
      <c r="L24" s="1548"/>
      <c r="M24" s="769"/>
      <c r="N24" s="1810"/>
      <c r="O24" s="1548"/>
      <c r="P24" s="1778">
        <f t="shared" ref="P24:P25" si="2">SUM(I24:O24)</f>
        <v>0</v>
      </c>
      <c r="Q24" s="1000"/>
    </row>
    <row r="25" spans="1:262" s="1001" customFormat="1" ht="18" customHeight="1" x14ac:dyDescent="0.35">
      <c r="A25" s="783">
        <v>15</v>
      </c>
      <c r="B25" s="993"/>
      <c r="C25" s="466"/>
      <c r="D25" s="583" t="s">
        <v>1151</v>
      </c>
      <c r="E25" s="432"/>
      <c r="F25" s="1036"/>
      <c r="G25" s="433"/>
      <c r="H25" s="1010"/>
      <c r="I25" s="1549"/>
      <c r="J25" s="1548"/>
      <c r="K25" s="769"/>
      <c r="L25" s="1548"/>
      <c r="M25" s="769"/>
      <c r="N25" s="1548">
        <f>SUM(N23:N24)</f>
        <v>0</v>
      </c>
      <c r="O25" s="1548"/>
      <c r="P25" s="777">
        <f t="shared" si="2"/>
        <v>0</v>
      </c>
      <c r="Q25" s="1000"/>
    </row>
    <row r="26" spans="1:262" s="1001" customFormat="1" ht="22.5" customHeight="1" x14ac:dyDescent="0.35">
      <c r="A26" s="783">
        <v>16</v>
      </c>
      <c r="B26" s="993"/>
      <c r="C26" s="466"/>
      <c r="D26" s="771" t="s">
        <v>746</v>
      </c>
      <c r="E26" s="432"/>
      <c r="F26" s="1036"/>
      <c r="G26" s="433"/>
      <c r="H26" s="1010"/>
      <c r="I26" s="1006"/>
      <c r="J26" s="999"/>
      <c r="K26" s="1023"/>
      <c r="L26" s="999"/>
      <c r="M26" s="1023"/>
      <c r="N26" s="1023"/>
      <c r="O26" s="999"/>
      <c r="P26" s="992"/>
      <c r="Q26" s="1000"/>
    </row>
    <row r="27" spans="1:262" s="1001" customFormat="1" ht="18" customHeight="1" x14ac:dyDescent="0.35">
      <c r="A27" s="783">
        <v>17</v>
      </c>
      <c r="B27" s="993"/>
      <c r="C27" s="466"/>
      <c r="D27" s="995" t="s">
        <v>311</v>
      </c>
      <c r="E27" s="432">
        <f>F27+G27+P30</f>
        <v>0</v>
      </c>
      <c r="F27" s="1036"/>
      <c r="G27" s="433"/>
      <c r="H27" s="1010"/>
      <c r="I27" s="1006"/>
      <c r="J27" s="999"/>
      <c r="K27" s="1023"/>
      <c r="L27" s="999"/>
      <c r="M27" s="999">
        <v>38500</v>
      </c>
      <c r="N27" s="1023"/>
      <c r="O27" s="999"/>
      <c r="P27" s="992">
        <f>SUM(I27:O27)</f>
        <v>38500</v>
      </c>
      <c r="Q27" s="1000"/>
    </row>
    <row r="28" spans="1:262" s="1001" customFormat="1" ht="18" customHeight="1" x14ac:dyDescent="0.35">
      <c r="A28" s="783">
        <v>18</v>
      </c>
      <c r="B28" s="993"/>
      <c r="C28" s="466"/>
      <c r="D28" s="583" t="s">
        <v>1072</v>
      </c>
      <c r="E28" s="432"/>
      <c r="F28" s="1036"/>
      <c r="G28" s="433"/>
      <c r="H28" s="1010"/>
      <c r="I28" s="1006"/>
      <c r="J28" s="999"/>
      <c r="K28" s="1023"/>
      <c r="L28" s="999"/>
      <c r="M28" s="1548">
        <v>0</v>
      </c>
      <c r="N28" s="769"/>
      <c r="O28" s="1548"/>
      <c r="P28" s="777">
        <f>SUM(I28:O28)</f>
        <v>0</v>
      </c>
      <c r="Q28" s="1000"/>
    </row>
    <row r="29" spans="1:262" s="1001" customFormat="1" ht="18" customHeight="1" x14ac:dyDescent="0.35">
      <c r="A29" s="783">
        <v>19</v>
      </c>
      <c r="B29" s="993"/>
      <c r="C29" s="466"/>
      <c r="D29" s="1338" t="s">
        <v>986</v>
      </c>
      <c r="E29" s="432"/>
      <c r="F29" s="1036"/>
      <c r="G29" s="433"/>
      <c r="H29" s="1010"/>
      <c r="I29" s="1549"/>
      <c r="J29" s="1548"/>
      <c r="K29" s="769"/>
      <c r="L29" s="1548"/>
      <c r="M29" s="1810"/>
      <c r="N29" s="769"/>
      <c r="O29" s="1548"/>
      <c r="P29" s="1778">
        <f t="shared" ref="P29:P72" si="3">SUM(I29:O29)</f>
        <v>0</v>
      </c>
      <c r="Q29" s="1000"/>
    </row>
    <row r="30" spans="1:262" s="1001" customFormat="1" ht="18" customHeight="1" x14ac:dyDescent="0.35">
      <c r="A30" s="783">
        <v>20</v>
      </c>
      <c r="B30" s="993"/>
      <c r="C30" s="466"/>
      <c r="D30" s="583" t="s">
        <v>1151</v>
      </c>
      <c r="E30" s="432"/>
      <c r="F30" s="1036"/>
      <c r="G30" s="433"/>
      <c r="H30" s="1010"/>
      <c r="I30" s="1549"/>
      <c r="J30" s="1548"/>
      <c r="K30" s="769"/>
      <c r="L30" s="1548"/>
      <c r="M30" s="1548">
        <f>SUM(M28:M29)</f>
        <v>0</v>
      </c>
      <c r="N30" s="769"/>
      <c r="O30" s="1548"/>
      <c r="P30" s="777">
        <f>SUM(I30:O30)</f>
        <v>0</v>
      </c>
      <c r="Q30" s="1000"/>
    </row>
    <row r="31" spans="1:262" s="768" customFormat="1" ht="22.5" customHeight="1" x14ac:dyDescent="0.35">
      <c r="A31" s="783">
        <v>21</v>
      </c>
      <c r="B31" s="776"/>
      <c r="C31" s="466"/>
      <c r="D31" s="771" t="s">
        <v>705</v>
      </c>
      <c r="E31" s="432"/>
      <c r="F31" s="772"/>
      <c r="G31" s="433"/>
      <c r="H31" s="1009"/>
      <c r="I31" s="1005"/>
      <c r="J31" s="769"/>
      <c r="K31" s="769"/>
      <c r="L31" s="769"/>
      <c r="M31" s="769"/>
      <c r="N31" s="769"/>
      <c r="O31" s="769"/>
      <c r="P31" s="777"/>
      <c r="Q31" s="773"/>
      <c r="R31" s="420"/>
      <c r="S31" s="420"/>
      <c r="T31" s="420"/>
      <c r="U31" s="420"/>
      <c r="V31" s="420"/>
      <c r="W31" s="420"/>
      <c r="X31" s="420"/>
      <c r="Y31" s="420"/>
      <c r="Z31" s="420"/>
      <c r="AA31" s="420"/>
      <c r="AB31" s="420"/>
      <c r="AC31" s="420"/>
      <c r="AD31" s="420"/>
      <c r="AE31" s="420"/>
      <c r="AF31" s="420"/>
      <c r="AG31" s="420"/>
      <c r="AH31" s="420"/>
      <c r="AI31" s="420"/>
      <c r="AJ31" s="420"/>
      <c r="AK31" s="420"/>
      <c r="AL31" s="420"/>
      <c r="AM31" s="420"/>
      <c r="AN31" s="420"/>
      <c r="AO31" s="420"/>
      <c r="AP31" s="420"/>
      <c r="AQ31" s="420"/>
      <c r="AR31" s="420"/>
      <c r="AS31" s="420"/>
      <c r="AT31" s="420"/>
      <c r="AU31" s="420"/>
      <c r="AV31" s="420"/>
      <c r="AW31" s="420"/>
      <c r="AX31" s="420"/>
      <c r="AY31" s="420"/>
      <c r="AZ31" s="420"/>
      <c r="BA31" s="420"/>
      <c r="BB31" s="420"/>
      <c r="BC31" s="420"/>
      <c r="BD31" s="420"/>
      <c r="BE31" s="420"/>
      <c r="BF31" s="420"/>
      <c r="BG31" s="420"/>
      <c r="BH31" s="420"/>
      <c r="BI31" s="420"/>
      <c r="BJ31" s="420"/>
      <c r="BK31" s="420"/>
      <c r="BL31" s="420"/>
      <c r="BM31" s="420"/>
      <c r="BN31" s="420"/>
      <c r="BO31" s="420"/>
      <c r="BP31" s="420"/>
      <c r="BQ31" s="420"/>
      <c r="BR31" s="420"/>
      <c r="BS31" s="420"/>
      <c r="BT31" s="420"/>
      <c r="BU31" s="420"/>
      <c r="BV31" s="420"/>
      <c r="BW31" s="420"/>
      <c r="BX31" s="420"/>
      <c r="BY31" s="420"/>
      <c r="BZ31" s="420"/>
      <c r="CA31" s="420"/>
      <c r="CB31" s="420"/>
      <c r="CC31" s="420"/>
      <c r="CD31" s="420"/>
      <c r="CE31" s="420"/>
      <c r="CF31" s="420"/>
      <c r="CG31" s="420"/>
      <c r="CH31" s="420"/>
      <c r="CI31" s="420"/>
      <c r="CJ31" s="420"/>
      <c r="CK31" s="420"/>
      <c r="CL31" s="420"/>
      <c r="CM31" s="420"/>
      <c r="CN31" s="420"/>
      <c r="CO31" s="420"/>
      <c r="CP31" s="420"/>
      <c r="CQ31" s="420"/>
      <c r="CR31" s="420"/>
      <c r="CS31" s="420"/>
      <c r="CT31" s="420"/>
      <c r="CU31" s="420"/>
      <c r="CV31" s="420"/>
      <c r="CW31" s="420"/>
      <c r="CX31" s="420"/>
      <c r="CY31" s="420"/>
      <c r="CZ31" s="420"/>
      <c r="DA31" s="420"/>
      <c r="DB31" s="420"/>
      <c r="DC31" s="420"/>
      <c r="DD31" s="420"/>
      <c r="DE31" s="420"/>
      <c r="DF31" s="420"/>
      <c r="DG31" s="420"/>
      <c r="DH31" s="420"/>
      <c r="DI31" s="420"/>
      <c r="DJ31" s="420"/>
      <c r="DK31" s="420"/>
      <c r="DL31" s="420"/>
      <c r="DM31" s="420"/>
      <c r="DN31" s="420"/>
      <c r="DO31" s="420"/>
      <c r="DP31" s="420"/>
      <c r="DQ31" s="420"/>
      <c r="DR31" s="420"/>
      <c r="DS31" s="420"/>
      <c r="DT31" s="420"/>
      <c r="DU31" s="420"/>
      <c r="DV31" s="420"/>
      <c r="DW31" s="420"/>
      <c r="DX31" s="420"/>
      <c r="DY31" s="420"/>
      <c r="DZ31" s="420"/>
      <c r="EA31" s="420"/>
      <c r="EB31" s="420"/>
      <c r="EC31" s="420"/>
      <c r="ED31" s="420"/>
      <c r="EE31" s="420"/>
      <c r="EF31" s="420"/>
      <c r="EG31" s="420"/>
      <c r="EH31" s="420"/>
      <c r="EI31" s="420"/>
      <c r="EJ31" s="420"/>
      <c r="EK31" s="420"/>
      <c r="EL31" s="420"/>
      <c r="EM31" s="420"/>
      <c r="EN31" s="420"/>
      <c r="EO31" s="420"/>
      <c r="EP31" s="420"/>
      <c r="EQ31" s="420"/>
      <c r="ER31" s="420"/>
      <c r="ES31" s="420"/>
      <c r="ET31" s="420"/>
      <c r="EU31" s="420"/>
      <c r="EV31" s="420"/>
      <c r="EW31" s="420"/>
      <c r="EX31" s="420"/>
      <c r="EY31" s="420"/>
      <c r="EZ31" s="420"/>
      <c r="FA31" s="420"/>
      <c r="FB31" s="420"/>
      <c r="FC31" s="420"/>
      <c r="FD31" s="420"/>
      <c r="FE31" s="420"/>
      <c r="FF31" s="420"/>
      <c r="FG31" s="420"/>
      <c r="FH31" s="420"/>
      <c r="FI31" s="420"/>
      <c r="FJ31" s="420"/>
      <c r="FK31" s="420"/>
      <c r="FL31" s="420"/>
      <c r="FM31" s="420"/>
      <c r="FN31" s="420"/>
      <c r="FO31" s="420"/>
      <c r="FP31" s="420"/>
      <c r="FQ31" s="420"/>
      <c r="FR31" s="420"/>
      <c r="FS31" s="420"/>
      <c r="FT31" s="420"/>
      <c r="FU31" s="420"/>
      <c r="FV31" s="420"/>
      <c r="FW31" s="420"/>
      <c r="FX31" s="420"/>
      <c r="FY31" s="420"/>
      <c r="FZ31" s="420"/>
      <c r="GA31" s="420"/>
      <c r="GB31" s="420"/>
      <c r="GC31" s="420"/>
      <c r="GD31" s="420"/>
      <c r="GE31" s="420"/>
      <c r="GF31" s="420"/>
      <c r="GG31" s="420"/>
      <c r="GH31" s="420"/>
      <c r="GI31" s="420"/>
      <c r="GJ31" s="420"/>
      <c r="GK31" s="420"/>
      <c r="GL31" s="420"/>
      <c r="GM31" s="420"/>
      <c r="GN31" s="420"/>
      <c r="GO31" s="420"/>
      <c r="GP31" s="420"/>
      <c r="GQ31" s="420"/>
      <c r="GR31" s="420"/>
      <c r="GS31" s="420"/>
      <c r="GT31" s="420"/>
      <c r="GU31" s="420"/>
      <c r="GV31" s="420"/>
      <c r="GW31" s="420"/>
      <c r="GX31" s="420"/>
      <c r="GY31" s="420"/>
      <c r="GZ31" s="420"/>
      <c r="HA31" s="420"/>
      <c r="HB31" s="420"/>
      <c r="HC31" s="420"/>
      <c r="HD31" s="420"/>
      <c r="HE31" s="420"/>
      <c r="HF31" s="420"/>
      <c r="HG31" s="420"/>
      <c r="HH31" s="420"/>
      <c r="HI31" s="420"/>
      <c r="HJ31" s="420"/>
      <c r="HK31" s="420"/>
      <c r="HL31" s="420"/>
      <c r="HM31" s="420"/>
      <c r="HN31" s="420"/>
      <c r="HO31" s="420"/>
      <c r="HP31" s="420"/>
      <c r="HQ31" s="420"/>
      <c r="HR31" s="420"/>
      <c r="HS31" s="420"/>
      <c r="HT31" s="420"/>
      <c r="HU31" s="420"/>
      <c r="HV31" s="420"/>
      <c r="HW31" s="420"/>
      <c r="HX31" s="420"/>
      <c r="HY31" s="420"/>
      <c r="HZ31" s="420"/>
      <c r="IA31" s="420"/>
      <c r="IB31" s="420"/>
      <c r="IC31" s="420"/>
      <c r="ID31" s="420"/>
      <c r="IE31" s="420"/>
      <c r="IF31" s="420"/>
      <c r="IG31" s="420"/>
      <c r="IH31" s="420"/>
      <c r="II31" s="420"/>
      <c r="IJ31" s="420"/>
      <c r="IK31" s="420"/>
      <c r="IL31" s="420"/>
      <c r="IM31" s="420"/>
      <c r="IN31" s="420"/>
      <c r="IO31" s="420"/>
      <c r="IP31" s="420"/>
      <c r="IQ31" s="420"/>
      <c r="IR31" s="420"/>
      <c r="IS31" s="420"/>
      <c r="IT31" s="420"/>
      <c r="IU31" s="420"/>
      <c r="IV31" s="420"/>
      <c r="IW31" s="420"/>
      <c r="IX31" s="420"/>
      <c r="IY31" s="420"/>
      <c r="IZ31" s="420"/>
      <c r="JA31" s="420"/>
      <c r="JB31" s="420"/>
    </row>
    <row r="32" spans="1:262" s="1001" customFormat="1" ht="18" customHeight="1" x14ac:dyDescent="0.35">
      <c r="A32" s="783">
        <v>22</v>
      </c>
      <c r="B32" s="993"/>
      <c r="C32" s="1078"/>
      <c r="D32" s="995" t="s">
        <v>311</v>
      </c>
      <c r="E32" s="1086">
        <f>F32+G32+P36</f>
        <v>4012</v>
      </c>
      <c r="F32" s="1079"/>
      <c r="G32" s="1088">
        <v>1891</v>
      </c>
      <c r="H32" s="1080"/>
      <c r="I32" s="1081"/>
      <c r="J32" s="1082"/>
      <c r="K32" s="1082">
        <v>4230</v>
      </c>
      <c r="L32" s="1082"/>
      <c r="M32" s="1082"/>
      <c r="N32" s="1082"/>
      <c r="O32" s="1082"/>
      <c r="P32" s="1083">
        <f>SUM(I32:O32)</f>
        <v>4230</v>
      </c>
      <c r="Q32" s="1075"/>
    </row>
    <row r="33" spans="1:17" s="1001" customFormat="1" ht="18" customHeight="1" x14ac:dyDescent="0.35">
      <c r="A33" s="783">
        <v>23</v>
      </c>
      <c r="B33" s="993"/>
      <c r="C33" s="1078"/>
      <c r="D33" s="583" t="s">
        <v>1072</v>
      </c>
      <c r="E33" s="1086"/>
      <c r="F33" s="1079"/>
      <c r="G33" s="1088"/>
      <c r="H33" s="1080"/>
      <c r="I33" s="1081"/>
      <c r="J33" s="1081"/>
      <c r="K33" s="1862">
        <v>4230</v>
      </c>
      <c r="L33" s="1862"/>
      <c r="M33" s="1862"/>
      <c r="N33" s="1862"/>
      <c r="O33" s="1862"/>
      <c r="P33" s="1571">
        <f>SUM(I33:O33)</f>
        <v>4230</v>
      </c>
      <c r="Q33" s="1075"/>
    </row>
    <row r="34" spans="1:17" s="1001" customFormat="1" ht="18" customHeight="1" x14ac:dyDescent="0.35">
      <c r="A34" s="783">
        <v>24</v>
      </c>
      <c r="B34" s="993"/>
      <c r="C34" s="466"/>
      <c r="D34" s="1338" t="s">
        <v>987</v>
      </c>
      <c r="E34" s="432"/>
      <c r="F34" s="1036"/>
      <c r="G34" s="433"/>
      <c r="H34" s="1010"/>
      <c r="I34" s="1549"/>
      <c r="J34" s="1549"/>
      <c r="K34" s="1814">
        <v>-609</v>
      </c>
      <c r="L34" s="1549"/>
      <c r="M34" s="1549"/>
      <c r="N34" s="1549"/>
      <c r="O34" s="1549"/>
      <c r="P34" s="1778">
        <f>SUM(I34:O34)</f>
        <v>-609</v>
      </c>
      <c r="Q34" s="1000"/>
    </row>
    <row r="35" spans="1:17" s="1001" customFormat="1" ht="18" customHeight="1" x14ac:dyDescent="0.35">
      <c r="A35" s="783">
        <v>25</v>
      </c>
      <c r="B35" s="993"/>
      <c r="C35" s="466"/>
      <c r="D35" s="442" t="s">
        <v>1159</v>
      </c>
      <c r="E35" s="432"/>
      <c r="F35" s="1036"/>
      <c r="G35" s="433"/>
      <c r="H35" s="1010"/>
      <c r="I35" s="1549"/>
      <c r="J35" s="1549"/>
      <c r="K35" s="1814">
        <v>-1500</v>
      </c>
      <c r="L35" s="1549"/>
      <c r="M35" s="1549"/>
      <c r="N35" s="1549"/>
      <c r="O35" s="1549"/>
      <c r="P35" s="1778">
        <f>SUM(I35:O35)</f>
        <v>-1500</v>
      </c>
      <c r="Q35" s="1547"/>
    </row>
    <row r="36" spans="1:17" s="1001" customFormat="1" ht="18" customHeight="1" x14ac:dyDescent="0.35">
      <c r="A36" s="783">
        <v>26</v>
      </c>
      <c r="B36" s="993"/>
      <c r="C36" s="1542"/>
      <c r="D36" s="583" t="s">
        <v>1151</v>
      </c>
      <c r="E36" s="1543"/>
      <c r="F36" s="1544"/>
      <c r="G36" s="1545"/>
      <c r="H36" s="1546"/>
      <c r="I36" s="1550"/>
      <c r="J36" s="1550"/>
      <c r="K36" s="1550">
        <f>SUM(K33:K35)</f>
        <v>2121</v>
      </c>
      <c r="L36" s="1550"/>
      <c r="M36" s="1550"/>
      <c r="N36" s="1550"/>
      <c r="O36" s="1550"/>
      <c r="P36" s="777">
        <f>SUM(I36:O36)</f>
        <v>2121</v>
      </c>
      <c r="Q36" s="1547"/>
    </row>
    <row r="37" spans="1:17" s="1001" customFormat="1" ht="22.5" customHeight="1" x14ac:dyDescent="0.35">
      <c r="A37" s="783">
        <v>27</v>
      </c>
      <c r="B37" s="993"/>
      <c r="C37" s="466"/>
      <c r="D37" s="771" t="s">
        <v>1125</v>
      </c>
      <c r="E37" s="432"/>
      <c r="F37" s="1036"/>
      <c r="G37" s="433"/>
      <c r="H37" s="1010"/>
      <c r="I37" s="1549"/>
      <c r="J37" s="1549"/>
      <c r="K37" s="1549"/>
      <c r="L37" s="1549"/>
      <c r="M37" s="1549"/>
      <c r="N37" s="1549"/>
      <c r="O37" s="1549"/>
      <c r="P37" s="777"/>
      <c r="Q37" s="1000"/>
    </row>
    <row r="38" spans="1:17" s="1001" customFormat="1" ht="18" customHeight="1" x14ac:dyDescent="0.35">
      <c r="A38" s="783">
        <v>28</v>
      </c>
      <c r="B38" s="993"/>
      <c r="C38" s="1542"/>
      <c r="D38" s="583" t="s">
        <v>1072</v>
      </c>
      <c r="E38" s="1086">
        <f>F38+G38+P40</f>
        <v>45022</v>
      </c>
      <c r="F38" s="1036"/>
      <c r="G38" s="433"/>
      <c r="H38" s="1010"/>
      <c r="I38" s="1549"/>
      <c r="J38" s="1549"/>
      <c r="K38" s="1549"/>
      <c r="L38" s="1549"/>
      <c r="M38" s="1549">
        <v>45022</v>
      </c>
      <c r="N38" s="1549"/>
      <c r="O38" s="1549"/>
      <c r="P38" s="1571">
        <f>SUM(I38:O38)</f>
        <v>45022</v>
      </c>
      <c r="Q38" s="1000"/>
    </row>
    <row r="39" spans="1:17" s="1001" customFormat="1" ht="18" customHeight="1" x14ac:dyDescent="0.35">
      <c r="A39" s="783">
        <v>29</v>
      </c>
      <c r="B39" s="993"/>
      <c r="C39" s="466"/>
      <c r="D39" s="1338" t="s">
        <v>986</v>
      </c>
      <c r="E39" s="432"/>
      <c r="F39" s="1036"/>
      <c r="G39" s="433"/>
      <c r="H39" s="1010"/>
      <c r="I39" s="1549"/>
      <c r="J39" s="1549"/>
      <c r="K39" s="1549"/>
      <c r="L39" s="1549"/>
      <c r="M39" s="1814"/>
      <c r="N39" s="1549"/>
      <c r="O39" s="1549"/>
      <c r="P39" s="1778">
        <f>SUM(I39:O39)</f>
        <v>0</v>
      </c>
      <c r="Q39" s="1000"/>
    </row>
    <row r="40" spans="1:17" s="1001" customFormat="1" ht="18" customHeight="1" x14ac:dyDescent="0.35">
      <c r="A40" s="783">
        <v>30</v>
      </c>
      <c r="B40" s="993"/>
      <c r="C40" s="466"/>
      <c r="D40" s="583" t="s">
        <v>1151</v>
      </c>
      <c r="E40" s="1543"/>
      <c r="F40" s="1544"/>
      <c r="G40" s="1545"/>
      <c r="H40" s="1546"/>
      <c r="I40" s="1550"/>
      <c r="J40" s="1550"/>
      <c r="K40" s="1550"/>
      <c r="L40" s="1550"/>
      <c r="M40" s="1550">
        <f>SUM(M38:M39)</f>
        <v>45022</v>
      </c>
      <c r="N40" s="1550"/>
      <c r="O40" s="1550"/>
      <c r="P40" s="777">
        <f>SUM(I40:O40)</f>
        <v>45022</v>
      </c>
      <c r="Q40" s="1547"/>
    </row>
    <row r="41" spans="1:17" s="1001" customFormat="1" ht="22.5" customHeight="1" x14ac:dyDescent="0.35">
      <c r="A41" s="783">
        <v>31</v>
      </c>
      <c r="B41" s="993"/>
      <c r="C41" s="466"/>
      <c r="D41" s="771" t="s">
        <v>1022</v>
      </c>
      <c r="E41" s="432"/>
      <c r="F41" s="1036"/>
      <c r="G41" s="433"/>
      <c r="H41" s="1010"/>
      <c r="I41" s="1549"/>
      <c r="J41" s="1548"/>
      <c r="K41" s="769"/>
      <c r="L41" s="1548"/>
      <c r="M41" s="769"/>
      <c r="N41" s="769"/>
      <c r="O41" s="1548"/>
      <c r="P41" s="777"/>
      <c r="Q41" s="1000"/>
    </row>
    <row r="42" spans="1:17" s="1001" customFormat="1" ht="22.5" customHeight="1" x14ac:dyDescent="0.35">
      <c r="A42" s="783">
        <v>32</v>
      </c>
      <c r="B42" s="993"/>
      <c r="C42" s="466"/>
      <c r="D42" s="583" t="s">
        <v>1072</v>
      </c>
      <c r="E42" s="1086">
        <f>F42+G42+P44</f>
        <v>86233</v>
      </c>
      <c r="F42" s="1036"/>
      <c r="G42" s="433"/>
      <c r="H42" s="1010"/>
      <c r="I42" s="1549"/>
      <c r="J42" s="1548"/>
      <c r="K42" s="769"/>
      <c r="L42" s="1548"/>
      <c r="M42" s="1548">
        <v>86233</v>
      </c>
      <c r="N42" s="769"/>
      <c r="O42" s="1548"/>
      <c r="P42" s="1571">
        <f>SUM(I42:O42)</f>
        <v>86233</v>
      </c>
      <c r="Q42" s="1000"/>
    </row>
    <row r="43" spans="1:17" s="1001" customFormat="1" ht="18" customHeight="1" x14ac:dyDescent="0.35">
      <c r="A43" s="783">
        <v>33</v>
      </c>
      <c r="B43" s="993"/>
      <c r="C43" s="466"/>
      <c r="D43" s="1338" t="s">
        <v>986</v>
      </c>
      <c r="E43" s="432"/>
      <c r="F43" s="1036"/>
      <c r="G43" s="433"/>
      <c r="H43" s="1010"/>
      <c r="I43" s="1549"/>
      <c r="J43" s="1548"/>
      <c r="K43" s="769"/>
      <c r="L43" s="1548"/>
      <c r="M43" s="1810"/>
      <c r="N43" s="769"/>
      <c r="O43" s="1548"/>
      <c r="P43" s="1778">
        <f t="shared" si="3"/>
        <v>0</v>
      </c>
      <c r="Q43" s="1000"/>
    </row>
    <row r="44" spans="1:17" s="1001" customFormat="1" ht="18" customHeight="1" x14ac:dyDescent="0.35">
      <c r="A44" s="783">
        <v>34</v>
      </c>
      <c r="B44" s="993"/>
      <c r="C44" s="466"/>
      <c r="D44" s="583" t="s">
        <v>1151</v>
      </c>
      <c r="E44" s="432"/>
      <c r="F44" s="1036"/>
      <c r="G44" s="433"/>
      <c r="H44" s="1010"/>
      <c r="I44" s="1549"/>
      <c r="J44" s="1548"/>
      <c r="K44" s="769"/>
      <c r="L44" s="1548"/>
      <c r="M44" s="1548">
        <f>SUM(M42:M43)</f>
        <v>86233</v>
      </c>
      <c r="N44" s="769"/>
      <c r="O44" s="1548"/>
      <c r="P44" s="777">
        <f t="shared" si="3"/>
        <v>86233</v>
      </c>
      <c r="Q44" s="1000"/>
    </row>
    <row r="45" spans="1:17" s="1001" customFormat="1" ht="22.5" customHeight="1" x14ac:dyDescent="0.35">
      <c r="A45" s="783">
        <v>35</v>
      </c>
      <c r="B45" s="993"/>
      <c r="C45" s="466"/>
      <c r="D45" s="771" t="s">
        <v>1024</v>
      </c>
      <c r="E45" s="432"/>
      <c r="F45" s="1036"/>
      <c r="G45" s="433"/>
      <c r="H45" s="1010"/>
      <c r="I45" s="1549"/>
      <c r="J45" s="1548"/>
      <c r="K45" s="769"/>
      <c r="L45" s="1548"/>
      <c r="M45" s="769"/>
      <c r="N45" s="769"/>
      <c r="O45" s="1548"/>
      <c r="P45" s="777"/>
      <c r="Q45" s="1000"/>
    </row>
    <row r="46" spans="1:17" s="1001" customFormat="1" ht="22.5" customHeight="1" x14ac:dyDescent="0.35">
      <c r="A46" s="783">
        <v>36</v>
      </c>
      <c r="B46" s="993"/>
      <c r="C46" s="466"/>
      <c r="D46" s="583" t="s">
        <v>1072</v>
      </c>
      <c r="E46" s="1086">
        <f>F46+G46+P48</f>
        <v>4328</v>
      </c>
      <c r="F46" s="1036"/>
      <c r="G46" s="433"/>
      <c r="H46" s="1010"/>
      <c r="I46" s="1549"/>
      <c r="J46" s="1548"/>
      <c r="K46" s="1548"/>
      <c r="L46" s="1548"/>
      <c r="M46" s="1548">
        <v>4328</v>
      </c>
      <c r="N46" s="769"/>
      <c r="O46" s="1548"/>
      <c r="P46" s="1571">
        <f>SUM(I46:O46)</f>
        <v>4328</v>
      </c>
      <c r="Q46" s="1000"/>
    </row>
    <row r="47" spans="1:17" s="1001" customFormat="1" ht="18" customHeight="1" x14ac:dyDescent="0.35">
      <c r="A47" s="783">
        <v>37</v>
      </c>
      <c r="B47" s="993"/>
      <c r="C47" s="466"/>
      <c r="D47" s="1338" t="s">
        <v>986</v>
      </c>
      <c r="E47" s="432"/>
      <c r="F47" s="1036"/>
      <c r="G47" s="433"/>
      <c r="H47" s="1010"/>
      <c r="I47" s="1549"/>
      <c r="J47" s="1548"/>
      <c r="K47" s="1810"/>
      <c r="L47" s="1548"/>
      <c r="M47" s="1810"/>
      <c r="N47" s="769"/>
      <c r="O47" s="1548"/>
      <c r="P47" s="1778">
        <f t="shared" si="3"/>
        <v>0</v>
      </c>
      <c r="Q47" s="1000"/>
    </row>
    <row r="48" spans="1:17" s="1001" customFormat="1" ht="18" customHeight="1" x14ac:dyDescent="0.35">
      <c r="A48" s="783">
        <v>38</v>
      </c>
      <c r="B48" s="993"/>
      <c r="C48" s="466"/>
      <c r="D48" s="583" t="s">
        <v>1151</v>
      </c>
      <c r="E48" s="432"/>
      <c r="F48" s="1036"/>
      <c r="G48" s="433"/>
      <c r="H48" s="1010"/>
      <c r="I48" s="1549"/>
      <c r="J48" s="1548"/>
      <c r="K48" s="1548"/>
      <c r="L48" s="1548"/>
      <c r="M48" s="1548">
        <f>SUM(M46:M47)</f>
        <v>4328</v>
      </c>
      <c r="N48" s="769"/>
      <c r="O48" s="1548"/>
      <c r="P48" s="777">
        <f t="shared" si="3"/>
        <v>4328</v>
      </c>
      <c r="Q48" s="1000"/>
    </row>
    <row r="49" spans="1:17" s="1001" customFormat="1" ht="22.5" customHeight="1" x14ac:dyDescent="0.35">
      <c r="A49" s="783">
        <v>39</v>
      </c>
      <c r="B49" s="993"/>
      <c r="C49" s="466"/>
      <c r="D49" s="771" t="s">
        <v>1025</v>
      </c>
      <c r="E49" s="432"/>
      <c r="F49" s="1036"/>
      <c r="G49" s="433"/>
      <c r="H49" s="1010"/>
      <c r="I49" s="1549"/>
      <c r="J49" s="1548"/>
      <c r="K49" s="769"/>
      <c r="L49" s="1548"/>
      <c r="M49" s="769"/>
      <c r="N49" s="769"/>
      <c r="O49" s="1548"/>
      <c r="P49" s="777"/>
      <c r="Q49" s="1000"/>
    </row>
    <row r="50" spans="1:17" s="1001" customFormat="1" ht="22.5" customHeight="1" x14ac:dyDescent="0.35">
      <c r="A50" s="783">
        <v>40</v>
      </c>
      <c r="B50" s="993"/>
      <c r="C50" s="466"/>
      <c r="D50" s="583" t="s">
        <v>1072</v>
      </c>
      <c r="E50" s="1086">
        <f>F50+G50+P52</f>
        <v>3021</v>
      </c>
      <c r="F50" s="1036"/>
      <c r="G50" s="433"/>
      <c r="H50" s="1010"/>
      <c r="I50" s="1549"/>
      <c r="J50" s="1548"/>
      <c r="K50" s="1548"/>
      <c r="L50" s="1548"/>
      <c r="M50" s="1548">
        <v>3021</v>
      </c>
      <c r="N50" s="769"/>
      <c r="O50" s="1548"/>
      <c r="P50" s="1571">
        <f>SUM(I50:O50)</f>
        <v>3021</v>
      </c>
      <c r="Q50" s="1000"/>
    </row>
    <row r="51" spans="1:17" s="1001" customFormat="1" ht="18" customHeight="1" x14ac:dyDescent="0.35">
      <c r="A51" s="783">
        <v>41</v>
      </c>
      <c r="B51" s="993"/>
      <c r="C51" s="466"/>
      <c r="D51" s="1338" t="s">
        <v>987</v>
      </c>
      <c r="E51" s="432"/>
      <c r="F51" s="1036"/>
      <c r="G51" s="433"/>
      <c r="H51" s="1010"/>
      <c r="I51" s="1549"/>
      <c r="J51" s="1548"/>
      <c r="K51" s="1810"/>
      <c r="L51" s="1548"/>
      <c r="M51" s="1810"/>
      <c r="N51" s="769"/>
      <c r="O51" s="1548"/>
      <c r="P51" s="1778">
        <f t="shared" si="3"/>
        <v>0</v>
      </c>
      <c r="Q51" s="1000"/>
    </row>
    <row r="52" spans="1:17" s="1001" customFormat="1" ht="18" customHeight="1" x14ac:dyDescent="0.35">
      <c r="A52" s="783">
        <v>42</v>
      </c>
      <c r="B52" s="993"/>
      <c r="C52" s="466"/>
      <c r="D52" s="583" t="s">
        <v>1151</v>
      </c>
      <c r="E52" s="432"/>
      <c r="F52" s="1036"/>
      <c r="G52" s="433"/>
      <c r="H52" s="1010"/>
      <c r="I52" s="1549"/>
      <c r="J52" s="1548"/>
      <c r="K52" s="1548"/>
      <c r="L52" s="1548"/>
      <c r="M52" s="1548">
        <f>SUM(M50:M51)</f>
        <v>3021</v>
      </c>
      <c r="N52" s="769"/>
      <c r="O52" s="1548"/>
      <c r="P52" s="777">
        <f t="shared" si="3"/>
        <v>3021</v>
      </c>
      <c r="Q52" s="1000"/>
    </row>
    <row r="53" spans="1:17" s="1001" customFormat="1" ht="22.5" customHeight="1" x14ac:dyDescent="0.35">
      <c r="A53" s="783">
        <v>43</v>
      </c>
      <c r="B53" s="993"/>
      <c r="C53" s="466"/>
      <c r="D53" s="771" t="s">
        <v>1029</v>
      </c>
      <c r="E53" s="432"/>
      <c r="F53" s="1036"/>
      <c r="G53" s="433"/>
      <c r="H53" s="1010"/>
      <c r="I53" s="1549"/>
      <c r="J53" s="1548"/>
      <c r="K53" s="1548"/>
      <c r="L53" s="1548"/>
      <c r="M53" s="1548"/>
      <c r="N53" s="769"/>
      <c r="O53" s="1548"/>
      <c r="P53" s="777"/>
      <c r="Q53" s="1000"/>
    </row>
    <row r="54" spans="1:17" s="1001" customFormat="1" ht="22.5" customHeight="1" x14ac:dyDescent="0.35">
      <c r="A54" s="783">
        <v>44</v>
      </c>
      <c r="B54" s="993"/>
      <c r="C54" s="466"/>
      <c r="D54" s="583" t="s">
        <v>1072</v>
      </c>
      <c r="E54" s="1086">
        <f>F54+G54+P56</f>
        <v>1397</v>
      </c>
      <c r="F54" s="1036"/>
      <c r="G54" s="433"/>
      <c r="H54" s="1010"/>
      <c r="I54" s="1549"/>
      <c r="J54" s="1548"/>
      <c r="K54" s="1548"/>
      <c r="L54" s="1548"/>
      <c r="M54" s="1548">
        <v>1397</v>
      </c>
      <c r="N54" s="769"/>
      <c r="O54" s="1548"/>
      <c r="P54" s="1571">
        <f>SUM(I54:O54)</f>
        <v>1397</v>
      </c>
      <c r="Q54" s="1000"/>
    </row>
    <row r="55" spans="1:17" s="1001" customFormat="1" ht="18" customHeight="1" x14ac:dyDescent="0.35">
      <c r="A55" s="783">
        <v>45</v>
      </c>
      <c r="B55" s="993"/>
      <c r="C55" s="466"/>
      <c r="D55" s="1338" t="s">
        <v>986</v>
      </c>
      <c r="E55" s="432"/>
      <c r="F55" s="1036"/>
      <c r="G55" s="433"/>
      <c r="H55" s="1010"/>
      <c r="I55" s="1549"/>
      <c r="J55" s="1548"/>
      <c r="K55" s="1548"/>
      <c r="L55" s="1548"/>
      <c r="M55" s="1810"/>
      <c r="N55" s="769"/>
      <c r="O55" s="1548"/>
      <c r="P55" s="1778">
        <f t="shared" si="3"/>
        <v>0</v>
      </c>
      <c r="Q55" s="1000"/>
    </row>
    <row r="56" spans="1:17" s="1001" customFormat="1" ht="18" customHeight="1" x14ac:dyDescent="0.35">
      <c r="A56" s="783">
        <v>46</v>
      </c>
      <c r="B56" s="993"/>
      <c r="C56" s="466"/>
      <c r="D56" s="583" t="s">
        <v>1151</v>
      </c>
      <c r="E56" s="432"/>
      <c r="F56" s="1036"/>
      <c r="G56" s="433"/>
      <c r="H56" s="1010"/>
      <c r="I56" s="1549"/>
      <c r="J56" s="1548"/>
      <c r="K56" s="1548"/>
      <c r="L56" s="1548"/>
      <c r="M56" s="1548">
        <f>SUM(M54:M55)</f>
        <v>1397</v>
      </c>
      <c r="N56" s="769"/>
      <c r="O56" s="1548"/>
      <c r="P56" s="777">
        <f t="shared" si="3"/>
        <v>1397</v>
      </c>
      <c r="Q56" s="1000"/>
    </row>
    <row r="57" spans="1:17" s="1001" customFormat="1" ht="22.5" customHeight="1" x14ac:dyDescent="0.35">
      <c r="A57" s="783">
        <v>47</v>
      </c>
      <c r="B57" s="993"/>
      <c r="C57" s="466"/>
      <c r="D57" s="771" t="s">
        <v>1030</v>
      </c>
      <c r="E57" s="432"/>
      <c r="F57" s="1036"/>
      <c r="G57" s="433"/>
      <c r="H57" s="1010"/>
      <c r="I57" s="1549"/>
      <c r="J57" s="1548"/>
      <c r="K57" s="1548"/>
      <c r="L57" s="1548"/>
      <c r="M57" s="1548"/>
      <c r="N57" s="769"/>
      <c r="O57" s="1548"/>
      <c r="P57" s="777"/>
      <c r="Q57" s="1000"/>
    </row>
    <row r="58" spans="1:17" s="1001" customFormat="1" ht="22.5" customHeight="1" x14ac:dyDescent="0.35">
      <c r="A58" s="783">
        <v>48</v>
      </c>
      <c r="B58" s="993"/>
      <c r="C58" s="466"/>
      <c r="D58" s="583" t="s">
        <v>1072</v>
      </c>
      <c r="E58" s="1086">
        <f>F58+G58+P60</f>
        <v>6096</v>
      </c>
      <c r="F58" s="1036"/>
      <c r="G58" s="433"/>
      <c r="H58" s="1010"/>
      <c r="I58" s="1549"/>
      <c r="J58" s="1548"/>
      <c r="K58" s="1548"/>
      <c r="L58" s="1548"/>
      <c r="M58" s="1548">
        <v>7318</v>
      </c>
      <c r="N58" s="769"/>
      <c r="O58" s="1548"/>
      <c r="P58" s="1571">
        <f>SUM(I58:O58)</f>
        <v>7318</v>
      </c>
      <c r="Q58" s="1000"/>
    </row>
    <row r="59" spans="1:17" s="1001" customFormat="1" ht="18" customHeight="1" x14ac:dyDescent="0.35">
      <c r="A59" s="783">
        <v>49</v>
      </c>
      <c r="B59" s="993"/>
      <c r="C59" s="466"/>
      <c r="D59" s="1338" t="s">
        <v>987</v>
      </c>
      <c r="E59" s="432"/>
      <c r="F59" s="1036"/>
      <c r="G59" s="433"/>
      <c r="H59" s="1010"/>
      <c r="I59" s="1549"/>
      <c r="J59" s="1548"/>
      <c r="K59" s="1548"/>
      <c r="L59" s="1548"/>
      <c r="M59" s="1810">
        <v>-1222</v>
      </c>
      <c r="N59" s="769"/>
      <c r="O59" s="1548"/>
      <c r="P59" s="1778">
        <f t="shared" si="3"/>
        <v>-1222</v>
      </c>
      <c r="Q59" s="1000"/>
    </row>
    <row r="60" spans="1:17" s="1001" customFormat="1" ht="18" customHeight="1" x14ac:dyDescent="0.35">
      <c r="A60" s="783">
        <v>50</v>
      </c>
      <c r="B60" s="993"/>
      <c r="C60" s="466"/>
      <c r="D60" s="583" t="s">
        <v>1151</v>
      </c>
      <c r="E60" s="432"/>
      <c r="F60" s="1036"/>
      <c r="G60" s="433"/>
      <c r="H60" s="1010"/>
      <c r="I60" s="1549"/>
      <c r="J60" s="1548"/>
      <c r="K60" s="1548"/>
      <c r="L60" s="1548"/>
      <c r="M60" s="1548">
        <f>SUM(M58:M59)</f>
        <v>6096</v>
      </c>
      <c r="N60" s="769"/>
      <c r="O60" s="1548"/>
      <c r="P60" s="777">
        <f t="shared" si="3"/>
        <v>6096</v>
      </c>
      <c r="Q60" s="1000"/>
    </row>
    <row r="61" spans="1:17" s="1001" customFormat="1" ht="22.5" customHeight="1" x14ac:dyDescent="0.35">
      <c r="A61" s="783">
        <v>51</v>
      </c>
      <c r="B61" s="993"/>
      <c r="C61" s="466"/>
      <c r="D61" s="771" t="s">
        <v>1026</v>
      </c>
      <c r="E61" s="432"/>
      <c r="F61" s="1036"/>
      <c r="G61" s="433"/>
      <c r="H61" s="1010"/>
      <c r="I61" s="1549"/>
      <c r="J61" s="1548"/>
      <c r="K61" s="1548"/>
      <c r="L61" s="1548"/>
      <c r="M61" s="1548"/>
      <c r="N61" s="769"/>
      <c r="O61" s="1548"/>
      <c r="P61" s="777"/>
      <c r="Q61" s="1000"/>
    </row>
    <row r="62" spans="1:17" s="1001" customFormat="1" ht="22.5" customHeight="1" x14ac:dyDescent="0.35">
      <c r="A62" s="783">
        <v>52</v>
      </c>
      <c r="B62" s="993"/>
      <c r="C62" s="466"/>
      <c r="D62" s="583" t="s">
        <v>1072</v>
      </c>
      <c r="E62" s="1086">
        <f>F62+G62+P64</f>
        <v>1016</v>
      </c>
      <c r="F62" s="1036"/>
      <c r="G62" s="433"/>
      <c r="H62" s="1010"/>
      <c r="I62" s="1549"/>
      <c r="J62" s="1548"/>
      <c r="K62" s="1548"/>
      <c r="L62" s="1548"/>
      <c r="M62" s="1548">
        <v>1016</v>
      </c>
      <c r="N62" s="769"/>
      <c r="O62" s="1548"/>
      <c r="P62" s="1571">
        <f>SUM(I62:O62)</f>
        <v>1016</v>
      </c>
      <c r="Q62" s="1000"/>
    </row>
    <row r="63" spans="1:17" s="1001" customFormat="1" ht="18" customHeight="1" x14ac:dyDescent="0.35">
      <c r="A63" s="783">
        <v>53</v>
      </c>
      <c r="B63" s="993"/>
      <c r="C63" s="466"/>
      <c r="D63" s="1338" t="s">
        <v>986</v>
      </c>
      <c r="E63" s="432"/>
      <c r="F63" s="1036"/>
      <c r="G63" s="433"/>
      <c r="H63" s="1010"/>
      <c r="I63" s="1549"/>
      <c r="J63" s="1548"/>
      <c r="K63" s="1548"/>
      <c r="L63" s="1548"/>
      <c r="M63" s="1810"/>
      <c r="N63" s="769"/>
      <c r="O63" s="1548"/>
      <c r="P63" s="1778">
        <f t="shared" si="3"/>
        <v>0</v>
      </c>
      <c r="Q63" s="1000"/>
    </row>
    <row r="64" spans="1:17" s="1001" customFormat="1" ht="18" customHeight="1" x14ac:dyDescent="0.35">
      <c r="A64" s="783">
        <v>54</v>
      </c>
      <c r="B64" s="993"/>
      <c r="C64" s="466"/>
      <c r="D64" s="583" t="s">
        <v>1151</v>
      </c>
      <c r="E64" s="432"/>
      <c r="F64" s="1036"/>
      <c r="G64" s="433"/>
      <c r="H64" s="1010"/>
      <c r="I64" s="1549"/>
      <c r="J64" s="1548"/>
      <c r="K64" s="1548"/>
      <c r="L64" s="1548"/>
      <c r="M64" s="1548">
        <f>SUM(M62:M63)</f>
        <v>1016</v>
      </c>
      <c r="N64" s="769"/>
      <c r="O64" s="1548"/>
      <c r="P64" s="777">
        <f t="shared" si="3"/>
        <v>1016</v>
      </c>
      <c r="Q64" s="1000"/>
    </row>
    <row r="65" spans="1:17" s="1001" customFormat="1" ht="22.5" customHeight="1" x14ac:dyDescent="0.35">
      <c r="A65" s="783">
        <v>55</v>
      </c>
      <c r="B65" s="993"/>
      <c r="C65" s="466"/>
      <c r="D65" s="771" t="s">
        <v>1027</v>
      </c>
      <c r="E65" s="432"/>
      <c r="F65" s="1036"/>
      <c r="G65" s="433"/>
      <c r="H65" s="1010"/>
      <c r="I65" s="1549"/>
      <c r="J65" s="1548"/>
      <c r="K65" s="1548"/>
      <c r="L65" s="1548"/>
      <c r="M65" s="1548"/>
      <c r="N65" s="769"/>
      <c r="O65" s="1548"/>
      <c r="P65" s="777"/>
      <c r="Q65" s="1000"/>
    </row>
    <row r="66" spans="1:17" s="1001" customFormat="1" ht="22.5" customHeight="1" x14ac:dyDescent="0.35">
      <c r="A66" s="783">
        <v>56</v>
      </c>
      <c r="B66" s="993"/>
      <c r="C66" s="466"/>
      <c r="D66" s="583" t="s">
        <v>1072</v>
      </c>
      <c r="E66" s="1086">
        <f>F66+G66+P68</f>
        <v>1206</v>
      </c>
      <c r="F66" s="1036"/>
      <c r="G66" s="433"/>
      <c r="H66" s="1010"/>
      <c r="I66" s="1549"/>
      <c r="J66" s="1548"/>
      <c r="K66" s="1548"/>
      <c r="L66" s="1548"/>
      <c r="M66" s="1548">
        <v>1206</v>
      </c>
      <c r="N66" s="769"/>
      <c r="O66" s="1548"/>
      <c r="P66" s="1571">
        <f>SUM(I66:O66)</f>
        <v>1206</v>
      </c>
      <c r="Q66" s="1000"/>
    </row>
    <row r="67" spans="1:17" s="1001" customFormat="1" ht="18" customHeight="1" x14ac:dyDescent="0.35">
      <c r="A67" s="783">
        <v>57</v>
      </c>
      <c r="B67" s="993"/>
      <c r="C67" s="466"/>
      <c r="D67" s="1338" t="s">
        <v>986</v>
      </c>
      <c r="E67" s="432"/>
      <c r="F67" s="1036"/>
      <c r="G67" s="433"/>
      <c r="H67" s="1010"/>
      <c r="I67" s="1549"/>
      <c r="J67" s="1548"/>
      <c r="K67" s="1548"/>
      <c r="L67" s="1548"/>
      <c r="M67" s="1810"/>
      <c r="N67" s="769"/>
      <c r="O67" s="1548"/>
      <c r="P67" s="1778">
        <f t="shared" si="3"/>
        <v>0</v>
      </c>
      <c r="Q67" s="1000"/>
    </row>
    <row r="68" spans="1:17" s="1001" customFormat="1" ht="18" customHeight="1" x14ac:dyDescent="0.35">
      <c r="A68" s="783">
        <v>58</v>
      </c>
      <c r="B68" s="993"/>
      <c r="C68" s="466"/>
      <c r="D68" s="583" t="s">
        <v>1151</v>
      </c>
      <c r="E68" s="432"/>
      <c r="F68" s="1036"/>
      <c r="G68" s="433"/>
      <c r="H68" s="1010"/>
      <c r="I68" s="1549"/>
      <c r="J68" s="1548"/>
      <c r="K68" s="1548"/>
      <c r="L68" s="1548"/>
      <c r="M68" s="1548">
        <f>SUM(M66:M67)</f>
        <v>1206</v>
      </c>
      <c r="N68" s="769"/>
      <c r="O68" s="1548"/>
      <c r="P68" s="777">
        <f>SUM(I68:O68)</f>
        <v>1206</v>
      </c>
      <c r="Q68" s="1000"/>
    </row>
    <row r="69" spans="1:17" s="1001" customFormat="1" ht="22.5" customHeight="1" x14ac:dyDescent="0.35">
      <c r="A69" s="783">
        <v>59</v>
      </c>
      <c r="B69" s="993"/>
      <c r="C69" s="466"/>
      <c r="D69" s="771" t="s">
        <v>1054</v>
      </c>
      <c r="E69" s="432"/>
      <c r="F69" s="1036"/>
      <c r="G69" s="433"/>
      <c r="H69" s="1010"/>
      <c r="I69" s="1549"/>
      <c r="J69" s="1548"/>
      <c r="K69" s="1548"/>
      <c r="L69" s="1548"/>
      <c r="M69" s="1548"/>
      <c r="N69" s="769"/>
      <c r="O69" s="1548"/>
      <c r="P69" s="1571"/>
      <c r="Q69" s="1000"/>
    </row>
    <row r="70" spans="1:17" s="1001" customFormat="1" ht="22.5" customHeight="1" x14ac:dyDescent="0.35">
      <c r="A70" s="783">
        <v>60</v>
      </c>
      <c r="B70" s="993"/>
      <c r="C70" s="466"/>
      <c r="D70" s="583" t="s">
        <v>1072</v>
      </c>
      <c r="E70" s="1086">
        <f>F70+G70+P72</f>
        <v>502</v>
      </c>
      <c r="F70" s="1036"/>
      <c r="G70" s="433"/>
      <c r="H70" s="1010"/>
      <c r="I70" s="1549"/>
      <c r="J70" s="1548"/>
      <c r="K70" s="1548"/>
      <c r="L70" s="1548"/>
      <c r="M70" s="1548">
        <v>502</v>
      </c>
      <c r="N70" s="769"/>
      <c r="O70" s="1548"/>
      <c r="P70" s="1571">
        <f>SUM(I70:O70)</f>
        <v>502</v>
      </c>
      <c r="Q70" s="1000"/>
    </row>
    <row r="71" spans="1:17" s="1001" customFormat="1" ht="18" customHeight="1" x14ac:dyDescent="0.35">
      <c r="A71" s="783">
        <v>61</v>
      </c>
      <c r="B71" s="993"/>
      <c r="C71" s="466"/>
      <c r="D71" s="1338" t="s">
        <v>986</v>
      </c>
      <c r="E71" s="432"/>
      <c r="F71" s="1036"/>
      <c r="G71" s="433"/>
      <c r="H71" s="1010"/>
      <c r="I71" s="1549"/>
      <c r="J71" s="1548"/>
      <c r="K71" s="1548"/>
      <c r="L71" s="1548"/>
      <c r="M71" s="1810"/>
      <c r="N71" s="769"/>
      <c r="O71" s="1548"/>
      <c r="P71" s="1778">
        <f t="shared" si="3"/>
        <v>0</v>
      </c>
      <c r="Q71" s="1000"/>
    </row>
    <row r="72" spans="1:17" s="1001" customFormat="1" ht="18" customHeight="1" x14ac:dyDescent="0.35">
      <c r="A72" s="783">
        <v>62</v>
      </c>
      <c r="B72" s="993"/>
      <c r="C72" s="466"/>
      <c r="D72" s="583" t="s">
        <v>1151</v>
      </c>
      <c r="E72" s="432"/>
      <c r="F72" s="1036"/>
      <c r="G72" s="433"/>
      <c r="H72" s="1010"/>
      <c r="I72" s="1549"/>
      <c r="J72" s="1548"/>
      <c r="K72" s="1548"/>
      <c r="L72" s="1548"/>
      <c r="M72" s="1548">
        <f>SUM(M70:M71)</f>
        <v>502</v>
      </c>
      <c r="N72" s="769"/>
      <c r="O72" s="1548"/>
      <c r="P72" s="777">
        <f t="shared" si="3"/>
        <v>502</v>
      </c>
      <c r="Q72" s="1000"/>
    </row>
    <row r="73" spans="1:17" s="1001" customFormat="1" ht="22.5" customHeight="1" x14ac:dyDescent="0.35">
      <c r="A73" s="783">
        <v>63</v>
      </c>
      <c r="B73" s="993"/>
      <c r="C73" s="466"/>
      <c r="D73" s="771" t="s">
        <v>1023</v>
      </c>
      <c r="E73" s="432"/>
      <c r="F73" s="1036"/>
      <c r="G73" s="433"/>
      <c r="H73" s="1010"/>
      <c r="I73" s="1549"/>
      <c r="J73" s="1548"/>
      <c r="K73" s="769"/>
      <c r="L73" s="1548"/>
      <c r="M73" s="769"/>
      <c r="N73" s="769"/>
      <c r="O73" s="1548"/>
      <c r="P73" s="777"/>
      <c r="Q73" s="1000"/>
    </row>
    <row r="74" spans="1:17" s="1001" customFormat="1" ht="22.5" customHeight="1" x14ac:dyDescent="0.35">
      <c r="A74" s="783">
        <v>64</v>
      </c>
      <c r="B74" s="993"/>
      <c r="C74" s="466"/>
      <c r="D74" s="583" t="s">
        <v>1072</v>
      </c>
      <c r="E74" s="1086">
        <f>F74+G74+P76</f>
        <v>12573</v>
      </c>
      <c r="F74" s="1036"/>
      <c r="G74" s="433"/>
      <c r="H74" s="1010"/>
      <c r="I74" s="1549"/>
      <c r="J74" s="1548"/>
      <c r="K74" s="769"/>
      <c r="L74" s="1548"/>
      <c r="M74" s="1548">
        <v>12573</v>
      </c>
      <c r="N74" s="769"/>
      <c r="O74" s="1548"/>
      <c r="P74" s="1571">
        <f>SUM(I74:O74)</f>
        <v>12573</v>
      </c>
      <c r="Q74" s="1000"/>
    </row>
    <row r="75" spans="1:17" s="1001" customFormat="1" ht="18" customHeight="1" x14ac:dyDescent="0.35">
      <c r="A75" s="783">
        <v>65</v>
      </c>
      <c r="B75" s="993"/>
      <c r="C75" s="466"/>
      <c r="D75" s="1338" t="s">
        <v>986</v>
      </c>
      <c r="E75" s="432"/>
      <c r="F75" s="1036"/>
      <c r="G75" s="433"/>
      <c r="H75" s="1010"/>
      <c r="I75" s="1549"/>
      <c r="J75" s="1548"/>
      <c r="K75" s="769"/>
      <c r="L75" s="1548"/>
      <c r="M75" s="1810"/>
      <c r="N75" s="769"/>
      <c r="O75" s="1548"/>
      <c r="P75" s="1778">
        <f t="shared" ref="P75:P76" si="4">SUM(I75:O75)</f>
        <v>0</v>
      </c>
      <c r="Q75" s="1000"/>
    </row>
    <row r="76" spans="1:17" s="1001" customFormat="1" ht="18" customHeight="1" thickBot="1" x14ac:dyDescent="0.4">
      <c r="A76" s="783">
        <v>66</v>
      </c>
      <c r="B76" s="993"/>
      <c r="C76" s="466"/>
      <c r="D76" s="583" t="s">
        <v>1151</v>
      </c>
      <c r="E76" s="432"/>
      <c r="F76" s="1036"/>
      <c r="G76" s="433"/>
      <c r="H76" s="1010"/>
      <c r="I76" s="1549"/>
      <c r="J76" s="1548"/>
      <c r="K76" s="769"/>
      <c r="L76" s="1548"/>
      <c r="M76" s="1548">
        <f>SUM(M74:M75)</f>
        <v>12573</v>
      </c>
      <c r="N76" s="769"/>
      <c r="O76" s="1548"/>
      <c r="P76" s="777">
        <f t="shared" si="4"/>
        <v>12573</v>
      </c>
      <c r="Q76" s="1000"/>
    </row>
    <row r="77" spans="1:17" s="1001" customFormat="1" ht="21.95" customHeight="1" thickTop="1" thickBot="1" x14ac:dyDescent="0.4">
      <c r="A77" s="783">
        <v>67</v>
      </c>
      <c r="B77" s="993"/>
      <c r="C77" s="1084"/>
      <c r="D77" s="1568" t="s">
        <v>836</v>
      </c>
      <c r="E77" s="1099">
        <f>E32+E27+E22+E14+E42+E46+E50+E54+E58+E62+E66+E70+E74+E38</f>
        <v>504377</v>
      </c>
      <c r="F77" s="1099">
        <f>F32+F27+F22+F14+F13</f>
        <v>0</v>
      </c>
      <c r="G77" s="1099">
        <f>G32+G27+G22+G14</f>
        <v>74920</v>
      </c>
      <c r="H77" s="1096"/>
      <c r="I77" s="1097"/>
      <c r="J77" s="1097"/>
      <c r="K77" s="1097"/>
      <c r="L77" s="1097"/>
      <c r="M77" s="1097"/>
      <c r="N77" s="1097"/>
      <c r="O77" s="1097"/>
      <c r="P77" s="1097"/>
      <c r="Q77" s="1085"/>
    </row>
    <row r="78" spans="1:17" s="1001" customFormat="1" ht="20.100000000000001" customHeight="1" thickTop="1" x14ac:dyDescent="0.35">
      <c r="A78" s="783">
        <v>68</v>
      </c>
      <c r="B78" s="993"/>
      <c r="C78" s="1861"/>
      <c r="D78" s="1469" t="s">
        <v>311</v>
      </c>
      <c r="E78" s="1553"/>
      <c r="F78" s="1553"/>
      <c r="G78" s="1555"/>
      <c r="H78" s="1557"/>
      <c r="I78" s="1554">
        <f t="shared" ref="I78:P78" si="5">I32+I27+I22+I14</f>
        <v>1000</v>
      </c>
      <c r="J78" s="1554">
        <f t="shared" si="5"/>
        <v>500</v>
      </c>
      <c r="K78" s="1554">
        <f t="shared" si="5"/>
        <v>318696</v>
      </c>
      <c r="L78" s="1554">
        <f t="shared" si="5"/>
        <v>0</v>
      </c>
      <c r="M78" s="1554">
        <f t="shared" si="5"/>
        <v>38500</v>
      </c>
      <c r="N78" s="1554">
        <f t="shared" si="5"/>
        <v>68500</v>
      </c>
      <c r="O78" s="1554">
        <f t="shared" si="5"/>
        <v>0</v>
      </c>
      <c r="P78" s="1561">
        <f t="shared" si="5"/>
        <v>427196</v>
      </c>
      <c r="Q78" s="1559"/>
    </row>
    <row r="79" spans="1:17" s="1001" customFormat="1" ht="20.100000000000001" customHeight="1" x14ac:dyDescent="0.35">
      <c r="A79" s="783">
        <v>69</v>
      </c>
      <c r="B79" s="993"/>
      <c r="C79" s="1542"/>
      <c r="D79" s="583" t="s">
        <v>1072</v>
      </c>
      <c r="E79" s="427"/>
      <c r="F79" s="427"/>
      <c r="G79" s="1857"/>
      <c r="H79" s="1858"/>
      <c r="I79" s="1859">
        <f t="shared" ref="I79:P79" si="6">I33+I28+I23+I15+I74+I70+I66+I62+I58+I54+I50+I46+I42+I38</f>
        <v>1000</v>
      </c>
      <c r="J79" s="1859">
        <f t="shared" si="6"/>
        <v>500</v>
      </c>
      <c r="K79" s="1859">
        <f t="shared" si="6"/>
        <v>263080</v>
      </c>
      <c r="L79" s="1859">
        <f t="shared" si="6"/>
        <v>0</v>
      </c>
      <c r="M79" s="1859">
        <f t="shared" si="6"/>
        <v>162616</v>
      </c>
      <c r="N79" s="1859">
        <f t="shared" si="6"/>
        <v>0</v>
      </c>
      <c r="O79" s="1859">
        <f t="shared" si="6"/>
        <v>0</v>
      </c>
      <c r="P79" s="777">
        <f t="shared" si="6"/>
        <v>427196</v>
      </c>
      <c r="Q79" s="1860"/>
    </row>
    <row r="80" spans="1:17" s="1001" customFormat="1" ht="20.100000000000001" customHeight="1" x14ac:dyDescent="0.35">
      <c r="A80" s="783">
        <v>70</v>
      </c>
      <c r="B80" s="993"/>
      <c r="C80" s="466"/>
      <c r="D80" s="1480" t="s">
        <v>963</v>
      </c>
      <c r="E80" s="772"/>
      <c r="F80" s="772"/>
      <c r="G80" s="1556"/>
      <c r="H80" s="1558"/>
      <c r="I80" s="1810">
        <f>I34+I29+I24+I16+I43+I47+I51+I75+I71+I67+I63+I59+I55+I39+I35+I18+I17</f>
        <v>-1000</v>
      </c>
      <c r="J80" s="1810">
        <f t="shared" ref="J80:O80" si="7">J34+J29+J24+J16+J43+J47+J51+J75+J71+J67+J63+J59+J55+J39+J35+J18+J17</f>
        <v>-500</v>
      </c>
      <c r="K80" s="1810">
        <f t="shared" si="7"/>
        <v>1222</v>
      </c>
      <c r="L80" s="1810">
        <f t="shared" si="7"/>
        <v>350</v>
      </c>
      <c r="M80" s="1810">
        <f t="shared" si="7"/>
        <v>-1222</v>
      </c>
      <c r="N80" s="1810">
        <f t="shared" si="7"/>
        <v>0</v>
      </c>
      <c r="O80" s="1810">
        <f t="shared" si="7"/>
        <v>1150</v>
      </c>
      <c r="P80" s="1778">
        <f>SUM(I80:O80)</f>
        <v>0</v>
      </c>
      <c r="Q80" s="1560"/>
    </row>
    <row r="81" spans="1:262" s="1001" customFormat="1" ht="20.100000000000001" customHeight="1" thickBot="1" x14ac:dyDescent="0.4">
      <c r="A81" s="783">
        <v>71</v>
      </c>
      <c r="B81" s="993"/>
      <c r="C81" s="1562"/>
      <c r="D81" s="1509" t="s">
        <v>1151</v>
      </c>
      <c r="E81" s="1525"/>
      <c r="F81" s="1525"/>
      <c r="G81" s="1563"/>
      <c r="H81" s="1564"/>
      <c r="I81" s="1565">
        <f>SUM(I79:I80)</f>
        <v>0</v>
      </c>
      <c r="J81" s="1565">
        <f t="shared" ref="J81:O81" si="8">SUM(J79:J80)</f>
        <v>0</v>
      </c>
      <c r="K81" s="1565">
        <f t="shared" si="8"/>
        <v>264302</v>
      </c>
      <c r="L81" s="1565">
        <f t="shared" si="8"/>
        <v>350</v>
      </c>
      <c r="M81" s="1565">
        <f t="shared" si="8"/>
        <v>161394</v>
      </c>
      <c r="N81" s="1565">
        <f t="shared" si="8"/>
        <v>0</v>
      </c>
      <c r="O81" s="1565">
        <f t="shared" si="8"/>
        <v>1150</v>
      </c>
      <c r="P81" s="1566">
        <f>SUM(P79:P80)</f>
        <v>427196</v>
      </c>
      <c r="Q81" s="1567"/>
    </row>
    <row r="82" spans="1:262" s="1001" customFormat="1" ht="24.95" customHeight="1" x14ac:dyDescent="0.35">
      <c r="A82" s="783">
        <v>72</v>
      </c>
      <c r="B82" s="993"/>
      <c r="C82" s="1066">
        <v>2</v>
      </c>
      <c r="D82" s="1074" t="s">
        <v>747</v>
      </c>
      <c r="E82" s="1067"/>
      <c r="F82" s="1068"/>
      <c r="G82" s="1069"/>
      <c r="H82" s="1008" t="s">
        <v>24</v>
      </c>
      <c r="I82" s="1070"/>
      <c r="J82" s="1071"/>
      <c r="K82" s="1072"/>
      <c r="L82" s="1071"/>
      <c r="M82" s="1071"/>
      <c r="N82" s="1071"/>
      <c r="O82" s="1071"/>
      <c r="P82" s="1073"/>
      <c r="Q82" s="1076"/>
    </row>
    <row r="83" spans="1:262" s="768" customFormat="1" ht="22.5" customHeight="1" x14ac:dyDescent="0.35">
      <c r="A83" s="783">
        <v>73</v>
      </c>
      <c r="B83" s="776"/>
      <c r="C83" s="466"/>
      <c r="D83" s="1034" t="s">
        <v>748</v>
      </c>
      <c r="E83" s="432">
        <f>F83+G83+P87</f>
        <v>2450</v>
      </c>
      <c r="F83" s="772"/>
      <c r="G83" s="433"/>
      <c r="H83" s="1009"/>
      <c r="I83" s="1005"/>
      <c r="J83" s="769"/>
      <c r="K83" s="769"/>
      <c r="L83" s="769"/>
      <c r="M83" s="769"/>
      <c r="N83" s="769"/>
      <c r="O83" s="769"/>
      <c r="P83" s="777"/>
      <c r="Q83" s="773"/>
      <c r="R83" s="420"/>
      <c r="S83" s="420"/>
      <c r="T83" s="420"/>
      <c r="U83" s="420"/>
      <c r="V83" s="420"/>
      <c r="W83" s="420"/>
      <c r="X83" s="420"/>
      <c r="Y83" s="420"/>
      <c r="Z83" s="420"/>
      <c r="AA83" s="420"/>
      <c r="AB83" s="420"/>
      <c r="AC83" s="420"/>
      <c r="AD83" s="420"/>
      <c r="AE83" s="420"/>
      <c r="AF83" s="420"/>
      <c r="AG83" s="420"/>
      <c r="AH83" s="420"/>
      <c r="AI83" s="420"/>
      <c r="AJ83" s="420"/>
      <c r="AK83" s="420"/>
      <c r="AL83" s="420"/>
      <c r="AM83" s="420"/>
      <c r="AN83" s="420"/>
      <c r="AO83" s="420"/>
      <c r="AP83" s="420"/>
      <c r="AQ83" s="420"/>
      <c r="AR83" s="420"/>
      <c r="AS83" s="420"/>
      <c r="AT83" s="420"/>
      <c r="AU83" s="420"/>
      <c r="AV83" s="420"/>
      <c r="AW83" s="420"/>
      <c r="AX83" s="420"/>
      <c r="AY83" s="420"/>
      <c r="AZ83" s="420"/>
      <c r="BA83" s="420"/>
      <c r="BB83" s="420"/>
      <c r="BC83" s="420"/>
      <c r="BD83" s="420"/>
      <c r="BE83" s="420"/>
      <c r="BF83" s="420"/>
      <c r="BG83" s="420"/>
      <c r="BH83" s="420"/>
      <c r="BI83" s="420"/>
      <c r="BJ83" s="420"/>
      <c r="BK83" s="420"/>
      <c r="BL83" s="420"/>
      <c r="BM83" s="420"/>
      <c r="BN83" s="420"/>
      <c r="BO83" s="420"/>
      <c r="BP83" s="420"/>
      <c r="BQ83" s="420"/>
      <c r="BR83" s="420"/>
      <c r="BS83" s="420"/>
      <c r="BT83" s="420"/>
      <c r="BU83" s="420"/>
      <c r="BV83" s="420"/>
      <c r="BW83" s="420"/>
      <c r="BX83" s="420"/>
      <c r="BY83" s="420"/>
      <c r="BZ83" s="420"/>
      <c r="CA83" s="420"/>
      <c r="CB83" s="420"/>
      <c r="CC83" s="420"/>
      <c r="CD83" s="420"/>
      <c r="CE83" s="420"/>
      <c r="CF83" s="420"/>
      <c r="CG83" s="420"/>
      <c r="CH83" s="420"/>
      <c r="CI83" s="420"/>
      <c r="CJ83" s="420"/>
      <c r="CK83" s="420"/>
      <c r="CL83" s="420"/>
      <c r="CM83" s="420"/>
      <c r="CN83" s="420"/>
      <c r="CO83" s="420"/>
      <c r="CP83" s="420"/>
      <c r="CQ83" s="420"/>
      <c r="CR83" s="420"/>
      <c r="CS83" s="420"/>
      <c r="CT83" s="420"/>
      <c r="CU83" s="420"/>
      <c r="CV83" s="420"/>
      <c r="CW83" s="420"/>
      <c r="CX83" s="420"/>
      <c r="CY83" s="420"/>
      <c r="CZ83" s="420"/>
      <c r="DA83" s="420"/>
      <c r="DB83" s="420"/>
      <c r="DC83" s="420"/>
      <c r="DD83" s="420"/>
      <c r="DE83" s="420"/>
      <c r="DF83" s="420"/>
      <c r="DG83" s="420"/>
      <c r="DH83" s="420"/>
      <c r="DI83" s="420"/>
      <c r="DJ83" s="420"/>
      <c r="DK83" s="420"/>
      <c r="DL83" s="420"/>
      <c r="DM83" s="420"/>
      <c r="DN83" s="420"/>
      <c r="DO83" s="420"/>
      <c r="DP83" s="420"/>
      <c r="DQ83" s="420"/>
      <c r="DR83" s="420"/>
      <c r="DS83" s="420"/>
      <c r="DT83" s="420"/>
      <c r="DU83" s="420"/>
      <c r="DV83" s="420"/>
      <c r="DW83" s="420"/>
      <c r="DX83" s="420"/>
      <c r="DY83" s="420"/>
      <c r="DZ83" s="420"/>
      <c r="EA83" s="420"/>
      <c r="EB83" s="420"/>
      <c r="EC83" s="420"/>
      <c r="ED83" s="420"/>
      <c r="EE83" s="420"/>
      <c r="EF83" s="420"/>
      <c r="EG83" s="420"/>
      <c r="EH83" s="420"/>
      <c r="EI83" s="420"/>
      <c r="EJ83" s="420"/>
      <c r="EK83" s="420"/>
      <c r="EL83" s="420"/>
      <c r="EM83" s="420"/>
      <c r="EN83" s="420"/>
      <c r="EO83" s="420"/>
      <c r="EP83" s="420"/>
      <c r="EQ83" s="420"/>
      <c r="ER83" s="420"/>
      <c r="ES83" s="420"/>
      <c r="ET83" s="420"/>
      <c r="EU83" s="420"/>
      <c r="EV83" s="420"/>
      <c r="EW83" s="420"/>
      <c r="EX83" s="420"/>
      <c r="EY83" s="420"/>
      <c r="EZ83" s="420"/>
      <c r="FA83" s="420"/>
      <c r="FB83" s="420"/>
      <c r="FC83" s="420"/>
      <c r="FD83" s="420"/>
      <c r="FE83" s="420"/>
      <c r="FF83" s="420"/>
      <c r="FG83" s="420"/>
      <c r="FH83" s="420"/>
      <c r="FI83" s="420"/>
      <c r="FJ83" s="420"/>
      <c r="FK83" s="420"/>
      <c r="FL83" s="420"/>
      <c r="FM83" s="420"/>
      <c r="FN83" s="420"/>
      <c r="FO83" s="420"/>
      <c r="FP83" s="420"/>
      <c r="FQ83" s="420"/>
      <c r="FR83" s="420"/>
      <c r="FS83" s="420"/>
      <c r="FT83" s="420"/>
      <c r="FU83" s="420"/>
      <c r="FV83" s="420"/>
      <c r="FW83" s="420"/>
      <c r="FX83" s="420"/>
      <c r="FY83" s="420"/>
      <c r="FZ83" s="420"/>
      <c r="GA83" s="420"/>
      <c r="GB83" s="420"/>
      <c r="GC83" s="420"/>
      <c r="GD83" s="420"/>
      <c r="GE83" s="420"/>
      <c r="GF83" s="420"/>
      <c r="GG83" s="420"/>
      <c r="GH83" s="420"/>
      <c r="GI83" s="420"/>
      <c r="GJ83" s="420"/>
      <c r="GK83" s="420"/>
      <c r="GL83" s="420"/>
      <c r="GM83" s="420"/>
      <c r="GN83" s="420"/>
      <c r="GO83" s="420"/>
      <c r="GP83" s="420"/>
      <c r="GQ83" s="420"/>
      <c r="GR83" s="420"/>
      <c r="GS83" s="420"/>
      <c r="GT83" s="420"/>
      <c r="GU83" s="420"/>
      <c r="GV83" s="420"/>
      <c r="GW83" s="420"/>
      <c r="GX83" s="420"/>
      <c r="GY83" s="420"/>
      <c r="GZ83" s="420"/>
      <c r="HA83" s="420"/>
      <c r="HB83" s="420"/>
      <c r="HC83" s="420"/>
      <c r="HD83" s="420"/>
      <c r="HE83" s="420"/>
      <c r="HF83" s="420"/>
      <c r="HG83" s="420"/>
      <c r="HH83" s="420"/>
      <c r="HI83" s="420"/>
      <c r="HJ83" s="420"/>
      <c r="HK83" s="420"/>
      <c r="HL83" s="420"/>
      <c r="HM83" s="420"/>
      <c r="HN83" s="420"/>
      <c r="HO83" s="420"/>
      <c r="HP83" s="420"/>
      <c r="HQ83" s="420"/>
      <c r="HR83" s="420"/>
      <c r="HS83" s="420"/>
      <c r="HT83" s="420"/>
      <c r="HU83" s="420"/>
      <c r="HV83" s="420"/>
      <c r="HW83" s="420"/>
      <c r="HX83" s="420"/>
      <c r="HY83" s="420"/>
      <c r="HZ83" s="420"/>
      <c r="IA83" s="420"/>
      <c r="IB83" s="420"/>
      <c r="IC83" s="420"/>
      <c r="ID83" s="420"/>
      <c r="IE83" s="420"/>
      <c r="IF83" s="420"/>
      <c r="IG83" s="420"/>
      <c r="IH83" s="420"/>
      <c r="II83" s="420"/>
      <c r="IJ83" s="420"/>
      <c r="IK83" s="420"/>
      <c r="IL83" s="420"/>
      <c r="IM83" s="420"/>
      <c r="IN83" s="420"/>
      <c r="IO83" s="420"/>
      <c r="IP83" s="420"/>
      <c r="IQ83" s="420"/>
      <c r="IR83" s="420"/>
      <c r="IS83" s="420"/>
      <c r="IT83" s="420"/>
      <c r="IU83" s="420"/>
      <c r="IV83" s="420"/>
      <c r="IW83" s="420"/>
      <c r="IX83" s="420"/>
      <c r="IY83" s="420"/>
      <c r="IZ83" s="420"/>
      <c r="JA83" s="420"/>
      <c r="JB83" s="420"/>
    </row>
    <row r="84" spans="1:262" s="1001" customFormat="1" ht="18" customHeight="1" x14ac:dyDescent="0.35">
      <c r="A84" s="783">
        <v>74</v>
      </c>
      <c r="B84" s="993"/>
      <c r="C84" s="466"/>
      <c r="D84" s="995" t="s">
        <v>311</v>
      </c>
      <c r="E84" s="996"/>
      <c r="F84" s="997"/>
      <c r="G84" s="998"/>
      <c r="H84" s="1010"/>
      <c r="I84" s="1006"/>
      <c r="J84" s="999"/>
      <c r="K84" s="999">
        <f>197850-25400</f>
        <v>172450</v>
      </c>
      <c r="L84" s="999">
        <v>165075</v>
      </c>
      <c r="M84" s="999"/>
      <c r="N84" s="999"/>
      <c r="O84" s="999"/>
      <c r="P84" s="992">
        <f>SUM(I84:O84)</f>
        <v>337525</v>
      </c>
      <c r="Q84" s="1000"/>
    </row>
    <row r="85" spans="1:262" s="1001" customFormat="1" ht="18" customHeight="1" x14ac:dyDescent="0.35">
      <c r="A85" s="783">
        <v>75</v>
      </c>
      <c r="B85" s="993"/>
      <c r="C85" s="466"/>
      <c r="D85" s="583" t="s">
        <v>1072</v>
      </c>
      <c r="E85" s="996"/>
      <c r="F85" s="997"/>
      <c r="G85" s="998"/>
      <c r="H85" s="1010"/>
      <c r="I85" s="1006"/>
      <c r="J85" s="999"/>
      <c r="K85" s="1548">
        <v>2450</v>
      </c>
      <c r="L85" s="1548">
        <v>0</v>
      </c>
      <c r="M85" s="1548"/>
      <c r="N85" s="1548"/>
      <c r="O85" s="1548"/>
      <c r="P85" s="777">
        <f>SUM(I85:O85)</f>
        <v>2450</v>
      </c>
      <c r="Q85" s="1000"/>
    </row>
    <row r="86" spans="1:262" s="1001" customFormat="1" ht="18" customHeight="1" x14ac:dyDescent="0.35">
      <c r="A86" s="783">
        <v>76</v>
      </c>
      <c r="B86" s="993"/>
      <c r="C86" s="466"/>
      <c r="D86" s="1338" t="s">
        <v>986</v>
      </c>
      <c r="E86" s="996"/>
      <c r="F86" s="997"/>
      <c r="G86" s="998"/>
      <c r="H86" s="1010"/>
      <c r="I86" s="1549"/>
      <c r="J86" s="1548"/>
      <c r="K86" s="1810"/>
      <c r="L86" s="1810"/>
      <c r="M86" s="1960"/>
      <c r="N86" s="1960"/>
      <c r="O86" s="1960"/>
      <c r="P86" s="1778">
        <f>SUM(I86:O86)</f>
        <v>0</v>
      </c>
      <c r="Q86" s="1000"/>
    </row>
    <row r="87" spans="1:262" s="1001" customFormat="1" ht="18" customHeight="1" x14ac:dyDescent="0.35">
      <c r="A87" s="783">
        <v>77</v>
      </c>
      <c r="B87" s="993"/>
      <c r="C87" s="466"/>
      <c r="D87" s="583" t="s">
        <v>1151</v>
      </c>
      <c r="E87" s="996"/>
      <c r="F87" s="997"/>
      <c r="G87" s="998"/>
      <c r="H87" s="1010"/>
      <c r="I87" s="1549"/>
      <c r="J87" s="1548"/>
      <c r="K87" s="1548">
        <f>SUM(K85:K86)</f>
        <v>2450</v>
      </c>
      <c r="L87" s="1548">
        <f>SUM(L85:L86)</f>
        <v>0</v>
      </c>
      <c r="M87" s="1548"/>
      <c r="N87" s="1548"/>
      <c r="O87" s="1548"/>
      <c r="P87" s="1548">
        <f>SUM(P85:P86)</f>
        <v>2450</v>
      </c>
      <c r="Q87" s="1000"/>
    </row>
    <row r="88" spans="1:262" s="1001" customFormat="1" ht="22.5" customHeight="1" x14ac:dyDescent="0.35">
      <c r="A88" s="783">
        <v>78</v>
      </c>
      <c r="B88" s="993"/>
      <c r="C88" s="466"/>
      <c r="D88" s="771" t="s">
        <v>1067</v>
      </c>
      <c r="E88" s="432">
        <f>F88+G88+P91</f>
        <v>10160</v>
      </c>
      <c r="F88" s="997"/>
      <c r="G88" s="998"/>
      <c r="H88" s="1010"/>
      <c r="I88" s="1549"/>
      <c r="J88" s="1548"/>
      <c r="K88" s="1548"/>
      <c r="L88" s="1548"/>
      <c r="M88" s="1548"/>
      <c r="N88" s="1548"/>
      <c r="O88" s="1548"/>
      <c r="P88" s="1985"/>
      <c r="Q88" s="1000"/>
    </row>
    <row r="89" spans="1:262" s="1001" customFormat="1" ht="18" customHeight="1" x14ac:dyDescent="0.35">
      <c r="A89" s="783">
        <v>79</v>
      </c>
      <c r="B89" s="993"/>
      <c r="C89" s="466"/>
      <c r="D89" s="583" t="s">
        <v>1072</v>
      </c>
      <c r="E89" s="996"/>
      <c r="F89" s="997"/>
      <c r="G89" s="998"/>
      <c r="H89" s="1010"/>
      <c r="I89" s="1549"/>
      <c r="J89" s="1548"/>
      <c r="K89" s="1548"/>
      <c r="L89" s="1548"/>
      <c r="M89" s="1548"/>
      <c r="N89" s="1548">
        <v>10160</v>
      </c>
      <c r="O89" s="1548"/>
      <c r="P89" s="1548">
        <f>SUM(P87:P88)</f>
        <v>2450</v>
      </c>
      <c r="Q89" s="1000"/>
    </row>
    <row r="90" spans="1:262" s="1001" customFormat="1" ht="18" customHeight="1" x14ac:dyDescent="0.35">
      <c r="A90" s="783">
        <v>80</v>
      </c>
      <c r="B90" s="993"/>
      <c r="C90" s="466"/>
      <c r="D90" s="1338" t="s">
        <v>986</v>
      </c>
      <c r="E90" s="996"/>
      <c r="F90" s="997"/>
      <c r="G90" s="998"/>
      <c r="H90" s="1010"/>
      <c r="I90" s="1549"/>
      <c r="J90" s="1548"/>
      <c r="K90" s="1548"/>
      <c r="L90" s="1548"/>
      <c r="M90" s="1548"/>
      <c r="N90" s="1810"/>
      <c r="O90" s="1548"/>
      <c r="P90" s="1778">
        <f>SUM(I90:O90)</f>
        <v>0</v>
      </c>
      <c r="Q90" s="1000"/>
    </row>
    <row r="91" spans="1:262" s="1001" customFormat="1" ht="18" customHeight="1" x14ac:dyDescent="0.35">
      <c r="A91" s="783">
        <v>81</v>
      </c>
      <c r="B91" s="993"/>
      <c r="C91" s="466"/>
      <c r="D91" s="583" t="s">
        <v>1151</v>
      </c>
      <c r="E91" s="996"/>
      <c r="F91" s="997"/>
      <c r="G91" s="998"/>
      <c r="H91" s="1010"/>
      <c r="I91" s="1549"/>
      <c r="J91" s="1548"/>
      <c r="K91" s="1548"/>
      <c r="L91" s="1548"/>
      <c r="M91" s="1548"/>
      <c r="N91" s="1548">
        <f>SUM(N89:N90)</f>
        <v>10160</v>
      </c>
      <c r="O91" s="1548"/>
      <c r="P91" s="777">
        <f>SUM(I91:O91)</f>
        <v>10160</v>
      </c>
      <c r="Q91" s="1000"/>
    </row>
    <row r="92" spans="1:262" s="1001" customFormat="1" ht="22.5" customHeight="1" x14ac:dyDescent="0.35">
      <c r="A92" s="783">
        <v>82</v>
      </c>
      <c r="B92" s="993"/>
      <c r="C92" s="466"/>
      <c r="D92" s="771" t="s">
        <v>1068</v>
      </c>
      <c r="E92" s="432">
        <f>F92+G92+P95</f>
        <v>37846</v>
      </c>
      <c r="F92" s="997"/>
      <c r="G92" s="998"/>
      <c r="H92" s="1010"/>
      <c r="I92" s="1549"/>
      <c r="J92" s="1548"/>
      <c r="K92" s="1548"/>
      <c r="L92" s="1548"/>
      <c r="M92" s="1548"/>
      <c r="N92" s="1548"/>
      <c r="O92" s="1548"/>
      <c r="P92" s="1985"/>
      <c r="Q92" s="1000"/>
    </row>
    <row r="93" spans="1:262" s="1001" customFormat="1" ht="18" customHeight="1" x14ac:dyDescent="0.35">
      <c r="A93" s="783">
        <v>83</v>
      </c>
      <c r="B93" s="993"/>
      <c r="C93" s="466"/>
      <c r="D93" s="583" t="s">
        <v>1072</v>
      </c>
      <c r="E93" s="996"/>
      <c r="F93" s="997"/>
      <c r="G93" s="998"/>
      <c r="H93" s="1010"/>
      <c r="I93" s="1549"/>
      <c r="J93" s="1548"/>
      <c r="K93" s="1548"/>
      <c r="L93" s="1548"/>
      <c r="M93" s="1548"/>
      <c r="N93" s="1548">
        <v>37846</v>
      </c>
      <c r="O93" s="1548"/>
      <c r="P93" s="1548">
        <f>SUM(P90:P92)</f>
        <v>10160</v>
      </c>
      <c r="Q93" s="1000"/>
    </row>
    <row r="94" spans="1:262" s="1001" customFormat="1" ht="18" customHeight="1" x14ac:dyDescent="0.35">
      <c r="A94" s="783">
        <v>84</v>
      </c>
      <c r="B94" s="993"/>
      <c r="C94" s="466"/>
      <c r="D94" s="1338" t="s">
        <v>986</v>
      </c>
      <c r="E94" s="996"/>
      <c r="F94" s="997"/>
      <c r="G94" s="998"/>
      <c r="H94" s="1010"/>
      <c r="I94" s="1549"/>
      <c r="J94" s="1548"/>
      <c r="K94" s="1548"/>
      <c r="L94" s="1548"/>
      <c r="M94" s="1548"/>
      <c r="N94" s="1810"/>
      <c r="O94" s="1548"/>
      <c r="P94" s="1778">
        <f>SUM(I94:O94)</f>
        <v>0</v>
      </c>
      <c r="Q94" s="1000"/>
    </row>
    <row r="95" spans="1:262" s="1001" customFormat="1" ht="18" customHeight="1" x14ac:dyDescent="0.35">
      <c r="A95" s="783">
        <v>85</v>
      </c>
      <c r="B95" s="993"/>
      <c r="C95" s="466"/>
      <c r="D95" s="583" t="s">
        <v>1151</v>
      </c>
      <c r="E95" s="996"/>
      <c r="F95" s="997"/>
      <c r="G95" s="998"/>
      <c r="H95" s="1010"/>
      <c r="I95" s="1549"/>
      <c r="J95" s="1548"/>
      <c r="K95" s="1548"/>
      <c r="L95" s="1548"/>
      <c r="M95" s="1548"/>
      <c r="N95" s="1548">
        <f>SUM(N93:N94)</f>
        <v>37846</v>
      </c>
      <c r="O95" s="1548"/>
      <c r="P95" s="777">
        <f>SUM(I95:O95)</f>
        <v>37846</v>
      </c>
      <c r="Q95" s="1000"/>
    </row>
    <row r="96" spans="1:262" s="1001" customFormat="1" ht="22.5" customHeight="1" x14ac:dyDescent="0.35">
      <c r="A96" s="783">
        <v>86</v>
      </c>
      <c r="B96" s="993"/>
      <c r="C96" s="466"/>
      <c r="D96" s="771" t="s">
        <v>1069</v>
      </c>
      <c r="E96" s="432">
        <f>F96+G96+P99</f>
        <v>85090</v>
      </c>
      <c r="F96" s="997"/>
      <c r="G96" s="998"/>
      <c r="H96" s="1010"/>
      <c r="I96" s="1549"/>
      <c r="J96" s="1548"/>
      <c r="K96" s="1548"/>
      <c r="L96" s="1548"/>
      <c r="M96" s="1548"/>
      <c r="N96" s="1548"/>
      <c r="O96" s="1548"/>
      <c r="P96" s="1985"/>
      <c r="Q96" s="1000"/>
    </row>
    <row r="97" spans="1:17" s="1001" customFormat="1" ht="18" customHeight="1" x14ac:dyDescent="0.35">
      <c r="A97" s="783">
        <v>87</v>
      </c>
      <c r="B97" s="993"/>
      <c r="C97" s="466"/>
      <c r="D97" s="583" t="s">
        <v>1072</v>
      </c>
      <c r="E97" s="996"/>
      <c r="F97" s="997"/>
      <c r="G97" s="998"/>
      <c r="H97" s="1010"/>
      <c r="I97" s="1549"/>
      <c r="J97" s="1548"/>
      <c r="K97" s="1548"/>
      <c r="L97" s="1548"/>
      <c r="M97" s="1548"/>
      <c r="N97" s="1548">
        <v>85090</v>
      </c>
      <c r="O97" s="1548"/>
      <c r="P97" s="1548">
        <f>SUM(P94:P96)</f>
        <v>37846</v>
      </c>
      <c r="Q97" s="1000"/>
    </row>
    <row r="98" spans="1:17" s="1001" customFormat="1" ht="18" customHeight="1" x14ac:dyDescent="0.35">
      <c r="A98" s="783">
        <v>88</v>
      </c>
      <c r="B98" s="993"/>
      <c r="C98" s="466"/>
      <c r="D98" s="1338" t="s">
        <v>986</v>
      </c>
      <c r="E98" s="996"/>
      <c r="F98" s="997"/>
      <c r="G98" s="998"/>
      <c r="H98" s="1010"/>
      <c r="I98" s="1549"/>
      <c r="J98" s="1548"/>
      <c r="K98" s="1548"/>
      <c r="L98" s="1548"/>
      <c r="M98" s="1548"/>
      <c r="N98" s="1810"/>
      <c r="O98" s="1548"/>
      <c r="P98" s="1778">
        <f>SUM(I98:O98)</f>
        <v>0</v>
      </c>
      <c r="Q98" s="1000"/>
    </row>
    <row r="99" spans="1:17" s="1001" customFormat="1" ht="18" customHeight="1" x14ac:dyDescent="0.35">
      <c r="A99" s="783">
        <v>89</v>
      </c>
      <c r="B99" s="993"/>
      <c r="C99" s="466"/>
      <c r="D99" s="583" t="s">
        <v>1151</v>
      </c>
      <c r="E99" s="996"/>
      <c r="F99" s="997"/>
      <c r="G99" s="998"/>
      <c r="H99" s="1010"/>
      <c r="I99" s="1549"/>
      <c r="J99" s="1548"/>
      <c r="K99" s="1548"/>
      <c r="L99" s="1548"/>
      <c r="M99" s="1548"/>
      <c r="N99" s="1548">
        <f>SUM(N97:N98)</f>
        <v>85090</v>
      </c>
      <c r="O99" s="1548"/>
      <c r="P99" s="777">
        <f>SUM(I99:O99)</f>
        <v>85090</v>
      </c>
      <c r="Q99" s="1000"/>
    </row>
    <row r="100" spans="1:17" s="1001" customFormat="1" ht="22.5" customHeight="1" x14ac:dyDescent="0.35">
      <c r="A100" s="783">
        <v>90</v>
      </c>
      <c r="B100" s="993"/>
      <c r="C100" s="466"/>
      <c r="D100" s="771" t="s">
        <v>1070</v>
      </c>
      <c r="E100" s="432">
        <f>F100+G100+P103</f>
        <v>25860</v>
      </c>
      <c r="F100" s="997"/>
      <c r="G100" s="998"/>
      <c r="H100" s="1010"/>
      <c r="I100" s="1549"/>
      <c r="J100" s="1548"/>
      <c r="K100" s="1548"/>
      <c r="L100" s="1548"/>
      <c r="M100" s="1548"/>
      <c r="N100" s="1548"/>
      <c r="O100" s="1548"/>
      <c r="P100" s="1985"/>
      <c r="Q100" s="1000"/>
    </row>
    <row r="101" spans="1:17" s="1001" customFormat="1" ht="18" customHeight="1" x14ac:dyDescent="0.35">
      <c r="A101" s="783">
        <v>91</v>
      </c>
      <c r="B101" s="993"/>
      <c r="C101" s="466"/>
      <c r="D101" s="583" t="s">
        <v>1072</v>
      </c>
      <c r="E101" s="996"/>
      <c r="F101" s="997"/>
      <c r="G101" s="998"/>
      <c r="H101" s="1010"/>
      <c r="I101" s="1549"/>
      <c r="J101" s="1548"/>
      <c r="K101" s="1548"/>
      <c r="L101" s="1548"/>
      <c r="M101" s="1548"/>
      <c r="N101" s="1548">
        <v>25860</v>
      </c>
      <c r="O101" s="1548"/>
      <c r="P101" s="1548">
        <f>SUM(P98:P100)</f>
        <v>85090</v>
      </c>
      <c r="Q101" s="1000"/>
    </row>
    <row r="102" spans="1:17" s="1001" customFormat="1" ht="18" customHeight="1" x14ac:dyDescent="0.35">
      <c r="A102" s="783">
        <v>92</v>
      </c>
      <c r="B102" s="993"/>
      <c r="C102" s="466"/>
      <c r="D102" s="1338" t="s">
        <v>986</v>
      </c>
      <c r="E102" s="996"/>
      <c r="F102" s="997"/>
      <c r="G102" s="998"/>
      <c r="H102" s="1010"/>
      <c r="I102" s="1549"/>
      <c r="J102" s="1548"/>
      <c r="K102" s="1548"/>
      <c r="L102" s="1548"/>
      <c r="M102" s="1548"/>
      <c r="N102" s="1810"/>
      <c r="O102" s="1548"/>
      <c r="P102" s="1778">
        <f>SUM(I102:O102)</f>
        <v>0</v>
      </c>
      <c r="Q102" s="1000"/>
    </row>
    <row r="103" spans="1:17" s="1001" customFormat="1" ht="18" customHeight="1" x14ac:dyDescent="0.35">
      <c r="A103" s="783">
        <v>93</v>
      </c>
      <c r="B103" s="993"/>
      <c r="C103" s="466"/>
      <c r="D103" s="583" t="s">
        <v>1151</v>
      </c>
      <c r="E103" s="996"/>
      <c r="F103" s="997"/>
      <c r="G103" s="998"/>
      <c r="H103" s="1010"/>
      <c r="I103" s="1549"/>
      <c r="J103" s="1548"/>
      <c r="K103" s="1548"/>
      <c r="L103" s="1548"/>
      <c r="M103" s="1548"/>
      <c r="N103" s="1548">
        <f>SUM(N101:N102)</f>
        <v>25860</v>
      </c>
      <c r="O103" s="1548"/>
      <c r="P103" s="777">
        <f>SUM(I103:O103)</f>
        <v>25860</v>
      </c>
      <c r="Q103" s="1000"/>
    </row>
    <row r="104" spans="1:17" s="1001" customFormat="1" ht="22.5" customHeight="1" x14ac:dyDescent="0.35">
      <c r="A104" s="783">
        <v>94</v>
      </c>
      <c r="B104" s="993"/>
      <c r="C104" s="466"/>
      <c r="D104" s="771" t="s">
        <v>1071</v>
      </c>
      <c r="E104" s="432">
        <f>F104+G104+P107</f>
        <v>51000</v>
      </c>
      <c r="F104" s="997"/>
      <c r="G104" s="998"/>
      <c r="H104" s="1010"/>
      <c r="I104" s="1549"/>
      <c r="J104" s="1548"/>
      <c r="K104" s="1548"/>
      <c r="L104" s="1548"/>
      <c r="M104" s="1548"/>
      <c r="N104" s="1548"/>
      <c r="O104" s="1548"/>
      <c r="P104" s="1985"/>
      <c r="Q104" s="1000"/>
    </row>
    <row r="105" spans="1:17" s="1001" customFormat="1" ht="18" customHeight="1" x14ac:dyDescent="0.35">
      <c r="A105" s="783">
        <v>95</v>
      </c>
      <c r="B105" s="993"/>
      <c r="C105" s="466"/>
      <c r="D105" s="583" t="s">
        <v>1072</v>
      </c>
      <c r="E105" s="996"/>
      <c r="F105" s="997"/>
      <c r="G105" s="998"/>
      <c r="H105" s="1010"/>
      <c r="I105" s="1549"/>
      <c r="J105" s="1548"/>
      <c r="K105" s="1548"/>
      <c r="L105" s="1548"/>
      <c r="M105" s="1548"/>
      <c r="N105" s="1548">
        <v>51000</v>
      </c>
      <c r="O105" s="1548"/>
      <c r="P105" s="1548">
        <f>SUM(P102:P104)</f>
        <v>25860</v>
      </c>
      <c r="Q105" s="1000"/>
    </row>
    <row r="106" spans="1:17" s="1001" customFormat="1" ht="18" customHeight="1" x14ac:dyDescent="0.35">
      <c r="A106" s="783">
        <v>96</v>
      </c>
      <c r="B106" s="993"/>
      <c r="C106" s="466"/>
      <c r="D106" s="1338" t="s">
        <v>986</v>
      </c>
      <c r="E106" s="996"/>
      <c r="F106" s="997"/>
      <c r="G106" s="998"/>
      <c r="H106" s="1010"/>
      <c r="I106" s="1549"/>
      <c r="J106" s="1548"/>
      <c r="K106" s="1548"/>
      <c r="L106" s="1548"/>
      <c r="M106" s="1548"/>
      <c r="N106" s="1810"/>
      <c r="O106" s="1548"/>
      <c r="P106" s="1778">
        <f>SUM(I106:O106)</f>
        <v>0</v>
      </c>
      <c r="Q106" s="1000"/>
    </row>
    <row r="107" spans="1:17" s="1001" customFormat="1" ht="18" customHeight="1" x14ac:dyDescent="0.35">
      <c r="A107" s="783">
        <v>97</v>
      </c>
      <c r="B107" s="993"/>
      <c r="C107" s="466"/>
      <c r="D107" s="583" t="s">
        <v>1151</v>
      </c>
      <c r="E107" s="996"/>
      <c r="F107" s="997"/>
      <c r="G107" s="998"/>
      <c r="H107" s="1010"/>
      <c r="I107" s="1549"/>
      <c r="J107" s="1548"/>
      <c r="K107" s="1548"/>
      <c r="L107" s="1548"/>
      <c r="M107" s="1548"/>
      <c r="N107" s="1548">
        <f>SUM(N105:N106)</f>
        <v>51000</v>
      </c>
      <c r="O107" s="1548"/>
      <c r="P107" s="777">
        <f>SUM(I107:O107)</f>
        <v>51000</v>
      </c>
      <c r="Q107" s="1000"/>
    </row>
    <row r="108" spans="1:17" s="1001" customFormat="1" ht="22.5" customHeight="1" x14ac:dyDescent="0.35">
      <c r="A108" s="783">
        <v>98</v>
      </c>
      <c r="B108" s="993"/>
      <c r="C108" s="466"/>
      <c r="D108" s="771" t="s">
        <v>780</v>
      </c>
      <c r="E108" s="432"/>
      <c r="F108" s="997"/>
      <c r="G108" s="998"/>
      <c r="H108" s="1010"/>
      <c r="I108" s="1006"/>
      <c r="J108" s="999"/>
      <c r="K108" s="1023"/>
      <c r="L108" s="1023"/>
      <c r="M108" s="999"/>
      <c r="N108" s="999"/>
      <c r="O108" s="999"/>
      <c r="P108" s="992"/>
      <c r="Q108" s="1000"/>
    </row>
    <row r="109" spans="1:17" s="1001" customFormat="1" ht="18" customHeight="1" x14ac:dyDescent="0.35">
      <c r="A109" s="783">
        <v>99</v>
      </c>
      <c r="B109" s="993"/>
      <c r="C109" s="466"/>
      <c r="D109" s="995" t="s">
        <v>311</v>
      </c>
      <c r="E109" s="996"/>
      <c r="F109" s="997"/>
      <c r="G109" s="998"/>
      <c r="H109" s="1010"/>
      <c r="I109" s="1006"/>
      <c r="J109" s="999"/>
      <c r="K109" s="999">
        <v>25400</v>
      </c>
      <c r="L109" s="1023"/>
      <c r="M109" s="999"/>
      <c r="N109" s="999"/>
      <c r="O109" s="999"/>
      <c r="P109" s="992">
        <f>SUM(I109:O109)</f>
        <v>25400</v>
      </c>
      <c r="Q109" s="1000"/>
    </row>
    <row r="110" spans="1:17" s="1001" customFormat="1" ht="18" customHeight="1" x14ac:dyDescent="0.35">
      <c r="A110" s="783">
        <v>100</v>
      </c>
      <c r="B110" s="993"/>
      <c r="C110" s="466"/>
      <c r="D110" s="583" t="s">
        <v>1072</v>
      </c>
      <c r="E110" s="996"/>
      <c r="F110" s="997"/>
      <c r="G110" s="998"/>
      <c r="H110" s="1010"/>
      <c r="I110" s="1006"/>
      <c r="J110" s="999"/>
      <c r="K110" s="1548">
        <v>0</v>
      </c>
      <c r="L110" s="1023"/>
      <c r="M110" s="999"/>
      <c r="N110" s="999"/>
      <c r="O110" s="999"/>
      <c r="P110" s="777">
        <f>SUM(I110:O110)</f>
        <v>0</v>
      </c>
      <c r="Q110" s="1000"/>
    </row>
    <row r="111" spans="1:17" s="1001" customFormat="1" ht="18" customHeight="1" x14ac:dyDescent="0.35">
      <c r="A111" s="783">
        <v>101</v>
      </c>
      <c r="B111" s="993"/>
      <c r="C111" s="466"/>
      <c r="D111" s="1338" t="s">
        <v>963</v>
      </c>
      <c r="E111" s="996"/>
      <c r="F111" s="997"/>
      <c r="G111" s="998"/>
      <c r="H111" s="1010"/>
      <c r="I111" s="1549"/>
      <c r="J111" s="1548"/>
      <c r="K111" s="769"/>
      <c r="L111" s="769"/>
      <c r="M111" s="1548"/>
      <c r="N111" s="1548"/>
      <c r="O111" s="1548"/>
      <c r="P111" s="777">
        <f>SUM(I111:O111)</f>
        <v>0</v>
      </c>
      <c r="Q111" s="1000"/>
    </row>
    <row r="112" spans="1:17" s="1001" customFormat="1" ht="18" customHeight="1" x14ac:dyDescent="0.35">
      <c r="A112" s="783">
        <v>102</v>
      </c>
      <c r="B112" s="993"/>
      <c r="C112" s="466"/>
      <c r="D112" s="583" t="s">
        <v>1151</v>
      </c>
      <c r="E112" s="996"/>
      <c r="F112" s="997"/>
      <c r="G112" s="998"/>
      <c r="H112" s="1010"/>
      <c r="I112" s="1549"/>
      <c r="J112" s="1548"/>
      <c r="K112" s="1548">
        <f>SUM(K110:K111)</f>
        <v>0</v>
      </c>
      <c r="L112" s="769"/>
      <c r="M112" s="1548"/>
      <c r="N112" s="1548"/>
      <c r="O112" s="1548"/>
      <c r="P112" s="777">
        <f>SUM(P110:P111)</f>
        <v>0</v>
      </c>
      <c r="Q112" s="1000"/>
    </row>
    <row r="113" spans="1:262" s="768" customFormat="1" ht="22.5" customHeight="1" x14ac:dyDescent="0.35">
      <c r="A113" s="783">
        <v>103</v>
      </c>
      <c r="B113" s="776"/>
      <c r="C113" s="422"/>
      <c r="D113" s="1034" t="s">
        <v>949</v>
      </c>
      <c r="E113" s="432"/>
      <c r="F113" s="772"/>
      <c r="G113" s="433"/>
      <c r="H113" s="1009"/>
      <c r="I113" s="1005"/>
      <c r="J113" s="769"/>
      <c r="K113" s="769"/>
      <c r="L113" s="769"/>
      <c r="M113" s="769"/>
      <c r="N113" s="769"/>
      <c r="O113" s="769"/>
      <c r="P113" s="777"/>
      <c r="Q113" s="773"/>
      <c r="R113" s="420"/>
      <c r="S113" s="420"/>
      <c r="T113" s="420"/>
      <c r="U113" s="420"/>
      <c r="V113" s="420"/>
      <c r="W113" s="420"/>
      <c r="X113" s="420"/>
      <c r="Y113" s="420"/>
      <c r="Z113" s="420"/>
      <c r="AA113" s="420"/>
      <c r="AB113" s="420"/>
      <c r="AC113" s="420"/>
      <c r="AD113" s="420"/>
      <c r="AE113" s="420"/>
      <c r="AF113" s="420"/>
      <c r="AG113" s="420"/>
      <c r="AH113" s="420"/>
      <c r="AI113" s="420"/>
      <c r="AJ113" s="420"/>
      <c r="AK113" s="420"/>
      <c r="AL113" s="420"/>
      <c r="AM113" s="420"/>
      <c r="AN113" s="420"/>
      <c r="AO113" s="420"/>
      <c r="AP113" s="420"/>
      <c r="AQ113" s="420"/>
      <c r="AR113" s="420"/>
      <c r="AS113" s="420"/>
      <c r="AT113" s="420"/>
      <c r="AU113" s="420"/>
      <c r="AV113" s="420"/>
      <c r="AW113" s="420"/>
      <c r="AX113" s="420"/>
      <c r="AY113" s="420"/>
      <c r="AZ113" s="420"/>
      <c r="BA113" s="420"/>
      <c r="BB113" s="420"/>
      <c r="BC113" s="420"/>
      <c r="BD113" s="420"/>
      <c r="BE113" s="420"/>
      <c r="BF113" s="420"/>
      <c r="BG113" s="420"/>
      <c r="BH113" s="420"/>
      <c r="BI113" s="420"/>
      <c r="BJ113" s="420"/>
      <c r="BK113" s="420"/>
      <c r="BL113" s="420"/>
      <c r="BM113" s="420"/>
      <c r="BN113" s="420"/>
      <c r="BO113" s="420"/>
      <c r="BP113" s="420"/>
      <c r="BQ113" s="420"/>
      <c r="BR113" s="420"/>
      <c r="BS113" s="420"/>
      <c r="BT113" s="420"/>
      <c r="BU113" s="420"/>
      <c r="BV113" s="420"/>
      <c r="BW113" s="420"/>
      <c r="BX113" s="420"/>
      <c r="BY113" s="420"/>
      <c r="BZ113" s="420"/>
      <c r="CA113" s="420"/>
      <c r="CB113" s="420"/>
      <c r="CC113" s="420"/>
      <c r="CD113" s="420"/>
      <c r="CE113" s="420"/>
      <c r="CF113" s="420"/>
      <c r="CG113" s="420"/>
      <c r="CH113" s="420"/>
      <c r="CI113" s="420"/>
      <c r="CJ113" s="420"/>
      <c r="CK113" s="420"/>
      <c r="CL113" s="420"/>
      <c r="CM113" s="420"/>
      <c r="CN113" s="420"/>
      <c r="CO113" s="420"/>
      <c r="CP113" s="420"/>
      <c r="CQ113" s="420"/>
      <c r="CR113" s="420"/>
      <c r="CS113" s="420"/>
      <c r="CT113" s="420"/>
      <c r="CU113" s="420"/>
      <c r="CV113" s="420"/>
      <c r="CW113" s="420"/>
      <c r="CX113" s="420"/>
      <c r="CY113" s="420"/>
      <c r="CZ113" s="420"/>
      <c r="DA113" s="420"/>
      <c r="DB113" s="420"/>
      <c r="DC113" s="420"/>
      <c r="DD113" s="420"/>
      <c r="DE113" s="420"/>
      <c r="DF113" s="420"/>
      <c r="DG113" s="420"/>
      <c r="DH113" s="420"/>
      <c r="DI113" s="420"/>
      <c r="DJ113" s="420"/>
      <c r="DK113" s="420"/>
      <c r="DL113" s="420"/>
      <c r="DM113" s="420"/>
      <c r="DN113" s="420"/>
      <c r="DO113" s="420"/>
      <c r="DP113" s="420"/>
      <c r="DQ113" s="420"/>
      <c r="DR113" s="420"/>
      <c r="DS113" s="420"/>
      <c r="DT113" s="420"/>
      <c r="DU113" s="420"/>
      <c r="DV113" s="420"/>
      <c r="DW113" s="420"/>
      <c r="DX113" s="420"/>
      <c r="DY113" s="420"/>
      <c r="DZ113" s="420"/>
      <c r="EA113" s="420"/>
      <c r="EB113" s="420"/>
      <c r="EC113" s="420"/>
      <c r="ED113" s="420"/>
      <c r="EE113" s="420"/>
      <c r="EF113" s="420"/>
      <c r="EG113" s="420"/>
      <c r="EH113" s="420"/>
      <c r="EI113" s="420"/>
      <c r="EJ113" s="420"/>
      <c r="EK113" s="420"/>
      <c r="EL113" s="420"/>
      <c r="EM113" s="420"/>
      <c r="EN113" s="420"/>
      <c r="EO113" s="420"/>
      <c r="EP113" s="420"/>
      <c r="EQ113" s="420"/>
      <c r="ER113" s="420"/>
      <c r="ES113" s="420"/>
      <c r="ET113" s="420"/>
      <c r="EU113" s="420"/>
      <c r="EV113" s="420"/>
      <c r="EW113" s="420"/>
      <c r="EX113" s="420"/>
      <c r="EY113" s="420"/>
      <c r="EZ113" s="420"/>
      <c r="FA113" s="420"/>
      <c r="FB113" s="420"/>
      <c r="FC113" s="420"/>
      <c r="FD113" s="420"/>
      <c r="FE113" s="420"/>
      <c r="FF113" s="420"/>
      <c r="FG113" s="420"/>
      <c r="FH113" s="420"/>
      <c r="FI113" s="420"/>
      <c r="FJ113" s="420"/>
      <c r="FK113" s="420"/>
      <c r="FL113" s="420"/>
      <c r="FM113" s="420"/>
      <c r="FN113" s="420"/>
      <c r="FO113" s="420"/>
      <c r="FP113" s="420"/>
      <c r="FQ113" s="420"/>
      <c r="FR113" s="420"/>
      <c r="FS113" s="420"/>
      <c r="FT113" s="420"/>
      <c r="FU113" s="420"/>
      <c r="FV113" s="420"/>
      <c r="FW113" s="420"/>
      <c r="FX113" s="420"/>
      <c r="FY113" s="420"/>
      <c r="FZ113" s="420"/>
      <c r="GA113" s="420"/>
      <c r="GB113" s="420"/>
      <c r="GC113" s="420"/>
      <c r="GD113" s="420"/>
      <c r="GE113" s="420"/>
      <c r="GF113" s="420"/>
      <c r="GG113" s="420"/>
      <c r="GH113" s="420"/>
      <c r="GI113" s="420"/>
      <c r="GJ113" s="420"/>
      <c r="GK113" s="420"/>
      <c r="GL113" s="420"/>
      <c r="GM113" s="420"/>
      <c r="GN113" s="420"/>
      <c r="GO113" s="420"/>
      <c r="GP113" s="420"/>
      <c r="GQ113" s="420"/>
      <c r="GR113" s="420"/>
      <c r="GS113" s="420"/>
      <c r="GT113" s="420"/>
      <c r="GU113" s="420"/>
      <c r="GV113" s="420"/>
      <c r="GW113" s="420"/>
      <c r="GX113" s="420"/>
      <c r="GY113" s="420"/>
      <c r="GZ113" s="420"/>
      <c r="HA113" s="420"/>
      <c r="HB113" s="420"/>
      <c r="HC113" s="420"/>
      <c r="HD113" s="420"/>
      <c r="HE113" s="420"/>
      <c r="HF113" s="420"/>
      <c r="HG113" s="420"/>
      <c r="HH113" s="420"/>
      <c r="HI113" s="420"/>
      <c r="HJ113" s="420"/>
      <c r="HK113" s="420"/>
      <c r="HL113" s="420"/>
      <c r="HM113" s="420"/>
      <c r="HN113" s="420"/>
      <c r="HO113" s="420"/>
      <c r="HP113" s="420"/>
      <c r="HQ113" s="420"/>
      <c r="HR113" s="420"/>
      <c r="HS113" s="420"/>
      <c r="HT113" s="420"/>
      <c r="HU113" s="420"/>
      <c r="HV113" s="420"/>
      <c r="HW113" s="420"/>
      <c r="HX113" s="420"/>
      <c r="HY113" s="420"/>
      <c r="HZ113" s="420"/>
      <c r="IA113" s="420"/>
      <c r="IB113" s="420"/>
      <c r="IC113" s="420"/>
      <c r="ID113" s="420"/>
      <c r="IE113" s="420"/>
      <c r="IF113" s="420"/>
      <c r="IG113" s="420"/>
      <c r="IH113" s="420"/>
      <c r="II113" s="420"/>
      <c r="IJ113" s="420"/>
      <c r="IK113" s="420"/>
      <c r="IL113" s="420"/>
      <c r="IM113" s="420"/>
      <c r="IN113" s="420"/>
      <c r="IO113" s="420"/>
      <c r="IP113" s="420"/>
      <c r="IQ113" s="420"/>
      <c r="IR113" s="420"/>
      <c r="IS113" s="420"/>
      <c r="IT113" s="420"/>
      <c r="IU113" s="420"/>
      <c r="IV113" s="420"/>
      <c r="IW113" s="420"/>
      <c r="IX113" s="420"/>
      <c r="IY113" s="420"/>
      <c r="IZ113" s="420"/>
      <c r="JA113" s="420"/>
      <c r="JB113" s="420"/>
    </row>
    <row r="114" spans="1:262" s="768" customFormat="1" ht="22.5" customHeight="1" x14ac:dyDescent="0.35">
      <c r="A114" s="783">
        <v>104</v>
      </c>
      <c r="B114" s="776"/>
      <c r="C114" s="466"/>
      <c r="D114" s="771" t="s">
        <v>780</v>
      </c>
      <c r="E114" s="432"/>
      <c r="F114" s="772"/>
      <c r="G114" s="433"/>
      <c r="H114" s="1009"/>
      <c r="I114" s="1005"/>
      <c r="J114" s="769"/>
      <c r="K114" s="769"/>
      <c r="L114" s="769"/>
      <c r="M114" s="769"/>
      <c r="N114" s="769"/>
      <c r="O114" s="769"/>
      <c r="P114" s="777"/>
      <c r="Q114" s="773"/>
      <c r="R114" s="420"/>
      <c r="S114" s="420"/>
      <c r="T114" s="420"/>
      <c r="U114" s="420"/>
      <c r="V114" s="420"/>
      <c r="W114" s="420"/>
      <c r="X114" s="420"/>
      <c r="Y114" s="420"/>
      <c r="Z114" s="420"/>
      <c r="AA114" s="420"/>
      <c r="AB114" s="420"/>
      <c r="AC114" s="420"/>
      <c r="AD114" s="420"/>
      <c r="AE114" s="420"/>
      <c r="AF114" s="420"/>
      <c r="AG114" s="420"/>
      <c r="AH114" s="420"/>
      <c r="AI114" s="420"/>
      <c r="AJ114" s="420"/>
      <c r="AK114" s="420"/>
      <c r="AL114" s="420"/>
      <c r="AM114" s="420"/>
      <c r="AN114" s="420"/>
      <c r="AO114" s="420"/>
      <c r="AP114" s="420"/>
      <c r="AQ114" s="420"/>
      <c r="AR114" s="420"/>
      <c r="AS114" s="420"/>
      <c r="AT114" s="420"/>
      <c r="AU114" s="420"/>
      <c r="AV114" s="420"/>
      <c r="AW114" s="420"/>
      <c r="AX114" s="420"/>
      <c r="AY114" s="420"/>
      <c r="AZ114" s="420"/>
      <c r="BA114" s="420"/>
      <c r="BB114" s="420"/>
      <c r="BC114" s="420"/>
      <c r="BD114" s="420"/>
      <c r="BE114" s="420"/>
      <c r="BF114" s="420"/>
      <c r="BG114" s="420"/>
      <c r="BH114" s="420"/>
      <c r="BI114" s="420"/>
      <c r="BJ114" s="420"/>
      <c r="BK114" s="420"/>
      <c r="BL114" s="420"/>
      <c r="BM114" s="420"/>
      <c r="BN114" s="420"/>
      <c r="BO114" s="420"/>
      <c r="BP114" s="420"/>
      <c r="BQ114" s="420"/>
      <c r="BR114" s="420"/>
      <c r="BS114" s="420"/>
      <c r="BT114" s="420"/>
      <c r="BU114" s="420"/>
      <c r="BV114" s="420"/>
      <c r="BW114" s="420"/>
      <c r="BX114" s="420"/>
      <c r="BY114" s="420"/>
      <c r="BZ114" s="420"/>
      <c r="CA114" s="420"/>
      <c r="CB114" s="420"/>
      <c r="CC114" s="420"/>
      <c r="CD114" s="420"/>
      <c r="CE114" s="420"/>
      <c r="CF114" s="420"/>
      <c r="CG114" s="420"/>
      <c r="CH114" s="420"/>
      <c r="CI114" s="420"/>
      <c r="CJ114" s="420"/>
      <c r="CK114" s="420"/>
      <c r="CL114" s="420"/>
      <c r="CM114" s="420"/>
      <c r="CN114" s="420"/>
      <c r="CO114" s="420"/>
      <c r="CP114" s="420"/>
      <c r="CQ114" s="420"/>
      <c r="CR114" s="420"/>
      <c r="CS114" s="420"/>
      <c r="CT114" s="420"/>
      <c r="CU114" s="420"/>
      <c r="CV114" s="420"/>
      <c r="CW114" s="420"/>
      <c r="CX114" s="420"/>
      <c r="CY114" s="420"/>
      <c r="CZ114" s="420"/>
      <c r="DA114" s="420"/>
      <c r="DB114" s="420"/>
      <c r="DC114" s="420"/>
      <c r="DD114" s="420"/>
      <c r="DE114" s="420"/>
      <c r="DF114" s="420"/>
      <c r="DG114" s="420"/>
      <c r="DH114" s="420"/>
      <c r="DI114" s="420"/>
      <c r="DJ114" s="420"/>
      <c r="DK114" s="420"/>
      <c r="DL114" s="420"/>
      <c r="DM114" s="420"/>
      <c r="DN114" s="420"/>
      <c r="DO114" s="420"/>
      <c r="DP114" s="420"/>
      <c r="DQ114" s="420"/>
      <c r="DR114" s="420"/>
      <c r="DS114" s="420"/>
      <c r="DT114" s="420"/>
      <c r="DU114" s="420"/>
      <c r="DV114" s="420"/>
      <c r="DW114" s="420"/>
      <c r="DX114" s="420"/>
      <c r="DY114" s="420"/>
      <c r="DZ114" s="420"/>
      <c r="EA114" s="420"/>
      <c r="EB114" s="420"/>
      <c r="EC114" s="420"/>
      <c r="ED114" s="420"/>
      <c r="EE114" s="420"/>
      <c r="EF114" s="420"/>
      <c r="EG114" s="420"/>
      <c r="EH114" s="420"/>
      <c r="EI114" s="420"/>
      <c r="EJ114" s="420"/>
      <c r="EK114" s="420"/>
      <c r="EL114" s="420"/>
      <c r="EM114" s="420"/>
      <c r="EN114" s="420"/>
      <c r="EO114" s="420"/>
      <c r="EP114" s="420"/>
      <c r="EQ114" s="420"/>
      <c r="ER114" s="420"/>
      <c r="ES114" s="420"/>
      <c r="ET114" s="420"/>
      <c r="EU114" s="420"/>
      <c r="EV114" s="420"/>
      <c r="EW114" s="420"/>
      <c r="EX114" s="420"/>
      <c r="EY114" s="420"/>
      <c r="EZ114" s="420"/>
      <c r="FA114" s="420"/>
      <c r="FB114" s="420"/>
      <c r="FC114" s="420"/>
      <c r="FD114" s="420"/>
      <c r="FE114" s="420"/>
      <c r="FF114" s="420"/>
      <c r="FG114" s="420"/>
      <c r="FH114" s="420"/>
      <c r="FI114" s="420"/>
      <c r="FJ114" s="420"/>
      <c r="FK114" s="420"/>
      <c r="FL114" s="420"/>
      <c r="FM114" s="420"/>
      <c r="FN114" s="420"/>
      <c r="FO114" s="420"/>
      <c r="FP114" s="420"/>
      <c r="FQ114" s="420"/>
      <c r="FR114" s="420"/>
      <c r="FS114" s="420"/>
      <c r="FT114" s="420"/>
      <c r="FU114" s="420"/>
      <c r="FV114" s="420"/>
      <c r="FW114" s="420"/>
      <c r="FX114" s="420"/>
      <c r="FY114" s="420"/>
      <c r="FZ114" s="420"/>
      <c r="GA114" s="420"/>
      <c r="GB114" s="420"/>
      <c r="GC114" s="420"/>
      <c r="GD114" s="420"/>
      <c r="GE114" s="420"/>
      <c r="GF114" s="420"/>
      <c r="GG114" s="420"/>
      <c r="GH114" s="420"/>
      <c r="GI114" s="420"/>
      <c r="GJ114" s="420"/>
      <c r="GK114" s="420"/>
      <c r="GL114" s="420"/>
      <c r="GM114" s="420"/>
      <c r="GN114" s="420"/>
      <c r="GO114" s="420"/>
      <c r="GP114" s="420"/>
      <c r="GQ114" s="420"/>
      <c r="GR114" s="420"/>
      <c r="GS114" s="420"/>
      <c r="GT114" s="420"/>
      <c r="GU114" s="420"/>
      <c r="GV114" s="420"/>
      <c r="GW114" s="420"/>
      <c r="GX114" s="420"/>
      <c r="GY114" s="420"/>
      <c r="GZ114" s="420"/>
      <c r="HA114" s="420"/>
      <c r="HB114" s="420"/>
      <c r="HC114" s="420"/>
      <c r="HD114" s="420"/>
      <c r="HE114" s="420"/>
      <c r="HF114" s="420"/>
      <c r="HG114" s="420"/>
      <c r="HH114" s="420"/>
      <c r="HI114" s="420"/>
      <c r="HJ114" s="420"/>
      <c r="HK114" s="420"/>
      <c r="HL114" s="420"/>
      <c r="HM114" s="420"/>
      <c r="HN114" s="420"/>
      <c r="HO114" s="420"/>
      <c r="HP114" s="420"/>
      <c r="HQ114" s="420"/>
      <c r="HR114" s="420"/>
      <c r="HS114" s="420"/>
      <c r="HT114" s="420"/>
      <c r="HU114" s="420"/>
      <c r="HV114" s="420"/>
      <c r="HW114" s="420"/>
      <c r="HX114" s="420"/>
      <c r="HY114" s="420"/>
      <c r="HZ114" s="420"/>
      <c r="IA114" s="420"/>
      <c r="IB114" s="420"/>
      <c r="IC114" s="420"/>
      <c r="ID114" s="420"/>
      <c r="IE114" s="420"/>
      <c r="IF114" s="420"/>
      <c r="IG114" s="420"/>
      <c r="IH114" s="420"/>
      <c r="II114" s="420"/>
      <c r="IJ114" s="420"/>
      <c r="IK114" s="420"/>
      <c r="IL114" s="420"/>
      <c r="IM114" s="420"/>
      <c r="IN114" s="420"/>
      <c r="IO114" s="420"/>
      <c r="IP114" s="420"/>
      <c r="IQ114" s="420"/>
      <c r="IR114" s="420"/>
      <c r="IS114" s="420"/>
      <c r="IT114" s="420"/>
      <c r="IU114" s="420"/>
      <c r="IV114" s="420"/>
      <c r="IW114" s="420"/>
      <c r="IX114" s="420"/>
      <c r="IY114" s="420"/>
      <c r="IZ114" s="420"/>
      <c r="JA114" s="420"/>
      <c r="JB114" s="420"/>
    </row>
    <row r="115" spans="1:262" s="768" customFormat="1" ht="20.100000000000001" customHeight="1" x14ac:dyDescent="0.35">
      <c r="A115" s="783">
        <v>105</v>
      </c>
      <c r="B115" s="776"/>
      <c r="C115" s="422"/>
      <c r="D115" s="995" t="s">
        <v>311</v>
      </c>
      <c r="E115" s="432"/>
      <c r="F115" s="772"/>
      <c r="G115" s="433"/>
      <c r="H115" s="1009"/>
      <c r="I115" s="1005"/>
      <c r="J115" s="769"/>
      <c r="K115" s="769"/>
      <c r="L115" s="769"/>
      <c r="M115" s="999">
        <v>408940</v>
      </c>
      <c r="N115" s="769"/>
      <c r="O115" s="769"/>
      <c r="P115" s="992">
        <f>SUM(I115:O115)</f>
        <v>408940</v>
      </c>
      <c r="Q115" s="773"/>
      <c r="R115" s="420"/>
      <c r="S115" s="420"/>
      <c r="T115" s="420"/>
      <c r="U115" s="420"/>
      <c r="V115" s="420"/>
      <c r="W115" s="420"/>
      <c r="X115" s="420"/>
      <c r="Y115" s="420"/>
      <c r="Z115" s="420"/>
      <c r="AA115" s="420"/>
      <c r="AB115" s="420"/>
      <c r="AC115" s="420"/>
      <c r="AD115" s="420"/>
      <c r="AE115" s="420"/>
      <c r="AF115" s="420"/>
      <c r="AG115" s="420"/>
      <c r="AH115" s="420"/>
      <c r="AI115" s="420"/>
      <c r="AJ115" s="420"/>
      <c r="AK115" s="420"/>
      <c r="AL115" s="420"/>
      <c r="AM115" s="420"/>
      <c r="AN115" s="420"/>
      <c r="AO115" s="420"/>
      <c r="AP115" s="420"/>
      <c r="AQ115" s="420"/>
      <c r="AR115" s="420"/>
      <c r="AS115" s="420"/>
      <c r="AT115" s="420"/>
      <c r="AU115" s="420"/>
      <c r="AV115" s="420"/>
      <c r="AW115" s="420"/>
      <c r="AX115" s="420"/>
      <c r="AY115" s="420"/>
      <c r="AZ115" s="420"/>
      <c r="BA115" s="420"/>
      <c r="BB115" s="420"/>
      <c r="BC115" s="420"/>
      <c r="BD115" s="420"/>
      <c r="BE115" s="420"/>
      <c r="BF115" s="420"/>
      <c r="BG115" s="420"/>
      <c r="BH115" s="420"/>
      <c r="BI115" s="420"/>
      <c r="BJ115" s="420"/>
      <c r="BK115" s="420"/>
      <c r="BL115" s="420"/>
      <c r="BM115" s="420"/>
      <c r="BN115" s="420"/>
      <c r="BO115" s="420"/>
      <c r="BP115" s="420"/>
      <c r="BQ115" s="420"/>
      <c r="BR115" s="420"/>
      <c r="BS115" s="420"/>
      <c r="BT115" s="420"/>
      <c r="BU115" s="420"/>
      <c r="BV115" s="420"/>
      <c r="BW115" s="420"/>
      <c r="BX115" s="420"/>
      <c r="BY115" s="420"/>
      <c r="BZ115" s="420"/>
      <c r="CA115" s="420"/>
      <c r="CB115" s="420"/>
      <c r="CC115" s="420"/>
      <c r="CD115" s="420"/>
      <c r="CE115" s="420"/>
      <c r="CF115" s="420"/>
      <c r="CG115" s="420"/>
      <c r="CH115" s="420"/>
      <c r="CI115" s="420"/>
      <c r="CJ115" s="420"/>
      <c r="CK115" s="420"/>
      <c r="CL115" s="420"/>
      <c r="CM115" s="420"/>
      <c r="CN115" s="420"/>
      <c r="CO115" s="420"/>
      <c r="CP115" s="420"/>
      <c r="CQ115" s="420"/>
      <c r="CR115" s="420"/>
      <c r="CS115" s="420"/>
      <c r="CT115" s="420"/>
      <c r="CU115" s="420"/>
      <c r="CV115" s="420"/>
      <c r="CW115" s="420"/>
      <c r="CX115" s="420"/>
      <c r="CY115" s="420"/>
      <c r="CZ115" s="420"/>
      <c r="DA115" s="420"/>
      <c r="DB115" s="420"/>
      <c r="DC115" s="420"/>
      <c r="DD115" s="420"/>
      <c r="DE115" s="420"/>
      <c r="DF115" s="420"/>
      <c r="DG115" s="420"/>
      <c r="DH115" s="420"/>
      <c r="DI115" s="420"/>
      <c r="DJ115" s="420"/>
      <c r="DK115" s="420"/>
      <c r="DL115" s="420"/>
      <c r="DM115" s="420"/>
      <c r="DN115" s="420"/>
      <c r="DO115" s="420"/>
      <c r="DP115" s="420"/>
      <c r="DQ115" s="420"/>
      <c r="DR115" s="420"/>
      <c r="DS115" s="420"/>
      <c r="DT115" s="420"/>
      <c r="DU115" s="420"/>
      <c r="DV115" s="420"/>
      <c r="DW115" s="420"/>
      <c r="DX115" s="420"/>
      <c r="DY115" s="420"/>
      <c r="DZ115" s="420"/>
      <c r="EA115" s="420"/>
      <c r="EB115" s="420"/>
      <c r="EC115" s="420"/>
      <c r="ED115" s="420"/>
      <c r="EE115" s="420"/>
      <c r="EF115" s="420"/>
      <c r="EG115" s="420"/>
      <c r="EH115" s="420"/>
      <c r="EI115" s="420"/>
      <c r="EJ115" s="420"/>
      <c r="EK115" s="420"/>
      <c r="EL115" s="420"/>
      <c r="EM115" s="420"/>
      <c r="EN115" s="420"/>
      <c r="EO115" s="420"/>
      <c r="EP115" s="420"/>
      <c r="EQ115" s="420"/>
      <c r="ER115" s="420"/>
      <c r="ES115" s="420"/>
      <c r="ET115" s="420"/>
      <c r="EU115" s="420"/>
      <c r="EV115" s="420"/>
      <c r="EW115" s="420"/>
      <c r="EX115" s="420"/>
      <c r="EY115" s="420"/>
      <c r="EZ115" s="420"/>
      <c r="FA115" s="420"/>
      <c r="FB115" s="420"/>
      <c r="FC115" s="420"/>
      <c r="FD115" s="420"/>
      <c r="FE115" s="420"/>
      <c r="FF115" s="420"/>
      <c r="FG115" s="420"/>
      <c r="FH115" s="420"/>
      <c r="FI115" s="420"/>
      <c r="FJ115" s="420"/>
      <c r="FK115" s="420"/>
      <c r="FL115" s="420"/>
      <c r="FM115" s="420"/>
      <c r="FN115" s="420"/>
      <c r="FO115" s="420"/>
      <c r="FP115" s="420"/>
      <c r="FQ115" s="420"/>
      <c r="FR115" s="420"/>
      <c r="FS115" s="420"/>
      <c r="FT115" s="420"/>
      <c r="FU115" s="420"/>
      <c r="FV115" s="420"/>
      <c r="FW115" s="420"/>
      <c r="FX115" s="420"/>
      <c r="FY115" s="420"/>
      <c r="FZ115" s="420"/>
      <c r="GA115" s="420"/>
      <c r="GB115" s="420"/>
      <c r="GC115" s="420"/>
      <c r="GD115" s="420"/>
      <c r="GE115" s="420"/>
      <c r="GF115" s="420"/>
      <c r="GG115" s="420"/>
      <c r="GH115" s="420"/>
      <c r="GI115" s="420"/>
      <c r="GJ115" s="420"/>
      <c r="GK115" s="420"/>
      <c r="GL115" s="420"/>
      <c r="GM115" s="420"/>
      <c r="GN115" s="420"/>
      <c r="GO115" s="420"/>
      <c r="GP115" s="420"/>
      <c r="GQ115" s="420"/>
      <c r="GR115" s="420"/>
      <c r="GS115" s="420"/>
      <c r="GT115" s="420"/>
      <c r="GU115" s="420"/>
      <c r="GV115" s="420"/>
      <c r="GW115" s="420"/>
      <c r="GX115" s="420"/>
      <c r="GY115" s="420"/>
      <c r="GZ115" s="420"/>
      <c r="HA115" s="420"/>
      <c r="HB115" s="420"/>
      <c r="HC115" s="420"/>
      <c r="HD115" s="420"/>
      <c r="HE115" s="420"/>
      <c r="HF115" s="420"/>
      <c r="HG115" s="420"/>
      <c r="HH115" s="420"/>
      <c r="HI115" s="420"/>
      <c r="HJ115" s="420"/>
      <c r="HK115" s="420"/>
      <c r="HL115" s="420"/>
      <c r="HM115" s="420"/>
      <c r="HN115" s="420"/>
      <c r="HO115" s="420"/>
      <c r="HP115" s="420"/>
      <c r="HQ115" s="420"/>
      <c r="HR115" s="420"/>
      <c r="HS115" s="420"/>
      <c r="HT115" s="420"/>
      <c r="HU115" s="420"/>
      <c r="HV115" s="420"/>
      <c r="HW115" s="420"/>
      <c r="HX115" s="420"/>
      <c r="HY115" s="420"/>
      <c r="HZ115" s="420"/>
      <c r="IA115" s="420"/>
      <c r="IB115" s="420"/>
      <c r="IC115" s="420"/>
      <c r="ID115" s="420"/>
      <c r="IE115" s="420"/>
      <c r="IF115" s="420"/>
      <c r="IG115" s="420"/>
      <c r="IH115" s="420"/>
      <c r="II115" s="420"/>
      <c r="IJ115" s="420"/>
      <c r="IK115" s="420"/>
      <c r="IL115" s="420"/>
      <c r="IM115" s="420"/>
      <c r="IN115" s="420"/>
      <c r="IO115" s="420"/>
      <c r="IP115" s="420"/>
      <c r="IQ115" s="420"/>
      <c r="IR115" s="420"/>
      <c r="IS115" s="420"/>
      <c r="IT115" s="420"/>
      <c r="IU115" s="420"/>
      <c r="IV115" s="420"/>
      <c r="IW115" s="420"/>
      <c r="IX115" s="420"/>
      <c r="IY115" s="420"/>
      <c r="IZ115" s="420"/>
      <c r="JA115" s="420"/>
      <c r="JB115" s="420"/>
    </row>
    <row r="116" spans="1:262" s="768" customFormat="1" ht="20.100000000000001" customHeight="1" x14ac:dyDescent="0.35">
      <c r="A116" s="783">
        <v>106</v>
      </c>
      <c r="B116" s="776"/>
      <c r="C116" s="422"/>
      <c r="D116" s="583" t="s">
        <v>1072</v>
      </c>
      <c r="E116" s="432"/>
      <c r="F116" s="772"/>
      <c r="G116" s="433"/>
      <c r="H116" s="1009"/>
      <c r="I116" s="1005"/>
      <c r="J116" s="769"/>
      <c r="K116" s="769"/>
      <c r="L116" s="769"/>
      <c r="M116" s="1548">
        <v>0</v>
      </c>
      <c r="N116" s="769"/>
      <c r="O116" s="769"/>
      <c r="P116" s="777">
        <f>SUM(I116:O116)</f>
        <v>0</v>
      </c>
      <c r="Q116" s="773"/>
      <c r="R116" s="420"/>
      <c r="S116" s="420"/>
      <c r="T116" s="420"/>
      <c r="U116" s="420"/>
      <c r="V116" s="420"/>
      <c r="W116" s="420"/>
      <c r="X116" s="420"/>
      <c r="Y116" s="420"/>
      <c r="Z116" s="420"/>
      <c r="AA116" s="420"/>
      <c r="AB116" s="420"/>
      <c r="AC116" s="420"/>
      <c r="AD116" s="420"/>
      <c r="AE116" s="420"/>
      <c r="AF116" s="420"/>
      <c r="AG116" s="420"/>
      <c r="AH116" s="420"/>
      <c r="AI116" s="420"/>
      <c r="AJ116" s="420"/>
      <c r="AK116" s="420"/>
      <c r="AL116" s="420"/>
      <c r="AM116" s="420"/>
      <c r="AN116" s="420"/>
      <c r="AO116" s="420"/>
      <c r="AP116" s="420"/>
      <c r="AQ116" s="420"/>
      <c r="AR116" s="420"/>
      <c r="AS116" s="420"/>
      <c r="AT116" s="420"/>
      <c r="AU116" s="420"/>
      <c r="AV116" s="420"/>
      <c r="AW116" s="420"/>
      <c r="AX116" s="420"/>
      <c r="AY116" s="420"/>
      <c r="AZ116" s="420"/>
      <c r="BA116" s="420"/>
      <c r="BB116" s="420"/>
      <c r="BC116" s="420"/>
      <c r="BD116" s="420"/>
      <c r="BE116" s="420"/>
      <c r="BF116" s="420"/>
      <c r="BG116" s="420"/>
      <c r="BH116" s="420"/>
      <c r="BI116" s="420"/>
      <c r="BJ116" s="420"/>
      <c r="BK116" s="420"/>
      <c r="BL116" s="420"/>
      <c r="BM116" s="420"/>
      <c r="BN116" s="420"/>
      <c r="BO116" s="420"/>
      <c r="BP116" s="420"/>
      <c r="BQ116" s="420"/>
      <c r="BR116" s="420"/>
      <c r="BS116" s="420"/>
      <c r="BT116" s="420"/>
      <c r="BU116" s="420"/>
      <c r="BV116" s="420"/>
      <c r="BW116" s="420"/>
      <c r="BX116" s="420"/>
      <c r="BY116" s="420"/>
      <c r="BZ116" s="420"/>
      <c r="CA116" s="420"/>
      <c r="CB116" s="420"/>
      <c r="CC116" s="420"/>
      <c r="CD116" s="420"/>
      <c r="CE116" s="420"/>
      <c r="CF116" s="420"/>
      <c r="CG116" s="420"/>
      <c r="CH116" s="420"/>
      <c r="CI116" s="420"/>
      <c r="CJ116" s="420"/>
      <c r="CK116" s="420"/>
      <c r="CL116" s="420"/>
      <c r="CM116" s="420"/>
      <c r="CN116" s="420"/>
      <c r="CO116" s="420"/>
      <c r="CP116" s="420"/>
      <c r="CQ116" s="420"/>
      <c r="CR116" s="420"/>
      <c r="CS116" s="420"/>
      <c r="CT116" s="420"/>
      <c r="CU116" s="420"/>
      <c r="CV116" s="420"/>
      <c r="CW116" s="420"/>
      <c r="CX116" s="420"/>
      <c r="CY116" s="420"/>
      <c r="CZ116" s="420"/>
      <c r="DA116" s="420"/>
      <c r="DB116" s="420"/>
      <c r="DC116" s="420"/>
      <c r="DD116" s="420"/>
      <c r="DE116" s="420"/>
      <c r="DF116" s="420"/>
      <c r="DG116" s="420"/>
      <c r="DH116" s="420"/>
      <c r="DI116" s="420"/>
      <c r="DJ116" s="420"/>
      <c r="DK116" s="420"/>
      <c r="DL116" s="420"/>
      <c r="DM116" s="420"/>
      <c r="DN116" s="420"/>
      <c r="DO116" s="420"/>
      <c r="DP116" s="420"/>
      <c r="DQ116" s="420"/>
      <c r="DR116" s="420"/>
      <c r="DS116" s="420"/>
      <c r="DT116" s="420"/>
      <c r="DU116" s="420"/>
      <c r="DV116" s="420"/>
      <c r="DW116" s="420"/>
      <c r="DX116" s="420"/>
      <c r="DY116" s="420"/>
      <c r="DZ116" s="420"/>
      <c r="EA116" s="420"/>
      <c r="EB116" s="420"/>
      <c r="EC116" s="420"/>
      <c r="ED116" s="420"/>
      <c r="EE116" s="420"/>
      <c r="EF116" s="420"/>
      <c r="EG116" s="420"/>
      <c r="EH116" s="420"/>
      <c r="EI116" s="420"/>
      <c r="EJ116" s="420"/>
      <c r="EK116" s="420"/>
      <c r="EL116" s="420"/>
      <c r="EM116" s="420"/>
      <c r="EN116" s="420"/>
      <c r="EO116" s="420"/>
      <c r="EP116" s="420"/>
      <c r="EQ116" s="420"/>
      <c r="ER116" s="420"/>
      <c r="ES116" s="420"/>
      <c r="ET116" s="420"/>
      <c r="EU116" s="420"/>
      <c r="EV116" s="420"/>
      <c r="EW116" s="420"/>
      <c r="EX116" s="420"/>
      <c r="EY116" s="420"/>
      <c r="EZ116" s="420"/>
      <c r="FA116" s="420"/>
      <c r="FB116" s="420"/>
      <c r="FC116" s="420"/>
      <c r="FD116" s="420"/>
      <c r="FE116" s="420"/>
      <c r="FF116" s="420"/>
      <c r="FG116" s="420"/>
      <c r="FH116" s="420"/>
      <c r="FI116" s="420"/>
      <c r="FJ116" s="420"/>
      <c r="FK116" s="420"/>
      <c r="FL116" s="420"/>
      <c r="FM116" s="420"/>
      <c r="FN116" s="420"/>
      <c r="FO116" s="420"/>
      <c r="FP116" s="420"/>
      <c r="FQ116" s="420"/>
      <c r="FR116" s="420"/>
      <c r="FS116" s="420"/>
      <c r="FT116" s="420"/>
      <c r="FU116" s="420"/>
      <c r="FV116" s="420"/>
      <c r="FW116" s="420"/>
      <c r="FX116" s="420"/>
      <c r="FY116" s="420"/>
      <c r="FZ116" s="420"/>
      <c r="GA116" s="420"/>
      <c r="GB116" s="420"/>
      <c r="GC116" s="420"/>
      <c r="GD116" s="420"/>
      <c r="GE116" s="420"/>
      <c r="GF116" s="420"/>
      <c r="GG116" s="420"/>
      <c r="GH116" s="420"/>
      <c r="GI116" s="420"/>
      <c r="GJ116" s="420"/>
      <c r="GK116" s="420"/>
      <c r="GL116" s="420"/>
      <c r="GM116" s="420"/>
      <c r="GN116" s="420"/>
      <c r="GO116" s="420"/>
      <c r="GP116" s="420"/>
      <c r="GQ116" s="420"/>
      <c r="GR116" s="420"/>
      <c r="GS116" s="420"/>
      <c r="GT116" s="420"/>
      <c r="GU116" s="420"/>
      <c r="GV116" s="420"/>
      <c r="GW116" s="420"/>
      <c r="GX116" s="420"/>
      <c r="GY116" s="420"/>
      <c r="GZ116" s="420"/>
      <c r="HA116" s="420"/>
      <c r="HB116" s="420"/>
      <c r="HC116" s="420"/>
      <c r="HD116" s="420"/>
      <c r="HE116" s="420"/>
      <c r="HF116" s="420"/>
      <c r="HG116" s="420"/>
      <c r="HH116" s="420"/>
      <c r="HI116" s="420"/>
      <c r="HJ116" s="420"/>
      <c r="HK116" s="420"/>
      <c r="HL116" s="420"/>
      <c r="HM116" s="420"/>
      <c r="HN116" s="420"/>
      <c r="HO116" s="420"/>
      <c r="HP116" s="420"/>
      <c r="HQ116" s="420"/>
      <c r="HR116" s="420"/>
      <c r="HS116" s="420"/>
      <c r="HT116" s="420"/>
      <c r="HU116" s="420"/>
      <c r="HV116" s="420"/>
      <c r="HW116" s="420"/>
      <c r="HX116" s="420"/>
      <c r="HY116" s="420"/>
      <c r="HZ116" s="420"/>
      <c r="IA116" s="420"/>
      <c r="IB116" s="420"/>
      <c r="IC116" s="420"/>
      <c r="ID116" s="420"/>
      <c r="IE116" s="420"/>
      <c r="IF116" s="420"/>
      <c r="IG116" s="420"/>
      <c r="IH116" s="420"/>
      <c r="II116" s="420"/>
      <c r="IJ116" s="420"/>
      <c r="IK116" s="420"/>
      <c r="IL116" s="420"/>
      <c r="IM116" s="420"/>
      <c r="IN116" s="420"/>
      <c r="IO116" s="420"/>
      <c r="IP116" s="420"/>
      <c r="IQ116" s="420"/>
      <c r="IR116" s="420"/>
      <c r="IS116" s="420"/>
      <c r="IT116" s="420"/>
      <c r="IU116" s="420"/>
      <c r="IV116" s="420"/>
      <c r="IW116" s="420"/>
      <c r="IX116" s="420"/>
      <c r="IY116" s="420"/>
      <c r="IZ116" s="420"/>
      <c r="JA116" s="420"/>
      <c r="JB116" s="420"/>
    </row>
    <row r="117" spans="1:262" s="768" customFormat="1" ht="20.100000000000001" customHeight="1" x14ac:dyDescent="0.35">
      <c r="A117" s="783">
        <v>107</v>
      </c>
      <c r="B117" s="776"/>
      <c r="C117" s="422"/>
      <c r="D117" s="1338" t="s">
        <v>963</v>
      </c>
      <c r="E117" s="432"/>
      <c r="F117" s="772"/>
      <c r="G117" s="433"/>
      <c r="H117" s="1009"/>
      <c r="I117" s="1005"/>
      <c r="J117" s="769"/>
      <c r="K117" s="769"/>
      <c r="L117" s="769"/>
      <c r="M117" s="769"/>
      <c r="N117" s="769"/>
      <c r="O117" s="769"/>
      <c r="P117" s="777">
        <f t="shared" ref="P117:P118" si="9">SUM(I117:O117)</f>
        <v>0</v>
      </c>
      <c r="Q117" s="773"/>
      <c r="R117" s="420"/>
      <c r="S117" s="420"/>
      <c r="T117" s="420"/>
      <c r="U117" s="420"/>
      <c r="V117" s="420"/>
      <c r="W117" s="420"/>
      <c r="X117" s="420"/>
      <c r="Y117" s="420"/>
      <c r="Z117" s="420"/>
      <c r="AA117" s="420"/>
      <c r="AB117" s="420"/>
      <c r="AC117" s="420"/>
      <c r="AD117" s="420"/>
      <c r="AE117" s="420"/>
      <c r="AF117" s="420"/>
      <c r="AG117" s="420"/>
      <c r="AH117" s="420"/>
      <c r="AI117" s="420"/>
      <c r="AJ117" s="420"/>
      <c r="AK117" s="420"/>
      <c r="AL117" s="420"/>
      <c r="AM117" s="420"/>
      <c r="AN117" s="420"/>
      <c r="AO117" s="420"/>
      <c r="AP117" s="420"/>
      <c r="AQ117" s="420"/>
      <c r="AR117" s="420"/>
      <c r="AS117" s="420"/>
      <c r="AT117" s="420"/>
      <c r="AU117" s="420"/>
      <c r="AV117" s="420"/>
      <c r="AW117" s="420"/>
      <c r="AX117" s="420"/>
      <c r="AY117" s="420"/>
      <c r="AZ117" s="420"/>
      <c r="BA117" s="420"/>
      <c r="BB117" s="420"/>
      <c r="BC117" s="420"/>
      <c r="BD117" s="420"/>
      <c r="BE117" s="420"/>
      <c r="BF117" s="420"/>
      <c r="BG117" s="420"/>
      <c r="BH117" s="420"/>
      <c r="BI117" s="420"/>
      <c r="BJ117" s="420"/>
      <c r="BK117" s="420"/>
      <c r="BL117" s="420"/>
      <c r="BM117" s="420"/>
      <c r="BN117" s="420"/>
      <c r="BO117" s="420"/>
      <c r="BP117" s="420"/>
      <c r="BQ117" s="420"/>
      <c r="BR117" s="420"/>
      <c r="BS117" s="420"/>
      <c r="BT117" s="420"/>
      <c r="BU117" s="420"/>
      <c r="BV117" s="420"/>
      <c r="BW117" s="420"/>
      <c r="BX117" s="420"/>
      <c r="BY117" s="420"/>
      <c r="BZ117" s="420"/>
      <c r="CA117" s="420"/>
      <c r="CB117" s="420"/>
      <c r="CC117" s="420"/>
      <c r="CD117" s="420"/>
      <c r="CE117" s="420"/>
      <c r="CF117" s="420"/>
      <c r="CG117" s="420"/>
      <c r="CH117" s="420"/>
      <c r="CI117" s="420"/>
      <c r="CJ117" s="420"/>
      <c r="CK117" s="420"/>
      <c r="CL117" s="420"/>
      <c r="CM117" s="420"/>
      <c r="CN117" s="420"/>
      <c r="CO117" s="420"/>
      <c r="CP117" s="420"/>
      <c r="CQ117" s="420"/>
      <c r="CR117" s="420"/>
      <c r="CS117" s="420"/>
      <c r="CT117" s="420"/>
      <c r="CU117" s="420"/>
      <c r="CV117" s="420"/>
      <c r="CW117" s="420"/>
      <c r="CX117" s="420"/>
      <c r="CY117" s="420"/>
      <c r="CZ117" s="420"/>
      <c r="DA117" s="420"/>
      <c r="DB117" s="420"/>
      <c r="DC117" s="420"/>
      <c r="DD117" s="420"/>
      <c r="DE117" s="420"/>
      <c r="DF117" s="420"/>
      <c r="DG117" s="420"/>
      <c r="DH117" s="420"/>
      <c r="DI117" s="420"/>
      <c r="DJ117" s="420"/>
      <c r="DK117" s="420"/>
      <c r="DL117" s="420"/>
      <c r="DM117" s="420"/>
      <c r="DN117" s="420"/>
      <c r="DO117" s="420"/>
      <c r="DP117" s="420"/>
      <c r="DQ117" s="420"/>
      <c r="DR117" s="420"/>
      <c r="DS117" s="420"/>
      <c r="DT117" s="420"/>
      <c r="DU117" s="420"/>
      <c r="DV117" s="420"/>
      <c r="DW117" s="420"/>
      <c r="DX117" s="420"/>
      <c r="DY117" s="420"/>
      <c r="DZ117" s="420"/>
      <c r="EA117" s="420"/>
      <c r="EB117" s="420"/>
      <c r="EC117" s="420"/>
      <c r="ED117" s="420"/>
      <c r="EE117" s="420"/>
      <c r="EF117" s="420"/>
      <c r="EG117" s="420"/>
      <c r="EH117" s="420"/>
      <c r="EI117" s="420"/>
      <c r="EJ117" s="420"/>
      <c r="EK117" s="420"/>
      <c r="EL117" s="420"/>
      <c r="EM117" s="420"/>
      <c r="EN117" s="420"/>
      <c r="EO117" s="420"/>
      <c r="EP117" s="420"/>
      <c r="EQ117" s="420"/>
      <c r="ER117" s="420"/>
      <c r="ES117" s="420"/>
      <c r="ET117" s="420"/>
      <c r="EU117" s="420"/>
      <c r="EV117" s="420"/>
      <c r="EW117" s="420"/>
      <c r="EX117" s="420"/>
      <c r="EY117" s="420"/>
      <c r="EZ117" s="420"/>
      <c r="FA117" s="420"/>
      <c r="FB117" s="420"/>
      <c r="FC117" s="420"/>
      <c r="FD117" s="420"/>
      <c r="FE117" s="420"/>
      <c r="FF117" s="420"/>
      <c r="FG117" s="420"/>
      <c r="FH117" s="420"/>
      <c r="FI117" s="420"/>
      <c r="FJ117" s="420"/>
      <c r="FK117" s="420"/>
      <c r="FL117" s="420"/>
      <c r="FM117" s="420"/>
      <c r="FN117" s="420"/>
      <c r="FO117" s="420"/>
      <c r="FP117" s="420"/>
      <c r="FQ117" s="420"/>
      <c r="FR117" s="420"/>
      <c r="FS117" s="420"/>
      <c r="FT117" s="420"/>
      <c r="FU117" s="420"/>
      <c r="FV117" s="420"/>
      <c r="FW117" s="420"/>
      <c r="FX117" s="420"/>
      <c r="FY117" s="420"/>
      <c r="FZ117" s="420"/>
      <c r="GA117" s="420"/>
      <c r="GB117" s="420"/>
      <c r="GC117" s="420"/>
      <c r="GD117" s="420"/>
      <c r="GE117" s="420"/>
      <c r="GF117" s="420"/>
      <c r="GG117" s="420"/>
      <c r="GH117" s="420"/>
      <c r="GI117" s="420"/>
      <c r="GJ117" s="420"/>
      <c r="GK117" s="420"/>
      <c r="GL117" s="420"/>
      <c r="GM117" s="420"/>
      <c r="GN117" s="420"/>
      <c r="GO117" s="420"/>
      <c r="GP117" s="420"/>
      <c r="GQ117" s="420"/>
      <c r="GR117" s="420"/>
      <c r="GS117" s="420"/>
      <c r="GT117" s="420"/>
      <c r="GU117" s="420"/>
      <c r="GV117" s="420"/>
      <c r="GW117" s="420"/>
      <c r="GX117" s="420"/>
      <c r="GY117" s="420"/>
      <c r="GZ117" s="420"/>
      <c r="HA117" s="420"/>
      <c r="HB117" s="420"/>
      <c r="HC117" s="420"/>
      <c r="HD117" s="420"/>
      <c r="HE117" s="420"/>
      <c r="HF117" s="420"/>
      <c r="HG117" s="420"/>
      <c r="HH117" s="420"/>
      <c r="HI117" s="420"/>
      <c r="HJ117" s="420"/>
      <c r="HK117" s="420"/>
      <c r="HL117" s="420"/>
      <c r="HM117" s="420"/>
      <c r="HN117" s="420"/>
      <c r="HO117" s="420"/>
      <c r="HP117" s="420"/>
      <c r="HQ117" s="420"/>
      <c r="HR117" s="420"/>
      <c r="HS117" s="420"/>
      <c r="HT117" s="420"/>
      <c r="HU117" s="420"/>
      <c r="HV117" s="420"/>
      <c r="HW117" s="420"/>
      <c r="HX117" s="420"/>
      <c r="HY117" s="420"/>
      <c r="HZ117" s="420"/>
      <c r="IA117" s="420"/>
      <c r="IB117" s="420"/>
      <c r="IC117" s="420"/>
      <c r="ID117" s="420"/>
      <c r="IE117" s="420"/>
      <c r="IF117" s="420"/>
      <c r="IG117" s="420"/>
      <c r="IH117" s="420"/>
      <c r="II117" s="420"/>
      <c r="IJ117" s="420"/>
      <c r="IK117" s="420"/>
      <c r="IL117" s="420"/>
      <c r="IM117" s="420"/>
      <c r="IN117" s="420"/>
      <c r="IO117" s="420"/>
      <c r="IP117" s="420"/>
      <c r="IQ117" s="420"/>
      <c r="IR117" s="420"/>
      <c r="IS117" s="420"/>
      <c r="IT117" s="420"/>
      <c r="IU117" s="420"/>
      <c r="IV117" s="420"/>
      <c r="IW117" s="420"/>
      <c r="IX117" s="420"/>
      <c r="IY117" s="420"/>
      <c r="IZ117" s="420"/>
      <c r="JA117" s="420"/>
      <c r="JB117" s="420"/>
    </row>
    <row r="118" spans="1:262" s="768" customFormat="1" ht="20.100000000000001" customHeight="1" x14ac:dyDescent="0.35">
      <c r="A118" s="783">
        <v>108</v>
      </c>
      <c r="B118" s="776"/>
      <c r="C118" s="422"/>
      <c r="D118" s="583" t="s">
        <v>1151</v>
      </c>
      <c r="E118" s="432"/>
      <c r="F118" s="772"/>
      <c r="G118" s="433"/>
      <c r="H118" s="1009"/>
      <c r="I118" s="1005"/>
      <c r="J118" s="769"/>
      <c r="K118" s="769"/>
      <c r="L118" s="769"/>
      <c r="M118" s="1548">
        <f>SUM(M116:M117)</f>
        <v>0</v>
      </c>
      <c r="N118" s="769"/>
      <c r="O118" s="769"/>
      <c r="P118" s="777">
        <f t="shared" si="9"/>
        <v>0</v>
      </c>
      <c r="Q118" s="773"/>
      <c r="R118" s="420"/>
      <c r="S118" s="420"/>
      <c r="T118" s="420"/>
      <c r="U118" s="420"/>
      <c r="V118" s="420"/>
      <c r="W118" s="420"/>
      <c r="X118" s="420"/>
      <c r="Y118" s="420"/>
      <c r="Z118" s="420"/>
      <c r="AA118" s="420"/>
      <c r="AB118" s="420"/>
      <c r="AC118" s="420"/>
      <c r="AD118" s="420"/>
      <c r="AE118" s="420"/>
      <c r="AF118" s="420"/>
      <c r="AG118" s="420"/>
      <c r="AH118" s="420"/>
      <c r="AI118" s="420"/>
      <c r="AJ118" s="420"/>
      <c r="AK118" s="420"/>
      <c r="AL118" s="420"/>
      <c r="AM118" s="420"/>
      <c r="AN118" s="420"/>
      <c r="AO118" s="420"/>
      <c r="AP118" s="420"/>
      <c r="AQ118" s="420"/>
      <c r="AR118" s="420"/>
      <c r="AS118" s="420"/>
      <c r="AT118" s="420"/>
      <c r="AU118" s="420"/>
      <c r="AV118" s="420"/>
      <c r="AW118" s="420"/>
      <c r="AX118" s="420"/>
      <c r="AY118" s="420"/>
      <c r="AZ118" s="420"/>
      <c r="BA118" s="420"/>
      <c r="BB118" s="420"/>
      <c r="BC118" s="420"/>
      <c r="BD118" s="420"/>
      <c r="BE118" s="420"/>
      <c r="BF118" s="420"/>
      <c r="BG118" s="420"/>
      <c r="BH118" s="420"/>
      <c r="BI118" s="420"/>
      <c r="BJ118" s="420"/>
      <c r="BK118" s="420"/>
      <c r="BL118" s="420"/>
      <c r="BM118" s="420"/>
      <c r="BN118" s="420"/>
      <c r="BO118" s="420"/>
      <c r="BP118" s="420"/>
      <c r="BQ118" s="420"/>
      <c r="BR118" s="420"/>
      <c r="BS118" s="420"/>
      <c r="BT118" s="420"/>
      <c r="BU118" s="420"/>
      <c r="BV118" s="420"/>
      <c r="BW118" s="420"/>
      <c r="BX118" s="420"/>
      <c r="BY118" s="420"/>
      <c r="BZ118" s="420"/>
      <c r="CA118" s="420"/>
      <c r="CB118" s="420"/>
      <c r="CC118" s="420"/>
      <c r="CD118" s="420"/>
      <c r="CE118" s="420"/>
      <c r="CF118" s="420"/>
      <c r="CG118" s="420"/>
      <c r="CH118" s="420"/>
      <c r="CI118" s="420"/>
      <c r="CJ118" s="420"/>
      <c r="CK118" s="420"/>
      <c r="CL118" s="420"/>
      <c r="CM118" s="420"/>
      <c r="CN118" s="420"/>
      <c r="CO118" s="420"/>
      <c r="CP118" s="420"/>
      <c r="CQ118" s="420"/>
      <c r="CR118" s="420"/>
      <c r="CS118" s="420"/>
      <c r="CT118" s="420"/>
      <c r="CU118" s="420"/>
      <c r="CV118" s="420"/>
      <c r="CW118" s="420"/>
      <c r="CX118" s="420"/>
      <c r="CY118" s="420"/>
      <c r="CZ118" s="420"/>
      <c r="DA118" s="420"/>
      <c r="DB118" s="420"/>
      <c r="DC118" s="420"/>
      <c r="DD118" s="420"/>
      <c r="DE118" s="420"/>
      <c r="DF118" s="420"/>
      <c r="DG118" s="420"/>
      <c r="DH118" s="420"/>
      <c r="DI118" s="420"/>
      <c r="DJ118" s="420"/>
      <c r="DK118" s="420"/>
      <c r="DL118" s="420"/>
      <c r="DM118" s="420"/>
      <c r="DN118" s="420"/>
      <c r="DO118" s="420"/>
      <c r="DP118" s="420"/>
      <c r="DQ118" s="420"/>
      <c r="DR118" s="420"/>
      <c r="DS118" s="420"/>
      <c r="DT118" s="420"/>
      <c r="DU118" s="420"/>
      <c r="DV118" s="420"/>
      <c r="DW118" s="420"/>
      <c r="DX118" s="420"/>
      <c r="DY118" s="420"/>
      <c r="DZ118" s="420"/>
      <c r="EA118" s="420"/>
      <c r="EB118" s="420"/>
      <c r="EC118" s="420"/>
      <c r="ED118" s="420"/>
      <c r="EE118" s="420"/>
      <c r="EF118" s="420"/>
      <c r="EG118" s="420"/>
      <c r="EH118" s="420"/>
      <c r="EI118" s="420"/>
      <c r="EJ118" s="420"/>
      <c r="EK118" s="420"/>
      <c r="EL118" s="420"/>
      <c r="EM118" s="420"/>
      <c r="EN118" s="420"/>
      <c r="EO118" s="420"/>
      <c r="EP118" s="420"/>
      <c r="EQ118" s="420"/>
      <c r="ER118" s="420"/>
      <c r="ES118" s="420"/>
      <c r="ET118" s="420"/>
      <c r="EU118" s="420"/>
      <c r="EV118" s="420"/>
      <c r="EW118" s="420"/>
      <c r="EX118" s="420"/>
      <c r="EY118" s="420"/>
      <c r="EZ118" s="420"/>
      <c r="FA118" s="420"/>
      <c r="FB118" s="420"/>
      <c r="FC118" s="420"/>
      <c r="FD118" s="420"/>
      <c r="FE118" s="420"/>
      <c r="FF118" s="420"/>
      <c r="FG118" s="420"/>
      <c r="FH118" s="420"/>
      <c r="FI118" s="420"/>
      <c r="FJ118" s="420"/>
      <c r="FK118" s="420"/>
      <c r="FL118" s="420"/>
      <c r="FM118" s="420"/>
      <c r="FN118" s="420"/>
      <c r="FO118" s="420"/>
      <c r="FP118" s="420"/>
      <c r="FQ118" s="420"/>
      <c r="FR118" s="420"/>
      <c r="FS118" s="420"/>
      <c r="FT118" s="420"/>
      <c r="FU118" s="420"/>
      <c r="FV118" s="420"/>
      <c r="FW118" s="420"/>
      <c r="FX118" s="420"/>
      <c r="FY118" s="420"/>
      <c r="FZ118" s="420"/>
      <c r="GA118" s="420"/>
      <c r="GB118" s="420"/>
      <c r="GC118" s="420"/>
      <c r="GD118" s="420"/>
      <c r="GE118" s="420"/>
      <c r="GF118" s="420"/>
      <c r="GG118" s="420"/>
      <c r="GH118" s="420"/>
      <c r="GI118" s="420"/>
      <c r="GJ118" s="420"/>
      <c r="GK118" s="420"/>
      <c r="GL118" s="420"/>
      <c r="GM118" s="420"/>
      <c r="GN118" s="420"/>
      <c r="GO118" s="420"/>
      <c r="GP118" s="420"/>
      <c r="GQ118" s="420"/>
      <c r="GR118" s="420"/>
      <c r="GS118" s="420"/>
      <c r="GT118" s="420"/>
      <c r="GU118" s="420"/>
      <c r="GV118" s="420"/>
      <c r="GW118" s="420"/>
      <c r="GX118" s="420"/>
      <c r="GY118" s="420"/>
      <c r="GZ118" s="420"/>
      <c r="HA118" s="420"/>
      <c r="HB118" s="420"/>
      <c r="HC118" s="420"/>
      <c r="HD118" s="420"/>
      <c r="HE118" s="420"/>
      <c r="HF118" s="420"/>
      <c r="HG118" s="420"/>
      <c r="HH118" s="420"/>
      <c r="HI118" s="420"/>
      <c r="HJ118" s="420"/>
      <c r="HK118" s="420"/>
      <c r="HL118" s="420"/>
      <c r="HM118" s="420"/>
      <c r="HN118" s="420"/>
      <c r="HO118" s="420"/>
      <c r="HP118" s="420"/>
      <c r="HQ118" s="420"/>
      <c r="HR118" s="420"/>
      <c r="HS118" s="420"/>
      <c r="HT118" s="420"/>
      <c r="HU118" s="420"/>
      <c r="HV118" s="420"/>
      <c r="HW118" s="420"/>
      <c r="HX118" s="420"/>
      <c r="HY118" s="420"/>
      <c r="HZ118" s="420"/>
      <c r="IA118" s="420"/>
      <c r="IB118" s="420"/>
      <c r="IC118" s="420"/>
      <c r="ID118" s="420"/>
      <c r="IE118" s="420"/>
      <c r="IF118" s="420"/>
      <c r="IG118" s="420"/>
      <c r="IH118" s="420"/>
      <c r="II118" s="420"/>
      <c r="IJ118" s="420"/>
      <c r="IK118" s="420"/>
      <c r="IL118" s="420"/>
      <c r="IM118" s="420"/>
      <c r="IN118" s="420"/>
      <c r="IO118" s="420"/>
      <c r="IP118" s="420"/>
      <c r="IQ118" s="420"/>
      <c r="IR118" s="420"/>
      <c r="IS118" s="420"/>
      <c r="IT118" s="420"/>
      <c r="IU118" s="420"/>
      <c r="IV118" s="420"/>
      <c r="IW118" s="420"/>
      <c r="IX118" s="420"/>
      <c r="IY118" s="420"/>
      <c r="IZ118" s="420"/>
      <c r="JA118" s="420"/>
      <c r="JB118" s="420"/>
    </row>
    <row r="119" spans="1:262" s="1001" customFormat="1" ht="22.5" customHeight="1" x14ac:dyDescent="0.35">
      <c r="A119" s="783">
        <v>109</v>
      </c>
      <c r="B119" s="993"/>
      <c r="C119" s="466"/>
      <c r="D119" s="771" t="s">
        <v>713</v>
      </c>
      <c r="E119" s="996"/>
      <c r="F119" s="997"/>
      <c r="G119" s="998"/>
      <c r="H119" s="1010"/>
      <c r="I119" s="1006"/>
      <c r="J119" s="999"/>
      <c r="K119" s="999"/>
      <c r="L119" s="999"/>
      <c r="M119" s="1023"/>
      <c r="N119" s="999"/>
      <c r="O119" s="999"/>
      <c r="P119" s="992"/>
      <c r="Q119" s="1000"/>
    </row>
    <row r="120" spans="1:262" s="768" customFormat="1" ht="18" customHeight="1" x14ac:dyDescent="0.35">
      <c r="A120" s="783">
        <v>110</v>
      </c>
      <c r="B120" s="776"/>
      <c r="C120" s="466"/>
      <c r="D120" s="1002" t="s">
        <v>311</v>
      </c>
      <c r="E120" s="432"/>
      <c r="F120" s="432"/>
      <c r="G120" s="433"/>
      <c r="H120" s="1009"/>
      <c r="I120" s="1007"/>
      <c r="J120" s="432"/>
      <c r="K120" s="432"/>
      <c r="L120" s="432"/>
      <c r="M120" s="999">
        <v>37000</v>
      </c>
      <c r="N120" s="432"/>
      <c r="O120" s="432"/>
      <c r="P120" s="992">
        <f>SUM(I120:O120)</f>
        <v>37000</v>
      </c>
      <c r="Q120" s="773"/>
      <c r="R120" s="420"/>
      <c r="S120" s="420"/>
      <c r="T120" s="420"/>
      <c r="U120" s="420"/>
      <c r="V120" s="420"/>
      <c r="W120" s="420"/>
      <c r="X120" s="420"/>
      <c r="Y120" s="420"/>
      <c r="Z120" s="420"/>
      <c r="AA120" s="420"/>
      <c r="AB120" s="420"/>
      <c r="AC120" s="420"/>
      <c r="AD120" s="420"/>
      <c r="AE120" s="420"/>
      <c r="AF120" s="420"/>
      <c r="AG120" s="420"/>
      <c r="AH120" s="420"/>
      <c r="AI120" s="420"/>
      <c r="AJ120" s="420"/>
      <c r="AK120" s="420"/>
      <c r="AL120" s="420"/>
      <c r="AM120" s="420"/>
      <c r="AN120" s="420"/>
      <c r="AO120" s="420"/>
      <c r="AP120" s="420"/>
      <c r="AQ120" s="420"/>
      <c r="AR120" s="420"/>
      <c r="AS120" s="420"/>
      <c r="AT120" s="420"/>
      <c r="AU120" s="420"/>
      <c r="AV120" s="420"/>
      <c r="AW120" s="420"/>
      <c r="AX120" s="420"/>
      <c r="AY120" s="420"/>
      <c r="AZ120" s="420"/>
      <c r="BA120" s="420"/>
      <c r="BB120" s="420"/>
      <c r="BC120" s="420"/>
      <c r="BD120" s="420"/>
      <c r="BE120" s="420"/>
      <c r="BF120" s="420"/>
      <c r="BG120" s="420"/>
      <c r="BH120" s="420"/>
      <c r="BI120" s="420"/>
      <c r="BJ120" s="420"/>
      <c r="BK120" s="420"/>
      <c r="BL120" s="420"/>
      <c r="BM120" s="420"/>
      <c r="BN120" s="420"/>
      <c r="BO120" s="420"/>
      <c r="BP120" s="420"/>
      <c r="BQ120" s="420"/>
      <c r="BR120" s="420"/>
      <c r="BS120" s="420"/>
      <c r="BT120" s="420"/>
      <c r="BU120" s="420"/>
      <c r="BV120" s="420"/>
      <c r="BW120" s="420"/>
      <c r="BX120" s="420"/>
      <c r="BY120" s="420"/>
      <c r="BZ120" s="420"/>
      <c r="CA120" s="420"/>
      <c r="CB120" s="420"/>
      <c r="CC120" s="420"/>
      <c r="CD120" s="420"/>
      <c r="CE120" s="420"/>
      <c r="CF120" s="420"/>
      <c r="CG120" s="420"/>
      <c r="CH120" s="420"/>
      <c r="CI120" s="420"/>
      <c r="CJ120" s="420"/>
      <c r="CK120" s="420"/>
      <c r="CL120" s="420"/>
      <c r="CM120" s="420"/>
      <c r="CN120" s="420"/>
      <c r="CO120" s="420"/>
      <c r="CP120" s="420"/>
      <c r="CQ120" s="420"/>
      <c r="CR120" s="420"/>
      <c r="CS120" s="420"/>
      <c r="CT120" s="420"/>
      <c r="CU120" s="420"/>
      <c r="CV120" s="420"/>
      <c r="CW120" s="420"/>
      <c r="CX120" s="420"/>
      <c r="CY120" s="420"/>
      <c r="CZ120" s="420"/>
      <c r="DA120" s="420"/>
      <c r="DB120" s="420"/>
      <c r="DC120" s="420"/>
      <c r="DD120" s="420"/>
      <c r="DE120" s="420"/>
      <c r="DF120" s="420"/>
      <c r="DG120" s="420"/>
      <c r="DH120" s="420"/>
      <c r="DI120" s="420"/>
      <c r="DJ120" s="420"/>
      <c r="DK120" s="420"/>
      <c r="DL120" s="420"/>
      <c r="DM120" s="420"/>
      <c r="DN120" s="420"/>
      <c r="DO120" s="420"/>
      <c r="DP120" s="420"/>
      <c r="DQ120" s="420"/>
      <c r="DR120" s="420"/>
      <c r="DS120" s="420"/>
      <c r="DT120" s="420"/>
      <c r="DU120" s="420"/>
      <c r="DV120" s="420"/>
      <c r="DW120" s="420"/>
      <c r="DX120" s="420"/>
      <c r="DY120" s="420"/>
      <c r="DZ120" s="420"/>
      <c r="EA120" s="420"/>
      <c r="EB120" s="420"/>
      <c r="EC120" s="420"/>
      <c r="ED120" s="420"/>
      <c r="EE120" s="420"/>
      <c r="EF120" s="420"/>
      <c r="EG120" s="420"/>
      <c r="EH120" s="420"/>
      <c r="EI120" s="420"/>
      <c r="EJ120" s="420"/>
      <c r="EK120" s="420"/>
      <c r="EL120" s="420"/>
      <c r="EM120" s="420"/>
      <c r="EN120" s="420"/>
      <c r="EO120" s="420"/>
      <c r="EP120" s="420"/>
      <c r="EQ120" s="420"/>
      <c r="ER120" s="420"/>
      <c r="ES120" s="420"/>
      <c r="ET120" s="420"/>
      <c r="EU120" s="420"/>
      <c r="EV120" s="420"/>
      <c r="EW120" s="420"/>
      <c r="EX120" s="420"/>
      <c r="EY120" s="420"/>
      <c r="EZ120" s="420"/>
      <c r="FA120" s="420"/>
      <c r="FB120" s="420"/>
      <c r="FC120" s="420"/>
      <c r="FD120" s="420"/>
      <c r="FE120" s="420"/>
      <c r="FF120" s="420"/>
      <c r="FG120" s="420"/>
      <c r="FH120" s="420"/>
      <c r="FI120" s="420"/>
      <c r="FJ120" s="420"/>
      <c r="FK120" s="420"/>
      <c r="FL120" s="420"/>
      <c r="FM120" s="420"/>
      <c r="FN120" s="420"/>
      <c r="FO120" s="420"/>
      <c r="FP120" s="420"/>
      <c r="FQ120" s="420"/>
      <c r="FR120" s="420"/>
      <c r="FS120" s="420"/>
      <c r="FT120" s="420"/>
      <c r="FU120" s="420"/>
      <c r="FV120" s="420"/>
      <c r="FW120" s="420"/>
      <c r="FX120" s="420"/>
      <c r="FY120" s="420"/>
      <c r="FZ120" s="420"/>
      <c r="GA120" s="420"/>
      <c r="GB120" s="420"/>
      <c r="GC120" s="420"/>
      <c r="GD120" s="420"/>
      <c r="GE120" s="420"/>
      <c r="GF120" s="420"/>
      <c r="GG120" s="420"/>
      <c r="GH120" s="420"/>
      <c r="GI120" s="420"/>
      <c r="GJ120" s="420"/>
      <c r="GK120" s="420"/>
      <c r="GL120" s="420"/>
      <c r="GM120" s="420"/>
      <c r="GN120" s="420"/>
      <c r="GO120" s="420"/>
      <c r="GP120" s="420"/>
      <c r="GQ120" s="420"/>
      <c r="GR120" s="420"/>
      <c r="GS120" s="420"/>
      <c r="GT120" s="420"/>
      <c r="GU120" s="420"/>
      <c r="GV120" s="420"/>
      <c r="GW120" s="420"/>
      <c r="GX120" s="420"/>
      <c r="GY120" s="420"/>
      <c r="GZ120" s="420"/>
      <c r="HA120" s="420"/>
      <c r="HB120" s="420"/>
      <c r="HC120" s="420"/>
      <c r="HD120" s="420"/>
      <c r="HE120" s="420"/>
      <c r="HF120" s="420"/>
      <c r="HG120" s="420"/>
      <c r="HH120" s="420"/>
      <c r="HI120" s="420"/>
      <c r="HJ120" s="420"/>
      <c r="HK120" s="420"/>
      <c r="HL120" s="420"/>
      <c r="HM120" s="420"/>
      <c r="HN120" s="420"/>
      <c r="HO120" s="420"/>
      <c r="HP120" s="420"/>
      <c r="HQ120" s="420"/>
      <c r="HR120" s="420"/>
      <c r="HS120" s="420"/>
      <c r="HT120" s="420"/>
      <c r="HU120" s="420"/>
      <c r="HV120" s="420"/>
      <c r="HW120" s="420"/>
      <c r="HX120" s="420"/>
      <c r="HY120" s="420"/>
      <c r="HZ120" s="420"/>
      <c r="IA120" s="420"/>
      <c r="IB120" s="420"/>
      <c r="IC120" s="420"/>
      <c r="ID120" s="420"/>
      <c r="IE120" s="420"/>
      <c r="IF120" s="420"/>
      <c r="IG120" s="420"/>
      <c r="IH120" s="420"/>
      <c r="II120" s="420"/>
      <c r="IJ120" s="420"/>
      <c r="IK120" s="420"/>
      <c r="IL120" s="420"/>
      <c r="IM120" s="420"/>
      <c r="IN120" s="420"/>
      <c r="IO120" s="420"/>
      <c r="IP120" s="420"/>
      <c r="IQ120" s="420"/>
      <c r="IR120" s="420"/>
      <c r="IS120" s="420"/>
      <c r="IT120" s="420"/>
      <c r="IU120" s="420"/>
      <c r="IV120" s="420"/>
      <c r="IW120" s="420"/>
      <c r="IX120" s="420"/>
      <c r="IY120" s="420"/>
      <c r="IZ120" s="420"/>
      <c r="JA120" s="420"/>
      <c r="JB120" s="420"/>
    </row>
    <row r="121" spans="1:262" s="768" customFormat="1" ht="18" customHeight="1" x14ac:dyDescent="0.35">
      <c r="A121" s="783">
        <v>111</v>
      </c>
      <c r="B121" s="776"/>
      <c r="C121" s="466"/>
      <c r="D121" s="583" t="s">
        <v>1072</v>
      </c>
      <c r="E121" s="432"/>
      <c r="F121" s="432"/>
      <c r="G121" s="433"/>
      <c r="H121" s="1009"/>
      <c r="I121" s="1007"/>
      <c r="J121" s="432"/>
      <c r="K121" s="432"/>
      <c r="L121" s="432"/>
      <c r="M121" s="1548">
        <v>0</v>
      </c>
      <c r="N121" s="1869"/>
      <c r="O121" s="1869"/>
      <c r="P121" s="777">
        <f>SUM(I121:O121)</f>
        <v>0</v>
      </c>
      <c r="Q121" s="773"/>
      <c r="R121" s="420"/>
      <c r="S121" s="420"/>
      <c r="T121" s="420"/>
      <c r="U121" s="420"/>
      <c r="V121" s="420"/>
      <c r="W121" s="420"/>
      <c r="X121" s="420"/>
      <c r="Y121" s="420"/>
      <c r="Z121" s="420"/>
      <c r="AA121" s="420"/>
      <c r="AB121" s="420"/>
      <c r="AC121" s="420"/>
      <c r="AD121" s="420"/>
      <c r="AE121" s="420"/>
      <c r="AF121" s="420"/>
      <c r="AG121" s="420"/>
      <c r="AH121" s="420"/>
      <c r="AI121" s="420"/>
      <c r="AJ121" s="420"/>
      <c r="AK121" s="420"/>
      <c r="AL121" s="420"/>
      <c r="AM121" s="420"/>
      <c r="AN121" s="420"/>
      <c r="AO121" s="420"/>
      <c r="AP121" s="420"/>
      <c r="AQ121" s="420"/>
      <c r="AR121" s="420"/>
      <c r="AS121" s="420"/>
      <c r="AT121" s="420"/>
      <c r="AU121" s="420"/>
      <c r="AV121" s="420"/>
      <c r="AW121" s="420"/>
      <c r="AX121" s="420"/>
      <c r="AY121" s="420"/>
      <c r="AZ121" s="420"/>
      <c r="BA121" s="420"/>
      <c r="BB121" s="420"/>
      <c r="BC121" s="420"/>
      <c r="BD121" s="420"/>
      <c r="BE121" s="420"/>
      <c r="BF121" s="420"/>
      <c r="BG121" s="420"/>
      <c r="BH121" s="420"/>
      <c r="BI121" s="420"/>
      <c r="BJ121" s="420"/>
      <c r="BK121" s="420"/>
      <c r="BL121" s="420"/>
      <c r="BM121" s="420"/>
      <c r="BN121" s="420"/>
      <c r="BO121" s="420"/>
      <c r="BP121" s="420"/>
      <c r="BQ121" s="420"/>
      <c r="BR121" s="420"/>
      <c r="BS121" s="420"/>
      <c r="BT121" s="420"/>
      <c r="BU121" s="420"/>
      <c r="BV121" s="420"/>
      <c r="BW121" s="420"/>
      <c r="BX121" s="420"/>
      <c r="BY121" s="420"/>
      <c r="BZ121" s="420"/>
      <c r="CA121" s="420"/>
      <c r="CB121" s="420"/>
      <c r="CC121" s="420"/>
      <c r="CD121" s="420"/>
      <c r="CE121" s="420"/>
      <c r="CF121" s="420"/>
      <c r="CG121" s="420"/>
      <c r="CH121" s="420"/>
      <c r="CI121" s="420"/>
      <c r="CJ121" s="420"/>
      <c r="CK121" s="420"/>
      <c r="CL121" s="420"/>
      <c r="CM121" s="420"/>
      <c r="CN121" s="420"/>
      <c r="CO121" s="420"/>
      <c r="CP121" s="420"/>
      <c r="CQ121" s="420"/>
      <c r="CR121" s="420"/>
      <c r="CS121" s="420"/>
      <c r="CT121" s="420"/>
      <c r="CU121" s="420"/>
      <c r="CV121" s="420"/>
      <c r="CW121" s="420"/>
      <c r="CX121" s="420"/>
      <c r="CY121" s="420"/>
      <c r="CZ121" s="420"/>
      <c r="DA121" s="420"/>
      <c r="DB121" s="420"/>
      <c r="DC121" s="420"/>
      <c r="DD121" s="420"/>
      <c r="DE121" s="420"/>
      <c r="DF121" s="420"/>
      <c r="DG121" s="420"/>
      <c r="DH121" s="420"/>
      <c r="DI121" s="420"/>
      <c r="DJ121" s="420"/>
      <c r="DK121" s="420"/>
      <c r="DL121" s="420"/>
      <c r="DM121" s="420"/>
      <c r="DN121" s="420"/>
      <c r="DO121" s="420"/>
      <c r="DP121" s="420"/>
      <c r="DQ121" s="420"/>
      <c r="DR121" s="420"/>
      <c r="DS121" s="420"/>
      <c r="DT121" s="420"/>
      <c r="DU121" s="420"/>
      <c r="DV121" s="420"/>
      <c r="DW121" s="420"/>
      <c r="DX121" s="420"/>
      <c r="DY121" s="420"/>
      <c r="DZ121" s="420"/>
      <c r="EA121" s="420"/>
      <c r="EB121" s="420"/>
      <c r="EC121" s="420"/>
      <c r="ED121" s="420"/>
      <c r="EE121" s="420"/>
      <c r="EF121" s="420"/>
      <c r="EG121" s="420"/>
      <c r="EH121" s="420"/>
      <c r="EI121" s="420"/>
      <c r="EJ121" s="420"/>
      <c r="EK121" s="420"/>
      <c r="EL121" s="420"/>
      <c r="EM121" s="420"/>
      <c r="EN121" s="420"/>
      <c r="EO121" s="420"/>
      <c r="EP121" s="420"/>
      <c r="EQ121" s="420"/>
      <c r="ER121" s="420"/>
      <c r="ES121" s="420"/>
      <c r="ET121" s="420"/>
      <c r="EU121" s="420"/>
      <c r="EV121" s="420"/>
      <c r="EW121" s="420"/>
      <c r="EX121" s="420"/>
      <c r="EY121" s="420"/>
      <c r="EZ121" s="420"/>
      <c r="FA121" s="420"/>
      <c r="FB121" s="420"/>
      <c r="FC121" s="420"/>
      <c r="FD121" s="420"/>
      <c r="FE121" s="420"/>
      <c r="FF121" s="420"/>
      <c r="FG121" s="420"/>
      <c r="FH121" s="420"/>
      <c r="FI121" s="420"/>
      <c r="FJ121" s="420"/>
      <c r="FK121" s="420"/>
      <c r="FL121" s="420"/>
      <c r="FM121" s="420"/>
      <c r="FN121" s="420"/>
      <c r="FO121" s="420"/>
      <c r="FP121" s="420"/>
      <c r="FQ121" s="420"/>
      <c r="FR121" s="420"/>
      <c r="FS121" s="420"/>
      <c r="FT121" s="420"/>
      <c r="FU121" s="420"/>
      <c r="FV121" s="420"/>
      <c r="FW121" s="420"/>
      <c r="FX121" s="420"/>
      <c r="FY121" s="420"/>
      <c r="FZ121" s="420"/>
      <c r="GA121" s="420"/>
      <c r="GB121" s="420"/>
      <c r="GC121" s="420"/>
      <c r="GD121" s="420"/>
      <c r="GE121" s="420"/>
      <c r="GF121" s="420"/>
      <c r="GG121" s="420"/>
      <c r="GH121" s="420"/>
      <c r="GI121" s="420"/>
      <c r="GJ121" s="420"/>
      <c r="GK121" s="420"/>
      <c r="GL121" s="420"/>
      <c r="GM121" s="420"/>
      <c r="GN121" s="420"/>
      <c r="GO121" s="420"/>
      <c r="GP121" s="420"/>
      <c r="GQ121" s="420"/>
      <c r="GR121" s="420"/>
      <c r="GS121" s="420"/>
      <c r="GT121" s="420"/>
      <c r="GU121" s="420"/>
      <c r="GV121" s="420"/>
      <c r="GW121" s="420"/>
      <c r="GX121" s="420"/>
      <c r="GY121" s="420"/>
      <c r="GZ121" s="420"/>
      <c r="HA121" s="420"/>
      <c r="HB121" s="420"/>
      <c r="HC121" s="420"/>
      <c r="HD121" s="420"/>
      <c r="HE121" s="420"/>
      <c r="HF121" s="420"/>
      <c r="HG121" s="420"/>
      <c r="HH121" s="420"/>
      <c r="HI121" s="420"/>
      <c r="HJ121" s="420"/>
      <c r="HK121" s="420"/>
      <c r="HL121" s="420"/>
      <c r="HM121" s="420"/>
      <c r="HN121" s="420"/>
      <c r="HO121" s="420"/>
      <c r="HP121" s="420"/>
      <c r="HQ121" s="420"/>
      <c r="HR121" s="420"/>
      <c r="HS121" s="420"/>
      <c r="HT121" s="420"/>
      <c r="HU121" s="420"/>
      <c r="HV121" s="420"/>
      <c r="HW121" s="420"/>
      <c r="HX121" s="420"/>
      <c r="HY121" s="420"/>
      <c r="HZ121" s="420"/>
      <c r="IA121" s="420"/>
      <c r="IB121" s="420"/>
      <c r="IC121" s="420"/>
      <c r="ID121" s="420"/>
      <c r="IE121" s="420"/>
      <c r="IF121" s="420"/>
      <c r="IG121" s="420"/>
      <c r="IH121" s="420"/>
      <c r="II121" s="420"/>
      <c r="IJ121" s="420"/>
      <c r="IK121" s="420"/>
      <c r="IL121" s="420"/>
      <c r="IM121" s="420"/>
      <c r="IN121" s="420"/>
      <c r="IO121" s="420"/>
      <c r="IP121" s="420"/>
      <c r="IQ121" s="420"/>
      <c r="IR121" s="420"/>
      <c r="IS121" s="420"/>
      <c r="IT121" s="420"/>
      <c r="IU121" s="420"/>
      <c r="IV121" s="420"/>
      <c r="IW121" s="420"/>
      <c r="IX121" s="420"/>
      <c r="IY121" s="420"/>
      <c r="IZ121" s="420"/>
      <c r="JA121" s="420"/>
      <c r="JB121" s="420"/>
    </row>
    <row r="122" spans="1:262" s="768" customFormat="1" ht="18" customHeight="1" x14ac:dyDescent="0.35">
      <c r="A122" s="783">
        <v>112</v>
      </c>
      <c r="B122" s="776"/>
      <c r="C122" s="466"/>
      <c r="D122" s="1338" t="s">
        <v>963</v>
      </c>
      <c r="E122" s="432"/>
      <c r="F122" s="432"/>
      <c r="G122" s="433"/>
      <c r="H122" s="1009"/>
      <c r="I122" s="1007"/>
      <c r="J122" s="432"/>
      <c r="K122" s="432"/>
      <c r="L122" s="432"/>
      <c r="M122" s="769"/>
      <c r="N122" s="432"/>
      <c r="O122" s="432"/>
      <c r="P122" s="777">
        <f t="shared" ref="P122:P123" si="10">SUM(I122:O122)</f>
        <v>0</v>
      </c>
      <c r="Q122" s="773"/>
      <c r="R122" s="420"/>
      <c r="S122" s="420"/>
      <c r="T122" s="420"/>
      <c r="U122" s="420"/>
      <c r="V122" s="420"/>
      <c r="W122" s="420"/>
      <c r="X122" s="420"/>
      <c r="Y122" s="420"/>
      <c r="Z122" s="420"/>
      <c r="AA122" s="420"/>
      <c r="AB122" s="420"/>
      <c r="AC122" s="420"/>
      <c r="AD122" s="420"/>
      <c r="AE122" s="420"/>
      <c r="AF122" s="420"/>
      <c r="AG122" s="420"/>
      <c r="AH122" s="420"/>
      <c r="AI122" s="420"/>
      <c r="AJ122" s="420"/>
      <c r="AK122" s="420"/>
      <c r="AL122" s="420"/>
      <c r="AM122" s="420"/>
      <c r="AN122" s="420"/>
      <c r="AO122" s="420"/>
      <c r="AP122" s="420"/>
      <c r="AQ122" s="420"/>
      <c r="AR122" s="420"/>
      <c r="AS122" s="420"/>
      <c r="AT122" s="420"/>
      <c r="AU122" s="420"/>
      <c r="AV122" s="420"/>
      <c r="AW122" s="420"/>
      <c r="AX122" s="420"/>
      <c r="AY122" s="420"/>
      <c r="AZ122" s="420"/>
      <c r="BA122" s="420"/>
      <c r="BB122" s="420"/>
      <c r="BC122" s="420"/>
      <c r="BD122" s="420"/>
      <c r="BE122" s="420"/>
      <c r="BF122" s="420"/>
      <c r="BG122" s="420"/>
      <c r="BH122" s="420"/>
      <c r="BI122" s="420"/>
      <c r="BJ122" s="420"/>
      <c r="BK122" s="420"/>
      <c r="BL122" s="420"/>
      <c r="BM122" s="420"/>
      <c r="BN122" s="420"/>
      <c r="BO122" s="420"/>
      <c r="BP122" s="420"/>
      <c r="BQ122" s="420"/>
      <c r="BR122" s="420"/>
      <c r="BS122" s="420"/>
      <c r="BT122" s="420"/>
      <c r="BU122" s="420"/>
      <c r="BV122" s="420"/>
      <c r="BW122" s="420"/>
      <c r="BX122" s="420"/>
      <c r="BY122" s="420"/>
      <c r="BZ122" s="420"/>
      <c r="CA122" s="420"/>
      <c r="CB122" s="420"/>
      <c r="CC122" s="420"/>
      <c r="CD122" s="420"/>
      <c r="CE122" s="420"/>
      <c r="CF122" s="420"/>
      <c r="CG122" s="420"/>
      <c r="CH122" s="420"/>
      <c r="CI122" s="420"/>
      <c r="CJ122" s="420"/>
      <c r="CK122" s="420"/>
      <c r="CL122" s="420"/>
      <c r="CM122" s="420"/>
      <c r="CN122" s="420"/>
      <c r="CO122" s="420"/>
      <c r="CP122" s="420"/>
      <c r="CQ122" s="420"/>
      <c r="CR122" s="420"/>
      <c r="CS122" s="420"/>
      <c r="CT122" s="420"/>
      <c r="CU122" s="420"/>
      <c r="CV122" s="420"/>
      <c r="CW122" s="420"/>
      <c r="CX122" s="420"/>
      <c r="CY122" s="420"/>
      <c r="CZ122" s="420"/>
      <c r="DA122" s="420"/>
      <c r="DB122" s="420"/>
      <c r="DC122" s="420"/>
      <c r="DD122" s="420"/>
      <c r="DE122" s="420"/>
      <c r="DF122" s="420"/>
      <c r="DG122" s="420"/>
      <c r="DH122" s="420"/>
      <c r="DI122" s="420"/>
      <c r="DJ122" s="420"/>
      <c r="DK122" s="420"/>
      <c r="DL122" s="420"/>
      <c r="DM122" s="420"/>
      <c r="DN122" s="420"/>
      <c r="DO122" s="420"/>
      <c r="DP122" s="420"/>
      <c r="DQ122" s="420"/>
      <c r="DR122" s="420"/>
      <c r="DS122" s="420"/>
      <c r="DT122" s="420"/>
      <c r="DU122" s="420"/>
      <c r="DV122" s="420"/>
      <c r="DW122" s="420"/>
      <c r="DX122" s="420"/>
      <c r="DY122" s="420"/>
      <c r="DZ122" s="420"/>
      <c r="EA122" s="420"/>
      <c r="EB122" s="420"/>
      <c r="EC122" s="420"/>
      <c r="ED122" s="420"/>
      <c r="EE122" s="420"/>
      <c r="EF122" s="420"/>
      <c r="EG122" s="420"/>
      <c r="EH122" s="420"/>
      <c r="EI122" s="420"/>
      <c r="EJ122" s="420"/>
      <c r="EK122" s="420"/>
      <c r="EL122" s="420"/>
      <c r="EM122" s="420"/>
      <c r="EN122" s="420"/>
      <c r="EO122" s="420"/>
      <c r="EP122" s="420"/>
      <c r="EQ122" s="420"/>
      <c r="ER122" s="420"/>
      <c r="ES122" s="420"/>
      <c r="ET122" s="420"/>
      <c r="EU122" s="420"/>
      <c r="EV122" s="420"/>
      <c r="EW122" s="420"/>
      <c r="EX122" s="420"/>
      <c r="EY122" s="420"/>
      <c r="EZ122" s="420"/>
      <c r="FA122" s="420"/>
      <c r="FB122" s="420"/>
      <c r="FC122" s="420"/>
      <c r="FD122" s="420"/>
      <c r="FE122" s="420"/>
      <c r="FF122" s="420"/>
      <c r="FG122" s="420"/>
      <c r="FH122" s="420"/>
      <c r="FI122" s="420"/>
      <c r="FJ122" s="420"/>
      <c r="FK122" s="420"/>
      <c r="FL122" s="420"/>
      <c r="FM122" s="420"/>
      <c r="FN122" s="420"/>
      <c r="FO122" s="420"/>
      <c r="FP122" s="420"/>
      <c r="FQ122" s="420"/>
      <c r="FR122" s="420"/>
      <c r="FS122" s="420"/>
      <c r="FT122" s="420"/>
      <c r="FU122" s="420"/>
      <c r="FV122" s="420"/>
      <c r="FW122" s="420"/>
      <c r="FX122" s="420"/>
      <c r="FY122" s="420"/>
      <c r="FZ122" s="420"/>
      <c r="GA122" s="420"/>
      <c r="GB122" s="420"/>
      <c r="GC122" s="420"/>
      <c r="GD122" s="420"/>
      <c r="GE122" s="420"/>
      <c r="GF122" s="420"/>
      <c r="GG122" s="420"/>
      <c r="GH122" s="420"/>
      <c r="GI122" s="420"/>
      <c r="GJ122" s="420"/>
      <c r="GK122" s="420"/>
      <c r="GL122" s="420"/>
      <c r="GM122" s="420"/>
      <c r="GN122" s="420"/>
      <c r="GO122" s="420"/>
      <c r="GP122" s="420"/>
      <c r="GQ122" s="420"/>
      <c r="GR122" s="420"/>
      <c r="GS122" s="420"/>
      <c r="GT122" s="420"/>
      <c r="GU122" s="420"/>
      <c r="GV122" s="420"/>
      <c r="GW122" s="420"/>
      <c r="GX122" s="420"/>
      <c r="GY122" s="420"/>
      <c r="GZ122" s="420"/>
      <c r="HA122" s="420"/>
      <c r="HB122" s="420"/>
      <c r="HC122" s="420"/>
      <c r="HD122" s="420"/>
      <c r="HE122" s="420"/>
      <c r="HF122" s="420"/>
      <c r="HG122" s="420"/>
      <c r="HH122" s="420"/>
      <c r="HI122" s="420"/>
      <c r="HJ122" s="420"/>
      <c r="HK122" s="420"/>
      <c r="HL122" s="420"/>
      <c r="HM122" s="420"/>
      <c r="HN122" s="420"/>
      <c r="HO122" s="420"/>
      <c r="HP122" s="420"/>
      <c r="HQ122" s="420"/>
      <c r="HR122" s="420"/>
      <c r="HS122" s="420"/>
      <c r="HT122" s="420"/>
      <c r="HU122" s="420"/>
      <c r="HV122" s="420"/>
      <c r="HW122" s="420"/>
      <c r="HX122" s="420"/>
      <c r="HY122" s="420"/>
      <c r="HZ122" s="420"/>
      <c r="IA122" s="420"/>
      <c r="IB122" s="420"/>
      <c r="IC122" s="420"/>
      <c r="ID122" s="420"/>
      <c r="IE122" s="420"/>
      <c r="IF122" s="420"/>
      <c r="IG122" s="420"/>
      <c r="IH122" s="420"/>
      <c r="II122" s="420"/>
      <c r="IJ122" s="420"/>
      <c r="IK122" s="420"/>
      <c r="IL122" s="420"/>
      <c r="IM122" s="420"/>
      <c r="IN122" s="420"/>
      <c r="IO122" s="420"/>
      <c r="IP122" s="420"/>
      <c r="IQ122" s="420"/>
      <c r="IR122" s="420"/>
      <c r="IS122" s="420"/>
      <c r="IT122" s="420"/>
      <c r="IU122" s="420"/>
      <c r="IV122" s="420"/>
      <c r="IW122" s="420"/>
      <c r="IX122" s="420"/>
      <c r="IY122" s="420"/>
      <c r="IZ122" s="420"/>
      <c r="JA122" s="420"/>
      <c r="JB122" s="420"/>
    </row>
    <row r="123" spans="1:262" s="768" customFormat="1" ht="18" customHeight="1" x14ac:dyDescent="0.35">
      <c r="A123" s="783">
        <v>113</v>
      </c>
      <c r="B123" s="776"/>
      <c r="C123" s="466"/>
      <c r="D123" s="583" t="s">
        <v>1151</v>
      </c>
      <c r="E123" s="432"/>
      <c r="F123" s="432"/>
      <c r="G123" s="433"/>
      <c r="H123" s="1009"/>
      <c r="I123" s="1007"/>
      <c r="J123" s="432"/>
      <c r="K123" s="432"/>
      <c r="L123" s="432"/>
      <c r="M123" s="1548">
        <f>SUM(M121:M122)</f>
        <v>0</v>
      </c>
      <c r="N123" s="432"/>
      <c r="O123" s="432"/>
      <c r="P123" s="777">
        <f t="shared" si="10"/>
        <v>0</v>
      </c>
      <c r="Q123" s="773"/>
      <c r="R123" s="420"/>
      <c r="S123" s="420"/>
      <c r="T123" s="420"/>
      <c r="U123" s="420"/>
      <c r="V123" s="420"/>
      <c r="W123" s="420"/>
      <c r="X123" s="420"/>
      <c r="Y123" s="420"/>
      <c r="Z123" s="420"/>
      <c r="AA123" s="420"/>
      <c r="AB123" s="420"/>
      <c r="AC123" s="420"/>
      <c r="AD123" s="420"/>
      <c r="AE123" s="420"/>
      <c r="AF123" s="420"/>
      <c r="AG123" s="420"/>
      <c r="AH123" s="420"/>
      <c r="AI123" s="420"/>
      <c r="AJ123" s="420"/>
      <c r="AK123" s="420"/>
      <c r="AL123" s="420"/>
      <c r="AM123" s="420"/>
      <c r="AN123" s="420"/>
      <c r="AO123" s="420"/>
      <c r="AP123" s="420"/>
      <c r="AQ123" s="420"/>
      <c r="AR123" s="420"/>
      <c r="AS123" s="420"/>
      <c r="AT123" s="420"/>
      <c r="AU123" s="420"/>
      <c r="AV123" s="420"/>
      <c r="AW123" s="420"/>
      <c r="AX123" s="420"/>
      <c r="AY123" s="420"/>
      <c r="AZ123" s="420"/>
      <c r="BA123" s="420"/>
      <c r="BB123" s="420"/>
      <c r="BC123" s="420"/>
      <c r="BD123" s="420"/>
      <c r="BE123" s="420"/>
      <c r="BF123" s="420"/>
      <c r="BG123" s="420"/>
      <c r="BH123" s="420"/>
      <c r="BI123" s="420"/>
      <c r="BJ123" s="420"/>
      <c r="BK123" s="420"/>
      <c r="BL123" s="420"/>
      <c r="BM123" s="420"/>
      <c r="BN123" s="420"/>
      <c r="BO123" s="420"/>
      <c r="BP123" s="420"/>
      <c r="BQ123" s="420"/>
      <c r="BR123" s="420"/>
      <c r="BS123" s="420"/>
      <c r="BT123" s="420"/>
      <c r="BU123" s="420"/>
      <c r="BV123" s="420"/>
      <c r="BW123" s="420"/>
      <c r="BX123" s="420"/>
      <c r="BY123" s="420"/>
      <c r="BZ123" s="420"/>
      <c r="CA123" s="420"/>
      <c r="CB123" s="420"/>
      <c r="CC123" s="420"/>
      <c r="CD123" s="420"/>
      <c r="CE123" s="420"/>
      <c r="CF123" s="420"/>
      <c r="CG123" s="420"/>
      <c r="CH123" s="420"/>
      <c r="CI123" s="420"/>
      <c r="CJ123" s="420"/>
      <c r="CK123" s="420"/>
      <c r="CL123" s="420"/>
      <c r="CM123" s="420"/>
      <c r="CN123" s="420"/>
      <c r="CO123" s="420"/>
      <c r="CP123" s="420"/>
      <c r="CQ123" s="420"/>
      <c r="CR123" s="420"/>
      <c r="CS123" s="420"/>
      <c r="CT123" s="420"/>
      <c r="CU123" s="420"/>
      <c r="CV123" s="420"/>
      <c r="CW123" s="420"/>
      <c r="CX123" s="420"/>
      <c r="CY123" s="420"/>
      <c r="CZ123" s="420"/>
      <c r="DA123" s="420"/>
      <c r="DB123" s="420"/>
      <c r="DC123" s="420"/>
      <c r="DD123" s="420"/>
      <c r="DE123" s="420"/>
      <c r="DF123" s="420"/>
      <c r="DG123" s="420"/>
      <c r="DH123" s="420"/>
      <c r="DI123" s="420"/>
      <c r="DJ123" s="420"/>
      <c r="DK123" s="420"/>
      <c r="DL123" s="420"/>
      <c r="DM123" s="420"/>
      <c r="DN123" s="420"/>
      <c r="DO123" s="420"/>
      <c r="DP123" s="420"/>
      <c r="DQ123" s="420"/>
      <c r="DR123" s="420"/>
      <c r="DS123" s="420"/>
      <c r="DT123" s="420"/>
      <c r="DU123" s="420"/>
      <c r="DV123" s="420"/>
      <c r="DW123" s="420"/>
      <c r="DX123" s="420"/>
      <c r="DY123" s="420"/>
      <c r="DZ123" s="420"/>
      <c r="EA123" s="420"/>
      <c r="EB123" s="420"/>
      <c r="EC123" s="420"/>
      <c r="ED123" s="420"/>
      <c r="EE123" s="420"/>
      <c r="EF123" s="420"/>
      <c r="EG123" s="420"/>
      <c r="EH123" s="420"/>
      <c r="EI123" s="420"/>
      <c r="EJ123" s="420"/>
      <c r="EK123" s="420"/>
      <c r="EL123" s="420"/>
      <c r="EM123" s="420"/>
      <c r="EN123" s="420"/>
      <c r="EO123" s="420"/>
      <c r="EP123" s="420"/>
      <c r="EQ123" s="420"/>
      <c r="ER123" s="420"/>
      <c r="ES123" s="420"/>
      <c r="ET123" s="420"/>
      <c r="EU123" s="420"/>
      <c r="EV123" s="420"/>
      <c r="EW123" s="420"/>
      <c r="EX123" s="420"/>
      <c r="EY123" s="420"/>
      <c r="EZ123" s="420"/>
      <c r="FA123" s="420"/>
      <c r="FB123" s="420"/>
      <c r="FC123" s="420"/>
      <c r="FD123" s="420"/>
      <c r="FE123" s="420"/>
      <c r="FF123" s="420"/>
      <c r="FG123" s="420"/>
      <c r="FH123" s="420"/>
      <c r="FI123" s="420"/>
      <c r="FJ123" s="420"/>
      <c r="FK123" s="420"/>
      <c r="FL123" s="420"/>
      <c r="FM123" s="420"/>
      <c r="FN123" s="420"/>
      <c r="FO123" s="420"/>
      <c r="FP123" s="420"/>
      <c r="FQ123" s="420"/>
      <c r="FR123" s="420"/>
      <c r="FS123" s="420"/>
      <c r="FT123" s="420"/>
      <c r="FU123" s="420"/>
      <c r="FV123" s="420"/>
      <c r="FW123" s="420"/>
      <c r="FX123" s="420"/>
      <c r="FY123" s="420"/>
      <c r="FZ123" s="420"/>
      <c r="GA123" s="420"/>
      <c r="GB123" s="420"/>
      <c r="GC123" s="420"/>
      <c r="GD123" s="420"/>
      <c r="GE123" s="420"/>
      <c r="GF123" s="420"/>
      <c r="GG123" s="420"/>
      <c r="GH123" s="420"/>
      <c r="GI123" s="420"/>
      <c r="GJ123" s="420"/>
      <c r="GK123" s="420"/>
      <c r="GL123" s="420"/>
      <c r="GM123" s="420"/>
      <c r="GN123" s="420"/>
      <c r="GO123" s="420"/>
      <c r="GP123" s="420"/>
      <c r="GQ123" s="420"/>
      <c r="GR123" s="420"/>
      <c r="GS123" s="420"/>
      <c r="GT123" s="420"/>
      <c r="GU123" s="420"/>
      <c r="GV123" s="420"/>
      <c r="GW123" s="420"/>
      <c r="GX123" s="420"/>
      <c r="GY123" s="420"/>
      <c r="GZ123" s="420"/>
      <c r="HA123" s="420"/>
      <c r="HB123" s="420"/>
      <c r="HC123" s="420"/>
      <c r="HD123" s="420"/>
      <c r="HE123" s="420"/>
      <c r="HF123" s="420"/>
      <c r="HG123" s="420"/>
      <c r="HH123" s="420"/>
      <c r="HI123" s="420"/>
      <c r="HJ123" s="420"/>
      <c r="HK123" s="420"/>
      <c r="HL123" s="420"/>
      <c r="HM123" s="420"/>
      <c r="HN123" s="420"/>
      <c r="HO123" s="420"/>
      <c r="HP123" s="420"/>
      <c r="HQ123" s="420"/>
      <c r="HR123" s="420"/>
      <c r="HS123" s="420"/>
      <c r="HT123" s="420"/>
      <c r="HU123" s="420"/>
      <c r="HV123" s="420"/>
      <c r="HW123" s="420"/>
      <c r="HX123" s="420"/>
      <c r="HY123" s="420"/>
      <c r="HZ123" s="420"/>
      <c r="IA123" s="420"/>
      <c r="IB123" s="420"/>
      <c r="IC123" s="420"/>
      <c r="ID123" s="420"/>
      <c r="IE123" s="420"/>
      <c r="IF123" s="420"/>
      <c r="IG123" s="420"/>
      <c r="IH123" s="420"/>
      <c r="II123" s="420"/>
      <c r="IJ123" s="420"/>
      <c r="IK123" s="420"/>
      <c r="IL123" s="420"/>
      <c r="IM123" s="420"/>
      <c r="IN123" s="420"/>
      <c r="IO123" s="420"/>
      <c r="IP123" s="420"/>
      <c r="IQ123" s="420"/>
      <c r="IR123" s="420"/>
      <c r="IS123" s="420"/>
      <c r="IT123" s="420"/>
      <c r="IU123" s="420"/>
      <c r="IV123" s="420"/>
      <c r="IW123" s="420"/>
      <c r="IX123" s="420"/>
      <c r="IY123" s="420"/>
      <c r="IZ123" s="420"/>
      <c r="JA123" s="420"/>
      <c r="JB123" s="420"/>
    </row>
    <row r="124" spans="1:262" ht="22.5" customHeight="1" x14ac:dyDescent="0.35">
      <c r="A124" s="783">
        <v>114</v>
      </c>
      <c r="B124" s="625"/>
      <c r="C124" s="466"/>
      <c r="D124" s="771" t="s">
        <v>706</v>
      </c>
      <c r="E124" s="432"/>
      <c r="F124" s="432"/>
      <c r="G124" s="433"/>
      <c r="H124" s="1009"/>
      <c r="I124" s="1007"/>
      <c r="J124" s="432"/>
      <c r="K124" s="432"/>
      <c r="L124" s="432"/>
      <c r="M124" s="432"/>
      <c r="N124" s="432"/>
      <c r="O124" s="432"/>
      <c r="P124" s="782"/>
      <c r="Q124" s="773"/>
    </row>
    <row r="125" spans="1:262" s="768" customFormat="1" ht="18" customHeight="1" x14ac:dyDescent="0.35">
      <c r="A125" s="783">
        <v>115</v>
      </c>
      <c r="B125" s="776"/>
      <c r="C125" s="466"/>
      <c r="D125" s="1002" t="s">
        <v>311</v>
      </c>
      <c r="E125" s="432"/>
      <c r="F125" s="772"/>
      <c r="G125" s="433"/>
      <c r="H125" s="1009"/>
      <c r="I125" s="1005"/>
      <c r="J125" s="769"/>
      <c r="K125" s="769"/>
      <c r="L125" s="769"/>
      <c r="M125" s="999">
        <v>10000</v>
      </c>
      <c r="N125" s="769"/>
      <c r="O125" s="769"/>
      <c r="P125" s="992">
        <f>SUM(I125:O125)</f>
        <v>10000</v>
      </c>
      <c r="Q125" s="773"/>
      <c r="R125" s="420"/>
      <c r="S125" s="420"/>
      <c r="T125" s="420"/>
      <c r="U125" s="420"/>
      <c r="V125" s="420"/>
      <c r="W125" s="420"/>
      <c r="X125" s="420"/>
      <c r="Y125" s="420"/>
      <c r="Z125" s="420"/>
      <c r="AA125" s="420"/>
      <c r="AB125" s="420"/>
      <c r="AC125" s="420"/>
      <c r="AD125" s="420"/>
      <c r="AE125" s="420"/>
      <c r="AF125" s="420"/>
      <c r="AG125" s="420"/>
      <c r="AH125" s="420"/>
      <c r="AI125" s="420"/>
      <c r="AJ125" s="420"/>
      <c r="AK125" s="420"/>
      <c r="AL125" s="420"/>
      <c r="AM125" s="420"/>
      <c r="AN125" s="420"/>
      <c r="AO125" s="420"/>
      <c r="AP125" s="420"/>
      <c r="AQ125" s="420"/>
      <c r="AR125" s="420"/>
      <c r="AS125" s="420"/>
      <c r="AT125" s="420"/>
      <c r="AU125" s="420"/>
      <c r="AV125" s="420"/>
      <c r="AW125" s="420"/>
      <c r="AX125" s="420"/>
      <c r="AY125" s="420"/>
      <c r="AZ125" s="420"/>
      <c r="BA125" s="420"/>
      <c r="BB125" s="420"/>
      <c r="BC125" s="420"/>
      <c r="BD125" s="420"/>
      <c r="BE125" s="420"/>
      <c r="BF125" s="420"/>
      <c r="BG125" s="420"/>
      <c r="BH125" s="420"/>
      <c r="BI125" s="420"/>
      <c r="BJ125" s="420"/>
      <c r="BK125" s="420"/>
      <c r="BL125" s="420"/>
      <c r="BM125" s="420"/>
      <c r="BN125" s="420"/>
      <c r="BO125" s="420"/>
      <c r="BP125" s="420"/>
      <c r="BQ125" s="420"/>
      <c r="BR125" s="420"/>
      <c r="BS125" s="420"/>
      <c r="BT125" s="420"/>
      <c r="BU125" s="420"/>
      <c r="BV125" s="420"/>
      <c r="BW125" s="420"/>
      <c r="BX125" s="420"/>
      <c r="BY125" s="420"/>
      <c r="BZ125" s="420"/>
      <c r="CA125" s="420"/>
      <c r="CB125" s="420"/>
      <c r="CC125" s="420"/>
      <c r="CD125" s="420"/>
      <c r="CE125" s="420"/>
      <c r="CF125" s="420"/>
      <c r="CG125" s="420"/>
      <c r="CH125" s="420"/>
      <c r="CI125" s="420"/>
      <c r="CJ125" s="420"/>
      <c r="CK125" s="420"/>
      <c r="CL125" s="420"/>
      <c r="CM125" s="420"/>
      <c r="CN125" s="420"/>
      <c r="CO125" s="420"/>
      <c r="CP125" s="420"/>
      <c r="CQ125" s="420"/>
      <c r="CR125" s="420"/>
      <c r="CS125" s="420"/>
      <c r="CT125" s="420"/>
      <c r="CU125" s="420"/>
      <c r="CV125" s="420"/>
      <c r="CW125" s="420"/>
      <c r="CX125" s="420"/>
      <c r="CY125" s="420"/>
      <c r="CZ125" s="420"/>
      <c r="DA125" s="420"/>
      <c r="DB125" s="420"/>
      <c r="DC125" s="420"/>
      <c r="DD125" s="420"/>
      <c r="DE125" s="420"/>
      <c r="DF125" s="420"/>
      <c r="DG125" s="420"/>
      <c r="DH125" s="420"/>
      <c r="DI125" s="420"/>
      <c r="DJ125" s="420"/>
      <c r="DK125" s="420"/>
      <c r="DL125" s="420"/>
      <c r="DM125" s="420"/>
      <c r="DN125" s="420"/>
      <c r="DO125" s="420"/>
      <c r="DP125" s="420"/>
      <c r="DQ125" s="420"/>
      <c r="DR125" s="420"/>
      <c r="DS125" s="420"/>
      <c r="DT125" s="420"/>
      <c r="DU125" s="420"/>
      <c r="DV125" s="420"/>
      <c r="DW125" s="420"/>
      <c r="DX125" s="420"/>
      <c r="DY125" s="420"/>
      <c r="DZ125" s="420"/>
      <c r="EA125" s="420"/>
      <c r="EB125" s="420"/>
      <c r="EC125" s="420"/>
      <c r="ED125" s="420"/>
      <c r="EE125" s="420"/>
      <c r="EF125" s="420"/>
      <c r="EG125" s="420"/>
      <c r="EH125" s="420"/>
      <c r="EI125" s="420"/>
      <c r="EJ125" s="420"/>
      <c r="EK125" s="420"/>
      <c r="EL125" s="420"/>
      <c r="EM125" s="420"/>
      <c r="EN125" s="420"/>
      <c r="EO125" s="420"/>
      <c r="EP125" s="420"/>
      <c r="EQ125" s="420"/>
      <c r="ER125" s="420"/>
      <c r="ES125" s="420"/>
      <c r="ET125" s="420"/>
      <c r="EU125" s="420"/>
      <c r="EV125" s="420"/>
      <c r="EW125" s="420"/>
      <c r="EX125" s="420"/>
      <c r="EY125" s="420"/>
      <c r="EZ125" s="420"/>
      <c r="FA125" s="420"/>
      <c r="FB125" s="420"/>
      <c r="FC125" s="420"/>
      <c r="FD125" s="420"/>
      <c r="FE125" s="420"/>
      <c r="FF125" s="420"/>
      <c r="FG125" s="420"/>
      <c r="FH125" s="420"/>
      <c r="FI125" s="420"/>
      <c r="FJ125" s="420"/>
      <c r="FK125" s="420"/>
      <c r="FL125" s="420"/>
      <c r="FM125" s="420"/>
      <c r="FN125" s="420"/>
      <c r="FO125" s="420"/>
      <c r="FP125" s="420"/>
      <c r="FQ125" s="420"/>
      <c r="FR125" s="420"/>
      <c r="FS125" s="420"/>
      <c r="FT125" s="420"/>
      <c r="FU125" s="420"/>
      <c r="FV125" s="420"/>
      <c r="FW125" s="420"/>
      <c r="FX125" s="420"/>
      <c r="FY125" s="420"/>
      <c r="FZ125" s="420"/>
      <c r="GA125" s="420"/>
      <c r="GB125" s="420"/>
      <c r="GC125" s="420"/>
      <c r="GD125" s="420"/>
      <c r="GE125" s="420"/>
      <c r="GF125" s="420"/>
      <c r="GG125" s="420"/>
      <c r="GH125" s="420"/>
      <c r="GI125" s="420"/>
      <c r="GJ125" s="420"/>
      <c r="GK125" s="420"/>
      <c r="GL125" s="420"/>
      <c r="GM125" s="420"/>
      <c r="GN125" s="420"/>
      <c r="GO125" s="420"/>
      <c r="GP125" s="420"/>
      <c r="GQ125" s="420"/>
      <c r="GR125" s="420"/>
      <c r="GS125" s="420"/>
      <c r="GT125" s="420"/>
      <c r="GU125" s="420"/>
      <c r="GV125" s="420"/>
      <c r="GW125" s="420"/>
      <c r="GX125" s="420"/>
      <c r="GY125" s="420"/>
      <c r="GZ125" s="420"/>
      <c r="HA125" s="420"/>
      <c r="HB125" s="420"/>
      <c r="HC125" s="420"/>
      <c r="HD125" s="420"/>
      <c r="HE125" s="420"/>
      <c r="HF125" s="420"/>
      <c r="HG125" s="420"/>
      <c r="HH125" s="420"/>
      <c r="HI125" s="420"/>
      <c r="HJ125" s="420"/>
      <c r="HK125" s="420"/>
      <c r="HL125" s="420"/>
      <c r="HM125" s="420"/>
      <c r="HN125" s="420"/>
      <c r="HO125" s="420"/>
      <c r="HP125" s="420"/>
      <c r="HQ125" s="420"/>
      <c r="HR125" s="420"/>
      <c r="HS125" s="420"/>
      <c r="HT125" s="420"/>
      <c r="HU125" s="420"/>
      <c r="HV125" s="420"/>
      <c r="HW125" s="420"/>
      <c r="HX125" s="420"/>
      <c r="HY125" s="420"/>
      <c r="HZ125" s="420"/>
      <c r="IA125" s="420"/>
      <c r="IB125" s="420"/>
      <c r="IC125" s="420"/>
      <c r="ID125" s="420"/>
      <c r="IE125" s="420"/>
      <c r="IF125" s="420"/>
      <c r="IG125" s="420"/>
      <c r="IH125" s="420"/>
      <c r="II125" s="420"/>
      <c r="IJ125" s="420"/>
      <c r="IK125" s="420"/>
      <c r="IL125" s="420"/>
      <c r="IM125" s="420"/>
      <c r="IN125" s="420"/>
      <c r="IO125" s="420"/>
      <c r="IP125" s="420"/>
      <c r="IQ125" s="420"/>
      <c r="IR125" s="420"/>
      <c r="IS125" s="420"/>
      <c r="IT125" s="420"/>
      <c r="IU125" s="420"/>
      <c r="IV125" s="420"/>
      <c r="IW125" s="420"/>
      <c r="IX125" s="420"/>
      <c r="IY125" s="420"/>
      <c r="IZ125" s="420"/>
      <c r="JA125" s="420"/>
      <c r="JB125" s="420"/>
    </row>
    <row r="126" spans="1:262" s="768" customFormat="1" ht="18" customHeight="1" x14ac:dyDescent="0.35">
      <c r="A126" s="783">
        <v>116</v>
      </c>
      <c r="B126" s="776"/>
      <c r="C126" s="466"/>
      <c r="D126" s="583" t="s">
        <v>1072</v>
      </c>
      <c r="E126" s="432"/>
      <c r="F126" s="772"/>
      <c r="G126" s="433"/>
      <c r="H126" s="1009"/>
      <c r="I126" s="1005"/>
      <c r="J126" s="769"/>
      <c r="K126" s="769"/>
      <c r="L126" s="769"/>
      <c r="M126" s="1548">
        <v>0</v>
      </c>
      <c r="N126" s="769"/>
      <c r="O126" s="769"/>
      <c r="P126" s="777">
        <f>SUM(I126:O126)</f>
        <v>0</v>
      </c>
      <c r="Q126" s="773"/>
      <c r="R126" s="420"/>
      <c r="S126" s="420"/>
      <c r="T126" s="420"/>
      <c r="U126" s="420"/>
      <c r="V126" s="420"/>
      <c r="W126" s="420"/>
      <c r="X126" s="420"/>
      <c r="Y126" s="420"/>
      <c r="Z126" s="420"/>
      <c r="AA126" s="420"/>
      <c r="AB126" s="420"/>
      <c r="AC126" s="420"/>
      <c r="AD126" s="420"/>
      <c r="AE126" s="420"/>
      <c r="AF126" s="420"/>
      <c r="AG126" s="420"/>
      <c r="AH126" s="420"/>
      <c r="AI126" s="420"/>
      <c r="AJ126" s="420"/>
      <c r="AK126" s="420"/>
      <c r="AL126" s="420"/>
      <c r="AM126" s="420"/>
      <c r="AN126" s="420"/>
      <c r="AO126" s="420"/>
      <c r="AP126" s="420"/>
      <c r="AQ126" s="420"/>
      <c r="AR126" s="420"/>
      <c r="AS126" s="420"/>
      <c r="AT126" s="420"/>
      <c r="AU126" s="420"/>
      <c r="AV126" s="420"/>
      <c r="AW126" s="420"/>
      <c r="AX126" s="420"/>
      <c r="AY126" s="420"/>
      <c r="AZ126" s="420"/>
      <c r="BA126" s="420"/>
      <c r="BB126" s="420"/>
      <c r="BC126" s="420"/>
      <c r="BD126" s="420"/>
      <c r="BE126" s="420"/>
      <c r="BF126" s="420"/>
      <c r="BG126" s="420"/>
      <c r="BH126" s="420"/>
      <c r="BI126" s="420"/>
      <c r="BJ126" s="420"/>
      <c r="BK126" s="420"/>
      <c r="BL126" s="420"/>
      <c r="BM126" s="420"/>
      <c r="BN126" s="420"/>
      <c r="BO126" s="420"/>
      <c r="BP126" s="420"/>
      <c r="BQ126" s="420"/>
      <c r="BR126" s="420"/>
      <c r="BS126" s="420"/>
      <c r="BT126" s="420"/>
      <c r="BU126" s="420"/>
      <c r="BV126" s="420"/>
      <c r="BW126" s="420"/>
      <c r="BX126" s="420"/>
      <c r="BY126" s="420"/>
      <c r="BZ126" s="420"/>
      <c r="CA126" s="420"/>
      <c r="CB126" s="420"/>
      <c r="CC126" s="420"/>
      <c r="CD126" s="420"/>
      <c r="CE126" s="420"/>
      <c r="CF126" s="420"/>
      <c r="CG126" s="420"/>
      <c r="CH126" s="420"/>
      <c r="CI126" s="420"/>
      <c r="CJ126" s="420"/>
      <c r="CK126" s="420"/>
      <c r="CL126" s="420"/>
      <c r="CM126" s="420"/>
      <c r="CN126" s="420"/>
      <c r="CO126" s="420"/>
      <c r="CP126" s="420"/>
      <c r="CQ126" s="420"/>
      <c r="CR126" s="420"/>
      <c r="CS126" s="420"/>
      <c r="CT126" s="420"/>
      <c r="CU126" s="420"/>
      <c r="CV126" s="420"/>
      <c r="CW126" s="420"/>
      <c r="CX126" s="420"/>
      <c r="CY126" s="420"/>
      <c r="CZ126" s="420"/>
      <c r="DA126" s="420"/>
      <c r="DB126" s="420"/>
      <c r="DC126" s="420"/>
      <c r="DD126" s="420"/>
      <c r="DE126" s="420"/>
      <c r="DF126" s="420"/>
      <c r="DG126" s="420"/>
      <c r="DH126" s="420"/>
      <c r="DI126" s="420"/>
      <c r="DJ126" s="420"/>
      <c r="DK126" s="420"/>
      <c r="DL126" s="420"/>
      <c r="DM126" s="420"/>
      <c r="DN126" s="420"/>
      <c r="DO126" s="420"/>
      <c r="DP126" s="420"/>
      <c r="DQ126" s="420"/>
      <c r="DR126" s="420"/>
      <c r="DS126" s="420"/>
      <c r="DT126" s="420"/>
      <c r="DU126" s="420"/>
      <c r="DV126" s="420"/>
      <c r="DW126" s="420"/>
      <c r="DX126" s="420"/>
      <c r="DY126" s="420"/>
      <c r="DZ126" s="420"/>
      <c r="EA126" s="420"/>
      <c r="EB126" s="420"/>
      <c r="EC126" s="420"/>
      <c r="ED126" s="420"/>
      <c r="EE126" s="420"/>
      <c r="EF126" s="420"/>
      <c r="EG126" s="420"/>
      <c r="EH126" s="420"/>
      <c r="EI126" s="420"/>
      <c r="EJ126" s="420"/>
      <c r="EK126" s="420"/>
      <c r="EL126" s="420"/>
      <c r="EM126" s="420"/>
      <c r="EN126" s="420"/>
      <c r="EO126" s="420"/>
      <c r="EP126" s="420"/>
      <c r="EQ126" s="420"/>
      <c r="ER126" s="420"/>
      <c r="ES126" s="420"/>
      <c r="ET126" s="420"/>
      <c r="EU126" s="420"/>
      <c r="EV126" s="420"/>
      <c r="EW126" s="420"/>
      <c r="EX126" s="420"/>
      <c r="EY126" s="420"/>
      <c r="EZ126" s="420"/>
      <c r="FA126" s="420"/>
      <c r="FB126" s="420"/>
      <c r="FC126" s="420"/>
      <c r="FD126" s="420"/>
      <c r="FE126" s="420"/>
      <c r="FF126" s="420"/>
      <c r="FG126" s="420"/>
      <c r="FH126" s="420"/>
      <c r="FI126" s="420"/>
      <c r="FJ126" s="420"/>
      <c r="FK126" s="420"/>
      <c r="FL126" s="420"/>
      <c r="FM126" s="420"/>
      <c r="FN126" s="420"/>
      <c r="FO126" s="420"/>
      <c r="FP126" s="420"/>
      <c r="FQ126" s="420"/>
      <c r="FR126" s="420"/>
      <c r="FS126" s="420"/>
      <c r="FT126" s="420"/>
      <c r="FU126" s="420"/>
      <c r="FV126" s="420"/>
      <c r="FW126" s="420"/>
      <c r="FX126" s="420"/>
      <c r="FY126" s="420"/>
      <c r="FZ126" s="420"/>
      <c r="GA126" s="420"/>
      <c r="GB126" s="420"/>
      <c r="GC126" s="420"/>
      <c r="GD126" s="420"/>
      <c r="GE126" s="420"/>
      <c r="GF126" s="420"/>
      <c r="GG126" s="420"/>
      <c r="GH126" s="420"/>
      <c r="GI126" s="420"/>
      <c r="GJ126" s="420"/>
      <c r="GK126" s="420"/>
      <c r="GL126" s="420"/>
      <c r="GM126" s="420"/>
      <c r="GN126" s="420"/>
      <c r="GO126" s="420"/>
      <c r="GP126" s="420"/>
      <c r="GQ126" s="420"/>
      <c r="GR126" s="420"/>
      <c r="GS126" s="420"/>
      <c r="GT126" s="420"/>
      <c r="GU126" s="420"/>
      <c r="GV126" s="420"/>
      <c r="GW126" s="420"/>
      <c r="GX126" s="420"/>
      <c r="GY126" s="420"/>
      <c r="GZ126" s="420"/>
      <c r="HA126" s="420"/>
      <c r="HB126" s="420"/>
      <c r="HC126" s="420"/>
      <c r="HD126" s="420"/>
      <c r="HE126" s="420"/>
      <c r="HF126" s="420"/>
      <c r="HG126" s="420"/>
      <c r="HH126" s="420"/>
      <c r="HI126" s="420"/>
      <c r="HJ126" s="420"/>
      <c r="HK126" s="420"/>
      <c r="HL126" s="420"/>
      <c r="HM126" s="420"/>
      <c r="HN126" s="420"/>
      <c r="HO126" s="420"/>
      <c r="HP126" s="420"/>
      <c r="HQ126" s="420"/>
      <c r="HR126" s="420"/>
      <c r="HS126" s="420"/>
      <c r="HT126" s="420"/>
      <c r="HU126" s="420"/>
      <c r="HV126" s="420"/>
      <c r="HW126" s="420"/>
      <c r="HX126" s="420"/>
      <c r="HY126" s="420"/>
      <c r="HZ126" s="420"/>
      <c r="IA126" s="420"/>
      <c r="IB126" s="420"/>
      <c r="IC126" s="420"/>
      <c r="ID126" s="420"/>
      <c r="IE126" s="420"/>
      <c r="IF126" s="420"/>
      <c r="IG126" s="420"/>
      <c r="IH126" s="420"/>
      <c r="II126" s="420"/>
      <c r="IJ126" s="420"/>
      <c r="IK126" s="420"/>
      <c r="IL126" s="420"/>
      <c r="IM126" s="420"/>
      <c r="IN126" s="420"/>
      <c r="IO126" s="420"/>
      <c r="IP126" s="420"/>
      <c r="IQ126" s="420"/>
      <c r="IR126" s="420"/>
      <c r="IS126" s="420"/>
      <c r="IT126" s="420"/>
      <c r="IU126" s="420"/>
      <c r="IV126" s="420"/>
      <c r="IW126" s="420"/>
      <c r="IX126" s="420"/>
      <c r="IY126" s="420"/>
      <c r="IZ126" s="420"/>
      <c r="JA126" s="420"/>
      <c r="JB126" s="420"/>
    </row>
    <row r="127" spans="1:262" s="768" customFormat="1" ht="18" customHeight="1" x14ac:dyDescent="0.35">
      <c r="A127" s="783">
        <v>117</v>
      </c>
      <c r="B127" s="776"/>
      <c r="C127" s="466"/>
      <c r="D127" s="1338" t="s">
        <v>963</v>
      </c>
      <c r="E127" s="432"/>
      <c r="F127" s="772"/>
      <c r="G127" s="433"/>
      <c r="H127" s="1009"/>
      <c r="I127" s="1005"/>
      <c r="J127" s="769"/>
      <c r="K127" s="769"/>
      <c r="L127" s="769"/>
      <c r="M127" s="769"/>
      <c r="N127" s="769"/>
      <c r="O127" s="769"/>
      <c r="P127" s="777">
        <f t="shared" ref="P127:P128" si="11">SUM(I127:O127)</f>
        <v>0</v>
      </c>
      <c r="Q127" s="773"/>
      <c r="R127" s="420"/>
      <c r="S127" s="420"/>
      <c r="T127" s="420"/>
      <c r="U127" s="420"/>
      <c r="V127" s="420"/>
      <c r="W127" s="420"/>
      <c r="X127" s="420"/>
      <c r="Y127" s="420"/>
      <c r="Z127" s="420"/>
      <c r="AA127" s="420"/>
      <c r="AB127" s="420"/>
      <c r="AC127" s="420"/>
      <c r="AD127" s="420"/>
      <c r="AE127" s="420"/>
      <c r="AF127" s="420"/>
      <c r="AG127" s="420"/>
      <c r="AH127" s="420"/>
      <c r="AI127" s="420"/>
      <c r="AJ127" s="420"/>
      <c r="AK127" s="420"/>
      <c r="AL127" s="420"/>
      <c r="AM127" s="420"/>
      <c r="AN127" s="420"/>
      <c r="AO127" s="420"/>
      <c r="AP127" s="420"/>
      <c r="AQ127" s="420"/>
      <c r="AR127" s="420"/>
      <c r="AS127" s="420"/>
      <c r="AT127" s="420"/>
      <c r="AU127" s="420"/>
      <c r="AV127" s="420"/>
      <c r="AW127" s="420"/>
      <c r="AX127" s="420"/>
      <c r="AY127" s="420"/>
      <c r="AZ127" s="420"/>
      <c r="BA127" s="420"/>
      <c r="BB127" s="420"/>
      <c r="BC127" s="420"/>
      <c r="BD127" s="420"/>
      <c r="BE127" s="420"/>
      <c r="BF127" s="420"/>
      <c r="BG127" s="420"/>
      <c r="BH127" s="420"/>
      <c r="BI127" s="420"/>
      <c r="BJ127" s="420"/>
      <c r="BK127" s="420"/>
      <c r="BL127" s="420"/>
      <c r="BM127" s="420"/>
      <c r="BN127" s="420"/>
      <c r="BO127" s="420"/>
      <c r="BP127" s="420"/>
      <c r="BQ127" s="420"/>
      <c r="BR127" s="420"/>
      <c r="BS127" s="420"/>
      <c r="BT127" s="420"/>
      <c r="BU127" s="420"/>
      <c r="BV127" s="420"/>
      <c r="BW127" s="420"/>
      <c r="BX127" s="420"/>
      <c r="BY127" s="420"/>
      <c r="BZ127" s="420"/>
      <c r="CA127" s="420"/>
      <c r="CB127" s="420"/>
      <c r="CC127" s="420"/>
      <c r="CD127" s="420"/>
      <c r="CE127" s="420"/>
      <c r="CF127" s="420"/>
      <c r="CG127" s="420"/>
      <c r="CH127" s="420"/>
      <c r="CI127" s="420"/>
      <c r="CJ127" s="420"/>
      <c r="CK127" s="420"/>
      <c r="CL127" s="420"/>
      <c r="CM127" s="420"/>
      <c r="CN127" s="420"/>
      <c r="CO127" s="420"/>
      <c r="CP127" s="420"/>
      <c r="CQ127" s="420"/>
      <c r="CR127" s="420"/>
      <c r="CS127" s="420"/>
      <c r="CT127" s="420"/>
      <c r="CU127" s="420"/>
      <c r="CV127" s="420"/>
      <c r="CW127" s="420"/>
      <c r="CX127" s="420"/>
      <c r="CY127" s="420"/>
      <c r="CZ127" s="420"/>
      <c r="DA127" s="420"/>
      <c r="DB127" s="420"/>
      <c r="DC127" s="420"/>
      <c r="DD127" s="420"/>
      <c r="DE127" s="420"/>
      <c r="DF127" s="420"/>
      <c r="DG127" s="420"/>
      <c r="DH127" s="420"/>
      <c r="DI127" s="420"/>
      <c r="DJ127" s="420"/>
      <c r="DK127" s="420"/>
      <c r="DL127" s="420"/>
      <c r="DM127" s="420"/>
      <c r="DN127" s="420"/>
      <c r="DO127" s="420"/>
      <c r="DP127" s="420"/>
      <c r="DQ127" s="420"/>
      <c r="DR127" s="420"/>
      <c r="DS127" s="420"/>
      <c r="DT127" s="420"/>
      <c r="DU127" s="420"/>
      <c r="DV127" s="420"/>
      <c r="DW127" s="420"/>
      <c r="DX127" s="420"/>
      <c r="DY127" s="420"/>
      <c r="DZ127" s="420"/>
      <c r="EA127" s="420"/>
      <c r="EB127" s="420"/>
      <c r="EC127" s="420"/>
      <c r="ED127" s="420"/>
      <c r="EE127" s="420"/>
      <c r="EF127" s="420"/>
      <c r="EG127" s="420"/>
      <c r="EH127" s="420"/>
      <c r="EI127" s="420"/>
      <c r="EJ127" s="420"/>
      <c r="EK127" s="420"/>
      <c r="EL127" s="420"/>
      <c r="EM127" s="420"/>
      <c r="EN127" s="420"/>
      <c r="EO127" s="420"/>
      <c r="EP127" s="420"/>
      <c r="EQ127" s="420"/>
      <c r="ER127" s="420"/>
      <c r="ES127" s="420"/>
      <c r="ET127" s="420"/>
      <c r="EU127" s="420"/>
      <c r="EV127" s="420"/>
      <c r="EW127" s="420"/>
      <c r="EX127" s="420"/>
      <c r="EY127" s="420"/>
      <c r="EZ127" s="420"/>
      <c r="FA127" s="420"/>
      <c r="FB127" s="420"/>
      <c r="FC127" s="420"/>
      <c r="FD127" s="420"/>
      <c r="FE127" s="420"/>
      <c r="FF127" s="420"/>
      <c r="FG127" s="420"/>
      <c r="FH127" s="420"/>
      <c r="FI127" s="420"/>
      <c r="FJ127" s="420"/>
      <c r="FK127" s="420"/>
      <c r="FL127" s="420"/>
      <c r="FM127" s="420"/>
      <c r="FN127" s="420"/>
      <c r="FO127" s="420"/>
      <c r="FP127" s="420"/>
      <c r="FQ127" s="420"/>
      <c r="FR127" s="420"/>
      <c r="FS127" s="420"/>
      <c r="FT127" s="420"/>
      <c r="FU127" s="420"/>
      <c r="FV127" s="420"/>
      <c r="FW127" s="420"/>
      <c r="FX127" s="420"/>
      <c r="FY127" s="420"/>
      <c r="FZ127" s="420"/>
      <c r="GA127" s="420"/>
      <c r="GB127" s="420"/>
      <c r="GC127" s="420"/>
      <c r="GD127" s="420"/>
      <c r="GE127" s="420"/>
      <c r="GF127" s="420"/>
      <c r="GG127" s="420"/>
      <c r="GH127" s="420"/>
      <c r="GI127" s="420"/>
      <c r="GJ127" s="420"/>
      <c r="GK127" s="420"/>
      <c r="GL127" s="420"/>
      <c r="GM127" s="420"/>
      <c r="GN127" s="420"/>
      <c r="GO127" s="420"/>
      <c r="GP127" s="420"/>
      <c r="GQ127" s="420"/>
      <c r="GR127" s="420"/>
      <c r="GS127" s="420"/>
      <c r="GT127" s="420"/>
      <c r="GU127" s="420"/>
      <c r="GV127" s="420"/>
      <c r="GW127" s="420"/>
      <c r="GX127" s="420"/>
      <c r="GY127" s="420"/>
      <c r="GZ127" s="420"/>
      <c r="HA127" s="420"/>
      <c r="HB127" s="420"/>
      <c r="HC127" s="420"/>
      <c r="HD127" s="420"/>
      <c r="HE127" s="420"/>
      <c r="HF127" s="420"/>
      <c r="HG127" s="420"/>
      <c r="HH127" s="420"/>
      <c r="HI127" s="420"/>
      <c r="HJ127" s="420"/>
      <c r="HK127" s="420"/>
      <c r="HL127" s="420"/>
      <c r="HM127" s="420"/>
      <c r="HN127" s="420"/>
      <c r="HO127" s="420"/>
      <c r="HP127" s="420"/>
      <c r="HQ127" s="420"/>
      <c r="HR127" s="420"/>
      <c r="HS127" s="420"/>
      <c r="HT127" s="420"/>
      <c r="HU127" s="420"/>
      <c r="HV127" s="420"/>
      <c r="HW127" s="420"/>
      <c r="HX127" s="420"/>
      <c r="HY127" s="420"/>
      <c r="HZ127" s="420"/>
      <c r="IA127" s="420"/>
      <c r="IB127" s="420"/>
      <c r="IC127" s="420"/>
      <c r="ID127" s="420"/>
      <c r="IE127" s="420"/>
      <c r="IF127" s="420"/>
      <c r="IG127" s="420"/>
      <c r="IH127" s="420"/>
      <c r="II127" s="420"/>
      <c r="IJ127" s="420"/>
      <c r="IK127" s="420"/>
      <c r="IL127" s="420"/>
      <c r="IM127" s="420"/>
      <c r="IN127" s="420"/>
      <c r="IO127" s="420"/>
      <c r="IP127" s="420"/>
      <c r="IQ127" s="420"/>
      <c r="IR127" s="420"/>
      <c r="IS127" s="420"/>
      <c r="IT127" s="420"/>
      <c r="IU127" s="420"/>
      <c r="IV127" s="420"/>
      <c r="IW127" s="420"/>
      <c r="IX127" s="420"/>
      <c r="IY127" s="420"/>
      <c r="IZ127" s="420"/>
      <c r="JA127" s="420"/>
      <c r="JB127" s="420"/>
    </row>
    <row r="128" spans="1:262" s="768" customFormat="1" ht="18" customHeight="1" x14ac:dyDescent="0.35">
      <c r="A128" s="783">
        <v>118</v>
      </c>
      <c r="B128" s="776"/>
      <c r="C128" s="466"/>
      <c r="D128" s="583" t="s">
        <v>1151</v>
      </c>
      <c r="E128" s="432"/>
      <c r="F128" s="772"/>
      <c r="G128" s="433"/>
      <c r="H128" s="1009"/>
      <c r="I128" s="1005"/>
      <c r="J128" s="769"/>
      <c r="K128" s="769"/>
      <c r="L128" s="769"/>
      <c r="M128" s="1548">
        <f>SUM(M126:M127)</f>
        <v>0</v>
      </c>
      <c r="N128" s="769"/>
      <c r="O128" s="769"/>
      <c r="P128" s="777">
        <f t="shared" si="11"/>
        <v>0</v>
      </c>
      <c r="Q128" s="773"/>
      <c r="R128" s="420"/>
      <c r="S128" s="420"/>
      <c r="T128" s="420"/>
      <c r="U128" s="420"/>
      <c r="V128" s="420"/>
      <c r="W128" s="420"/>
      <c r="X128" s="420"/>
      <c r="Y128" s="420"/>
      <c r="Z128" s="420"/>
      <c r="AA128" s="420"/>
      <c r="AB128" s="420"/>
      <c r="AC128" s="420"/>
      <c r="AD128" s="420"/>
      <c r="AE128" s="420"/>
      <c r="AF128" s="420"/>
      <c r="AG128" s="420"/>
      <c r="AH128" s="420"/>
      <c r="AI128" s="420"/>
      <c r="AJ128" s="420"/>
      <c r="AK128" s="420"/>
      <c r="AL128" s="420"/>
      <c r="AM128" s="420"/>
      <c r="AN128" s="420"/>
      <c r="AO128" s="420"/>
      <c r="AP128" s="420"/>
      <c r="AQ128" s="420"/>
      <c r="AR128" s="420"/>
      <c r="AS128" s="420"/>
      <c r="AT128" s="420"/>
      <c r="AU128" s="420"/>
      <c r="AV128" s="420"/>
      <c r="AW128" s="420"/>
      <c r="AX128" s="420"/>
      <c r="AY128" s="420"/>
      <c r="AZ128" s="420"/>
      <c r="BA128" s="420"/>
      <c r="BB128" s="420"/>
      <c r="BC128" s="420"/>
      <c r="BD128" s="420"/>
      <c r="BE128" s="420"/>
      <c r="BF128" s="420"/>
      <c r="BG128" s="420"/>
      <c r="BH128" s="420"/>
      <c r="BI128" s="420"/>
      <c r="BJ128" s="420"/>
      <c r="BK128" s="420"/>
      <c r="BL128" s="420"/>
      <c r="BM128" s="420"/>
      <c r="BN128" s="420"/>
      <c r="BO128" s="420"/>
      <c r="BP128" s="420"/>
      <c r="BQ128" s="420"/>
      <c r="BR128" s="420"/>
      <c r="BS128" s="420"/>
      <c r="BT128" s="420"/>
      <c r="BU128" s="420"/>
      <c r="BV128" s="420"/>
      <c r="BW128" s="420"/>
      <c r="BX128" s="420"/>
      <c r="BY128" s="420"/>
      <c r="BZ128" s="420"/>
      <c r="CA128" s="420"/>
      <c r="CB128" s="420"/>
      <c r="CC128" s="420"/>
      <c r="CD128" s="420"/>
      <c r="CE128" s="420"/>
      <c r="CF128" s="420"/>
      <c r="CG128" s="420"/>
      <c r="CH128" s="420"/>
      <c r="CI128" s="420"/>
      <c r="CJ128" s="420"/>
      <c r="CK128" s="420"/>
      <c r="CL128" s="420"/>
      <c r="CM128" s="420"/>
      <c r="CN128" s="420"/>
      <c r="CO128" s="420"/>
      <c r="CP128" s="420"/>
      <c r="CQ128" s="420"/>
      <c r="CR128" s="420"/>
      <c r="CS128" s="420"/>
      <c r="CT128" s="420"/>
      <c r="CU128" s="420"/>
      <c r="CV128" s="420"/>
      <c r="CW128" s="420"/>
      <c r="CX128" s="420"/>
      <c r="CY128" s="420"/>
      <c r="CZ128" s="420"/>
      <c r="DA128" s="420"/>
      <c r="DB128" s="420"/>
      <c r="DC128" s="420"/>
      <c r="DD128" s="420"/>
      <c r="DE128" s="420"/>
      <c r="DF128" s="420"/>
      <c r="DG128" s="420"/>
      <c r="DH128" s="420"/>
      <c r="DI128" s="420"/>
      <c r="DJ128" s="420"/>
      <c r="DK128" s="420"/>
      <c r="DL128" s="420"/>
      <c r="DM128" s="420"/>
      <c r="DN128" s="420"/>
      <c r="DO128" s="420"/>
      <c r="DP128" s="420"/>
      <c r="DQ128" s="420"/>
      <c r="DR128" s="420"/>
      <c r="DS128" s="420"/>
      <c r="DT128" s="420"/>
      <c r="DU128" s="420"/>
      <c r="DV128" s="420"/>
      <c r="DW128" s="420"/>
      <c r="DX128" s="420"/>
      <c r="DY128" s="420"/>
      <c r="DZ128" s="420"/>
      <c r="EA128" s="420"/>
      <c r="EB128" s="420"/>
      <c r="EC128" s="420"/>
      <c r="ED128" s="420"/>
      <c r="EE128" s="420"/>
      <c r="EF128" s="420"/>
      <c r="EG128" s="420"/>
      <c r="EH128" s="420"/>
      <c r="EI128" s="420"/>
      <c r="EJ128" s="420"/>
      <c r="EK128" s="420"/>
      <c r="EL128" s="420"/>
      <c r="EM128" s="420"/>
      <c r="EN128" s="420"/>
      <c r="EO128" s="420"/>
      <c r="EP128" s="420"/>
      <c r="EQ128" s="420"/>
      <c r="ER128" s="420"/>
      <c r="ES128" s="420"/>
      <c r="ET128" s="420"/>
      <c r="EU128" s="420"/>
      <c r="EV128" s="420"/>
      <c r="EW128" s="420"/>
      <c r="EX128" s="420"/>
      <c r="EY128" s="420"/>
      <c r="EZ128" s="420"/>
      <c r="FA128" s="420"/>
      <c r="FB128" s="420"/>
      <c r="FC128" s="420"/>
      <c r="FD128" s="420"/>
      <c r="FE128" s="420"/>
      <c r="FF128" s="420"/>
      <c r="FG128" s="420"/>
      <c r="FH128" s="420"/>
      <c r="FI128" s="420"/>
      <c r="FJ128" s="420"/>
      <c r="FK128" s="420"/>
      <c r="FL128" s="420"/>
      <c r="FM128" s="420"/>
      <c r="FN128" s="420"/>
      <c r="FO128" s="420"/>
      <c r="FP128" s="420"/>
      <c r="FQ128" s="420"/>
      <c r="FR128" s="420"/>
      <c r="FS128" s="420"/>
      <c r="FT128" s="420"/>
      <c r="FU128" s="420"/>
      <c r="FV128" s="420"/>
      <c r="FW128" s="420"/>
      <c r="FX128" s="420"/>
      <c r="FY128" s="420"/>
      <c r="FZ128" s="420"/>
      <c r="GA128" s="420"/>
      <c r="GB128" s="420"/>
      <c r="GC128" s="420"/>
      <c r="GD128" s="420"/>
      <c r="GE128" s="420"/>
      <c r="GF128" s="420"/>
      <c r="GG128" s="420"/>
      <c r="GH128" s="420"/>
      <c r="GI128" s="420"/>
      <c r="GJ128" s="420"/>
      <c r="GK128" s="420"/>
      <c r="GL128" s="420"/>
      <c r="GM128" s="420"/>
      <c r="GN128" s="420"/>
      <c r="GO128" s="420"/>
      <c r="GP128" s="420"/>
      <c r="GQ128" s="420"/>
      <c r="GR128" s="420"/>
      <c r="GS128" s="420"/>
      <c r="GT128" s="420"/>
      <c r="GU128" s="420"/>
      <c r="GV128" s="420"/>
      <c r="GW128" s="420"/>
      <c r="GX128" s="420"/>
      <c r="GY128" s="420"/>
      <c r="GZ128" s="420"/>
      <c r="HA128" s="420"/>
      <c r="HB128" s="420"/>
      <c r="HC128" s="420"/>
      <c r="HD128" s="420"/>
      <c r="HE128" s="420"/>
      <c r="HF128" s="420"/>
      <c r="HG128" s="420"/>
      <c r="HH128" s="420"/>
      <c r="HI128" s="420"/>
      <c r="HJ128" s="420"/>
      <c r="HK128" s="420"/>
      <c r="HL128" s="420"/>
      <c r="HM128" s="420"/>
      <c r="HN128" s="420"/>
      <c r="HO128" s="420"/>
      <c r="HP128" s="420"/>
      <c r="HQ128" s="420"/>
      <c r="HR128" s="420"/>
      <c r="HS128" s="420"/>
      <c r="HT128" s="420"/>
      <c r="HU128" s="420"/>
      <c r="HV128" s="420"/>
      <c r="HW128" s="420"/>
      <c r="HX128" s="420"/>
      <c r="HY128" s="420"/>
      <c r="HZ128" s="420"/>
      <c r="IA128" s="420"/>
      <c r="IB128" s="420"/>
      <c r="IC128" s="420"/>
      <c r="ID128" s="420"/>
      <c r="IE128" s="420"/>
      <c r="IF128" s="420"/>
      <c r="IG128" s="420"/>
      <c r="IH128" s="420"/>
      <c r="II128" s="420"/>
      <c r="IJ128" s="420"/>
      <c r="IK128" s="420"/>
      <c r="IL128" s="420"/>
      <c r="IM128" s="420"/>
      <c r="IN128" s="420"/>
      <c r="IO128" s="420"/>
      <c r="IP128" s="420"/>
      <c r="IQ128" s="420"/>
      <c r="IR128" s="420"/>
      <c r="IS128" s="420"/>
      <c r="IT128" s="420"/>
      <c r="IU128" s="420"/>
      <c r="IV128" s="420"/>
      <c r="IW128" s="420"/>
      <c r="IX128" s="420"/>
      <c r="IY128" s="420"/>
      <c r="IZ128" s="420"/>
      <c r="JA128" s="420"/>
      <c r="JB128" s="420"/>
    </row>
    <row r="129" spans="1:262" ht="22.5" customHeight="1" x14ac:dyDescent="0.35">
      <c r="A129" s="783">
        <v>119</v>
      </c>
      <c r="B129" s="625"/>
      <c r="C129" s="466"/>
      <c r="D129" s="781" t="s">
        <v>950</v>
      </c>
      <c r="E129" s="432"/>
      <c r="F129" s="772"/>
      <c r="G129" s="433"/>
      <c r="H129" s="1009"/>
      <c r="I129" s="1005"/>
      <c r="J129" s="769"/>
      <c r="K129" s="769"/>
      <c r="L129" s="769"/>
      <c r="M129" s="1023"/>
      <c r="N129" s="769"/>
      <c r="O129" s="769"/>
      <c r="P129" s="777"/>
      <c r="Q129" s="773"/>
    </row>
    <row r="130" spans="1:262" s="768" customFormat="1" ht="18" customHeight="1" x14ac:dyDescent="0.35">
      <c r="A130" s="783">
        <v>120</v>
      </c>
      <c r="B130" s="776"/>
      <c r="C130" s="422"/>
      <c r="D130" s="1002" t="s">
        <v>311</v>
      </c>
      <c r="E130" s="432"/>
      <c r="F130" s="772"/>
      <c r="G130" s="433"/>
      <c r="H130" s="1009"/>
      <c r="I130" s="1005"/>
      <c r="J130" s="769"/>
      <c r="K130" s="769"/>
      <c r="L130" s="769"/>
      <c r="M130" s="999">
        <v>8200</v>
      </c>
      <c r="N130" s="769"/>
      <c r="O130" s="769"/>
      <c r="P130" s="992">
        <f>SUM(I130:O130)</f>
        <v>8200</v>
      </c>
      <c r="Q130" s="773"/>
      <c r="R130" s="420"/>
      <c r="S130" s="420"/>
      <c r="T130" s="420"/>
      <c r="U130" s="420"/>
      <c r="V130" s="420"/>
      <c r="W130" s="420"/>
      <c r="X130" s="420"/>
      <c r="Y130" s="420"/>
      <c r="Z130" s="420"/>
      <c r="AA130" s="420"/>
      <c r="AB130" s="420"/>
      <c r="AC130" s="420"/>
      <c r="AD130" s="420"/>
      <c r="AE130" s="420"/>
      <c r="AF130" s="420"/>
      <c r="AG130" s="420"/>
      <c r="AH130" s="420"/>
      <c r="AI130" s="420"/>
      <c r="AJ130" s="420"/>
      <c r="AK130" s="420"/>
      <c r="AL130" s="420"/>
      <c r="AM130" s="420"/>
      <c r="AN130" s="420"/>
      <c r="AO130" s="420"/>
      <c r="AP130" s="420"/>
      <c r="AQ130" s="420"/>
      <c r="AR130" s="420"/>
      <c r="AS130" s="420"/>
      <c r="AT130" s="420"/>
      <c r="AU130" s="420"/>
      <c r="AV130" s="420"/>
      <c r="AW130" s="420"/>
      <c r="AX130" s="420"/>
      <c r="AY130" s="420"/>
      <c r="AZ130" s="420"/>
      <c r="BA130" s="420"/>
      <c r="BB130" s="420"/>
      <c r="BC130" s="420"/>
      <c r="BD130" s="420"/>
      <c r="BE130" s="420"/>
      <c r="BF130" s="420"/>
      <c r="BG130" s="420"/>
      <c r="BH130" s="420"/>
      <c r="BI130" s="420"/>
      <c r="BJ130" s="420"/>
      <c r="BK130" s="420"/>
      <c r="BL130" s="420"/>
      <c r="BM130" s="420"/>
      <c r="BN130" s="420"/>
      <c r="BO130" s="420"/>
      <c r="BP130" s="420"/>
      <c r="BQ130" s="420"/>
      <c r="BR130" s="420"/>
      <c r="BS130" s="420"/>
      <c r="BT130" s="420"/>
      <c r="BU130" s="420"/>
      <c r="BV130" s="420"/>
      <c r="BW130" s="420"/>
      <c r="BX130" s="420"/>
      <c r="BY130" s="420"/>
      <c r="BZ130" s="420"/>
      <c r="CA130" s="420"/>
      <c r="CB130" s="420"/>
      <c r="CC130" s="420"/>
      <c r="CD130" s="420"/>
      <c r="CE130" s="420"/>
      <c r="CF130" s="420"/>
      <c r="CG130" s="420"/>
      <c r="CH130" s="420"/>
      <c r="CI130" s="420"/>
      <c r="CJ130" s="420"/>
      <c r="CK130" s="420"/>
      <c r="CL130" s="420"/>
      <c r="CM130" s="420"/>
      <c r="CN130" s="420"/>
      <c r="CO130" s="420"/>
      <c r="CP130" s="420"/>
      <c r="CQ130" s="420"/>
      <c r="CR130" s="420"/>
      <c r="CS130" s="420"/>
      <c r="CT130" s="420"/>
      <c r="CU130" s="420"/>
      <c r="CV130" s="420"/>
      <c r="CW130" s="420"/>
      <c r="CX130" s="420"/>
      <c r="CY130" s="420"/>
      <c r="CZ130" s="420"/>
      <c r="DA130" s="420"/>
      <c r="DB130" s="420"/>
      <c r="DC130" s="420"/>
      <c r="DD130" s="420"/>
      <c r="DE130" s="420"/>
      <c r="DF130" s="420"/>
      <c r="DG130" s="420"/>
      <c r="DH130" s="420"/>
      <c r="DI130" s="420"/>
      <c r="DJ130" s="420"/>
      <c r="DK130" s="420"/>
      <c r="DL130" s="420"/>
      <c r="DM130" s="420"/>
      <c r="DN130" s="420"/>
      <c r="DO130" s="420"/>
      <c r="DP130" s="420"/>
      <c r="DQ130" s="420"/>
      <c r="DR130" s="420"/>
      <c r="DS130" s="420"/>
      <c r="DT130" s="420"/>
      <c r="DU130" s="420"/>
      <c r="DV130" s="420"/>
      <c r="DW130" s="420"/>
      <c r="DX130" s="420"/>
      <c r="DY130" s="420"/>
      <c r="DZ130" s="420"/>
      <c r="EA130" s="420"/>
      <c r="EB130" s="420"/>
      <c r="EC130" s="420"/>
      <c r="ED130" s="420"/>
      <c r="EE130" s="420"/>
      <c r="EF130" s="420"/>
      <c r="EG130" s="420"/>
      <c r="EH130" s="420"/>
      <c r="EI130" s="420"/>
      <c r="EJ130" s="420"/>
      <c r="EK130" s="420"/>
      <c r="EL130" s="420"/>
      <c r="EM130" s="420"/>
      <c r="EN130" s="420"/>
      <c r="EO130" s="420"/>
      <c r="EP130" s="420"/>
      <c r="EQ130" s="420"/>
      <c r="ER130" s="420"/>
      <c r="ES130" s="420"/>
      <c r="ET130" s="420"/>
      <c r="EU130" s="420"/>
      <c r="EV130" s="420"/>
      <c r="EW130" s="420"/>
      <c r="EX130" s="420"/>
      <c r="EY130" s="420"/>
      <c r="EZ130" s="420"/>
      <c r="FA130" s="420"/>
      <c r="FB130" s="420"/>
      <c r="FC130" s="420"/>
      <c r="FD130" s="420"/>
      <c r="FE130" s="420"/>
      <c r="FF130" s="420"/>
      <c r="FG130" s="420"/>
      <c r="FH130" s="420"/>
      <c r="FI130" s="420"/>
      <c r="FJ130" s="420"/>
      <c r="FK130" s="420"/>
      <c r="FL130" s="420"/>
      <c r="FM130" s="420"/>
      <c r="FN130" s="420"/>
      <c r="FO130" s="420"/>
      <c r="FP130" s="420"/>
      <c r="FQ130" s="420"/>
      <c r="FR130" s="420"/>
      <c r="FS130" s="420"/>
      <c r="FT130" s="420"/>
      <c r="FU130" s="420"/>
      <c r="FV130" s="420"/>
      <c r="FW130" s="420"/>
      <c r="FX130" s="420"/>
      <c r="FY130" s="420"/>
      <c r="FZ130" s="420"/>
      <c r="GA130" s="420"/>
      <c r="GB130" s="420"/>
      <c r="GC130" s="420"/>
      <c r="GD130" s="420"/>
      <c r="GE130" s="420"/>
      <c r="GF130" s="420"/>
      <c r="GG130" s="420"/>
      <c r="GH130" s="420"/>
      <c r="GI130" s="420"/>
      <c r="GJ130" s="420"/>
      <c r="GK130" s="420"/>
      <c r="GL130" s="420"/>
      <c r="GM130" s="420"/>
      <c r="GN130" s="420"/>
      <c r="GO130" s="420"/>
      <c r="GP130" s="420"/>
      <c r="GQ130" s="420"/>
      <c r="GR130" s="420"/>
      <c r="GS130" s="420"/>
      <c r="GT130" s="420"/>
      <c r="GU130" s="420"/>
      <c r="GV130" s="420"/>
      <c r="GW130" s="420"/>
      <c r="GX130" s="420"/>
      <c r="GY130" s="420"/>
      <c r="GZ130" s="420"/>
      <c r="HA130" s="420"/>
      <c r="HB130" s="420"/>
      <c r="HC130" s="420"/>
      <c r="HD130" s="420"/>
      <c r="HE130" s="420"/>
      <c r="HF130" s="420"/>
      <c r="HG130" s="420"/>
      <c r="HH130" s="420"/>
      <c r="HI130" s="420"/>
      <c r="HJ130" s="420"/>
      <c r="HK130" s="420"/>
      <c r="HL130" s="420"/>
      <c r="HM130" s="420"/>
      <c r="HN130" s="420"/>
      <c r="HO130" s="420"/>
      <c r="HP130" s="420"/>
      <c r="HQ130" s="420"/>
      <c r="HR130" s="420"/>
      <c r="HS130" s="420"/>
      <c r="HT130" s="420"/>
      <c r="HU130" s="420"/>
      <c r="HV130" s="420"/>
      <c r="HW130" s="420"/>
      <c r="HX130" s="420"/>
      <c r="HY130" s="420"/>
      <c r="HZ130" s="420"/>
      <c r="IA130" s="420"/>
      <c r="IB130" s="420"/>
      <c r="IC130" s="420"/>
      <c r="ID130" s="420"/>
      <c r="IE130" s="420"/>
      <c r="IF130" s="420"/>
      <c r="IG130" s="420"/>
      <c r="IH130" s="420"/>
      <c r="II130" s="420"/>
      <c r="IJ130" s="420"/>
      <c r="IK130" s="420"/>
      <c r="IL130" s="420"/>
      <c r="IM130" s="420"/>
      <c r="IN130" s="420"/>
      <c r="IO130" s="420"/>
      <c r="IP130" s="420"/>
      <c r="IQ130" s="420"/>
      <c r="IR130" s="420"/>
      <c r="IS130" s="420"/>
      <c r="IT130" s="420"/>
      <c r="IU130" s="420"/>
      <c r="IV130" s="420"/>
      <c r="IW130" s="420"/>
      <c r="IX130" s="420"/>
      <c r="IY130" s="420"/>
      <c r="IZ130" s="420"/>
      <c r="JA130" s="420"/>
      <c r="JB130" s="420"/>
    </row>
    <row r="131" spans="1:262" s="768" customFormat="1" ht="18" customHeight="1" x14ac:dyDescent="0.35">
      <c r="A131" s="783">
        <v>121</v>
      </c>
      <c r="B131" s="776"/>
      <c r="C131" s="422"/>
      <c r="D131" s="583" t="s">
        <v>1072</v>
      </c>
      <c r="E131" s="432"/>
      <c r="F131" s="772"/>
      <c r="G131" s="433"/>
      <c r="H131" s="1009"/>
      <c r="I131" s="1005"/>
      <c r="J131" s="769"/>
      <c r="K131" s="769"/>
      <c r="L131" s="769"/>
      <c r="M131" s="1548">
        <v>0</v>
      </c>
      <c r="N131" s="1548"/>
      <c r="O131" s="1548"/>
      <c r="P131" s="777">
        <f>SUM(I131:O131)</f>
        <v>0</v>
      </c>
      <c r="Q131" s="773"/>
      <c r="R131" s="420"/>
      <c r="S131" s="420"/>
      <c r="T131" s="420"/>
      <c r="U131" s="420"/>
      <c r="V131" s="420"/>
      <c r="W131" s="420"/>
      <c r="X131" s="420"/>
      <c r="Y131" s="420"/>
      <c r="Z131" s="420"/>
      <c r="AA131" s="420"/>
      <c r="AB131" s="420"/>
      <c r="AC131" s="420"/>
      <c r="AD131" s="420"/>
      <c r="AE131" s="420"/>
      <c r="AF131" s="420"/>
      <c r="AG131" s="420"/>
      <c r="AH131" s="420"/>
      <c r="AI131" s="420"/>
      <c r="AJ131" s="420"/>
      <c r="AK131" s="420"/>
      <c r="AL131" s="420"/>
      <c r="AM131" s="420"/>
      <c r="AN131" s="420"/>
      <c r="AO131" s="420"/>
      <c r="AP131" s="420"/>
      <c r="AQ131" s="420"/>
      <c r="AR131" s="420"/>
      <c r="AS131" s="420"/>
      <c r="AT131" s="420"/>
      <c r="AU131" s="420"/>
      <c r="AV131" s="420"/>
      <c r="AW131" s="420"/>
      <c r="AX131" s="420"/>
      <c r="AY131" s="420"/>
      <c r="AZ131" s="420"/>
      <c r="BA131" s="420"/>
      <c r="BB131" s="420"/>
      <c r="BC131" s="420"/>
      <c r="BD131" s="420"/>
      <c r="BE131" s="420"/>
      <c r="BF131" s="420"/>
      <c r="BG131" s="420"/>
      <c r="BH131" s="420"/>
      <c r="BI131" s="420"/>
      <c r="BJ131" s="420"/>
      <c r="BK131" s="420"/>
      <c r="BL131" s="420"/>
      <c r="BM131" s="420"/>
      <c r="BN131" s="420"/>
      <c r="BO131" s="420"/>
      <c r="BP131" s="420"/>
      <c r="BQ131" s="420"/>
      <c r="BR131" s="420"/>
      <c r="BS131" s="420"/>
      <c r="BT131" s="420"/>
      <c r="BU131" s="420"/>
      <c r="BV131" s="420"/>
      <c r="BW131" s="420"/>
      <c r="BX131" s="420"/>
      <c r="BY131" s="420"/>
      <c r="BZ131" s="420"/>
      <c r="CA131" s="420"/>
      <c r="CB131" s="420"/>
      <c r="CC131" s="420"/>
      <c r="CD131" s="420"/>
      <c r="CE131" s="420"/>
      <c r="CF131" s="420"/>
      <c r="CG131" s="420"/>
      <c r="CH131" s="420"/>
      <c r="CI131" s="420"/>
      <c r="CJ131" s="420"/>
      <c r="CK131" s="420"/>
      <c r="CL131" s="420"/>
      <c r="CM131" s="420"/>
      <c r="CN131" s="420"/>
      <c r="CO131" s="420"/>
      <c r="CP131" s="420"/>
      <c r="CQ131" s="420"/>
      <c r="CR131" s="420"/>
      <c r="CS131" s="420"/>
      <c r="CT131" s="420"/>
      <c r="CU131" s="420"/>
      <c r="CV131" s="420"/>
      <c r="CW131" s="420"/>
      <c r="CX131" s="420"/>
      <c r="CY131" s="420"/>
      <c r="CZ131" s="420"/>
      <c r="DA131" s="420"/>
      <c r="DB131" s="420"/>
      <c r="DC131" s="420"/>
      <c r="DD131" s="420"/>
      <c r="DE131" s="420"/>
      <c r="DF131" s="420"/>
      <c r="DG131" s="420"/>
      <c r="DH131" s="420"/>
      <c r="DI131" s="420"/>
      <c r="DJ131" s="420"/>
      <c r="DK131" s="420"/>
      <c r="DL131" s="420"/>
      <c r="DM131" s="420"/>
      <c r="DN131" s="420"/>
      <c r="DO131" s="420"/>
      <c r="DP131" s="420"/>
      <c r="DQ131" s="420"/>
      <c r="DR131" s="420"/>
      <c r="DS131" s="420"/>
      <c r="DT131" s="420"/>
      <c r="DU131" s="420"/>
      <c r="DV131" s="420"/>
      <c r="DW131" s="420"/>
      <c r="DX131" s="420"/>
      <c r="DY131" s="420"/>
      <c r="DZ131" s="420"/>
      <c r="EA131" s="420"/>
      <c r="EB131" s="420"/>
      <c r="EC131" s="420"/>
      <c r="ED131" s="420"/>
      <c r="EE131" s="420"/>
      <c r="EF131" s="420"/>
      <c r="EG131" s="420"/>
      <c r="EH131" s="420"/>
      <c r="EI131" s="420"/>
      <c r="EJ131" s="420"/>
      <c r="EK131" s="420"/>
      <c r="EL131" s="420"/>
      <c r="EM131" s="420"/>
      <c r="EN131" s="420"/>
      <c r="EO131" s="420"/>
      <c r="EP131" s="420"/>
      <c r="EQ131" s="420"/>
      <c r="ER131" s="420"/>
      <c r="ES131" s="420"/>
      <c r="ET131" s="420"/>
      <c r="EU131" s="420"/>
      <c r="EV131" s="420"/>
      <c r="EW131" s="420"/>
      <c r="EX131" s="420"/>
      <c r="EY131" s="420"/>
      <c r="EZ131" s="420"/>
      <c r="FA131" s="420"/>
      <c r="FB131" s="420"/>
      <c r="FC131" s="420"/>
      <c r="FD131" s="420"/>
      <c r="FE131" s="420"/>
      <c r="FF131" s="420"/>
      <c r="FG131" s="420"/>
      <c r="FH131" s="420"/>
      <c r="FI131" s="420"/>
      <c r="FJ131" s="420"/>
      <c r="FK131" s="420"/>
      <c r="FL131" s="420"/>
      <c r="FM131" s="420"/>
      <c r="FN131" s="420"/>
      <c r="FO131" s="420"/>
      <c r="FP131" s="420"/>
      <c r="FQ131" s="420"/>
      <c r="FR131" s="420"/>
      <c r="FS131" s="420"/>
      <c r="FT131" s="420"/>
      <c r="FU131" s="420"/>
      <c r="FV131" s="420"/>
      <c r="FW131" s="420"/>
      <c r="FX131" s="420"/>
      <c r="FY131" s="420"/>
      <c r="FZ131" s="420"/>
      <c r="GA131" s="420"/>
      <c r="GB131" s="420"/>
      <c r="GC131" s="420"/>
      <c r="GD131" s="420"/>
      <c r="GE131" s="420"/>
      <c r="GF131" s="420"/>
      <c r="GG131" s="420"/>
      <c r="GH131" s="420"/>
      <c r="GI131" s="420"/>
      <c r="GJ131" s="420"/>
      <c r="GK131" s="420"/>
      <c r="GL131" s="420"/>
      <c r="GM131" s="420"/>
      <c r="GN131" s="420"/>
      <c r="GO131" s="420"/>
      <c r="GP131" s="420"/>
      <c r="GQ131" s="420"/>
      <c r="GR131" s="420"/>
      <c r="GS131" s="420"/>
      <c r="GT131" s="420"/>
      <c r="GU131" s="420"/>
      <c r="GV131" s="420"/>
      <c r="GW131" s="420"/>
      <c r="GX131" s="420"/>
      <c r="GY131" s="420"/>
      <c r="GZ131" s="420"/>
      <c r="HA131" s="420"/>
      <c r="HB131" s="420"/>
      <c r="HC131" s="420"/>
      <c r="HD131" s="420"/>
      <c r="HE131" s="420"/>
      <c r="HF131" s="420"/>
      <c r="HG131" s="420"/>
      <c r="HH131" s="420"/>
      <c r="HI131" s="420"/>
      <c r="HJ131" s="420"/>
      <c r="HK131" s="420"/>
      <c r="HL131" s="420"/>
      <c r="HM131" s="420"/>
      <c r="HN131" s="420"/>
      <c r="HO131" s="420"/>
      <c r="HP131" s="420"/>
      <c r="HQ131" s="420"/>
      <c r="HR131" s="420"/>
      <c r="HS131" s="420"/>
      <c r="HT131" s="420"/>
      <c r="HU131" s="420"/>
      <c r="HV131" s="420"/>
      <c r="HW131" s="420"/>
      <c r="HX131" s="420"/>
      <c r="HY131" s="420"/>
      <c r="HZ131" s="420"/>
      <c r="IA131" s="420"/>
      <c r="IB131" s="420"/>
      <c r="IC131" s="420"/>
      <c r="ID131" s="420"/>
      <c r="IE131" s="420"/>
      <c r="IF131" s="420"/>
      <c r="IG131" s="420"/>
      <c r="IH131" s="420"/>
      <c r="II131" s="420"/>
      <c r="IJ131" s="420"/>
      <c r="IK131" s="420"/>
      <c r="IL131" s="420"/>
      <c r="IM131" s="420"/>
      <c r="IN131" s="420"/>
      <c r="IO131" s="420"/>
      <c r="IP131" s="420"/>
      <c r="IQ131" s="420"/>
      <c r="IR131" s="420"/>
      <c r="IS131" s="420"/>
      <c r="IT131" s="420"/>
      <c r="IU131" s="420"/>
      <c r="IV131" s="420"/>
      <c r="IW131" s="420"/>
      <c r="IX131" s="420"/>
      <c r="IY131" s="420"/>
      <c r="IZ131" s="420"/>
      <c r="JA131" s="420"/>
      <c r="JB131" s="420"/>
    </row>
    <row r="132" spans="1:262" s="768" customFormat="1" ht="18" customHeight="1" x14ac:dyDescent="0.35">
      <c r="A132" s="783">
        <v>122</v>
      </c>
      <c r="B132" s="776"/>
      <c r="C132" s="422"/>
      <c r="D132" s="1338" t="s">
        <v>963</v>
      </c>
      <c r="E132" s="432"/>
      <c r="F132" s="772"/>
      <c r="G132" s="433"/>
      <c r="H132" s="1009"/>
      <c r="I132" s="1005"/>
      <c r="J132" s="769"/>
      <c r="K132" s="769"/>
      <c r="L132" s="769"/>
      <c r="M132" s="769"/>
      <c r="N132" s="769"/>
      <c r="O132" s="769"/>
      <c r="P132" s="777">
        <f t="shared" ref="P132:P133" si="12">SUM(I132:O132)</f>
        <v>0</v>
      </c>
      <c r="Q132" s="773"/>
      <c r="R132" s="420"/>
      <c r="S132" s="420"/>
      <c r="T132" s="420"/>
      <c r="U132" s="420"/>
      <c r="V132" s="420"/>
      <c r="W132" s="420"/>
      <c r="X132" s="420"/>
      <c r="Y132" s="420"/>
      <c r="Z132" s="420"/>
      <c r="AA132" s="420"/>
      <c r="AB132" s="420"/>
      <c r="AC132" s="420"/>
      <c r="AD132" s="420"/>
      <c r="AE132" s="420"/>
      <c r="AF132" s="420"/>
      <c r="AG132" s="420"/>
      <c r="AH132" s="420"/>
      <c r="AI132" s="420"/>
      <c r="AJ132" s="420"/>
      <c r="AK132" s="420"/>
      <c r="AL132" s="420"/>
      <c r="AM132" s="420"/>
      <c r="AN132" s="420"/>
      <c r="AO132" s="420"/>
      <c r="AP132" s="420"/>
      <c r="AQ132" s="420"/>
      <c r="AR132" s="420"/>
      <c r="AS132" s="420"/>
      <c r="AT132" s="420"/>
      <c r="AU132" s="420"/>
      <c r="AV132" s="420"/>
      <c r="AW132" s="420"/>
      <c r="AX132" s="420"/>
      <c r="AY132" s="420"/>
      <c r="AZ132" s="420"/>
      <c r="BA132" s="420"/>
      <c r="BB132" s="420"/>
      <c r="BC132" s="420"/>
      <c r="BD132" s="420"/>
      <c r="BE132" s="420"/>
      <c r="BF132" s="420"/>
      <c r="BG132" s="420"/>
      <c r="BH132" s="420"/>
      <c r="BI132" s="420"/>
      <c r="BJ132" s="420"/>
      <c r="BK132" s="420"/>
      <c r="BL132" s="420"/>
      <c r="BM132" s="420"/>
      <c r="BN132" s="420"/>
      <c r="BO132" s="420"/>
      <c r="BP132" s="420"/>
      <c r="BQ132" s="420"/>
      <c r="BR132" s="420"/>
      <c r="BS132" s="420"/>
      <c r="BT132" s="420"/>
      <c r="BU132" s="420"/>
      <c r="BV132" s="420"/>
      <c r="BW132" s="420"/>
      <c r="BX132" s="420"/>
      <c r="BY132" s="420"/>
      <c r="BZ132" s="420"/>
      <c r="CA132" s="420"/>
      <c r="CB132" s="420"/>
      <c r="CC132" s="420"/>
      <c r="CD132" s="420"/>
      <c r="CE132" s="420"/>
      <c r="CF132" s="420"/>
      <c r="CG132" s="420"/>
      <c r="CH132" s="420"/>
      <c r="CI132" s="420"/>
      <c r="CJ132" s="420"/>
      <c r="CK132" s="420"/>
      <c r="CL132" s="420"/>
      <c r="CM132" s="420"/>
      <c r="CN132" s="420"/>
      <c r="CO132" s="420"/>
      <c r="CP132" s="420"/>
      <c r="CQ132" s="420"/>
      <c r="CR132" s="420"/>
      <c r="CS132" s="420"/>
      <c r="CT132" s="420"/>
      <c r="CU132" s="420"/>
      <c r="CV132" s="420"/>
      <c r="CW132" s="420"/>
      <c r="CX132" s="420"/>
      <c r="CY132" s="420"/>
      <c r="CZ132" s="420"/>
      <c r="DA132" s="420"/>
      <c r="DB132" s="420"/>
      <c r="DC132" s="420"/>
      <c r="DD132" s="420"/>
      <c r="DE132" s="420"/>
      <c r="DF132" s="420"/>
      <c r="DG132" s="420"/>
      <c r="DH132" s="420"/>
      <c r="DI132" s="420"/>
      <c r="DJ132" s="420"/>
      <c r="DK132" s="420"/>
      <c r="DL132" s="420"/>
      <c r="DM132" s="420"/>
      <c r="DN132" s="420"/>
      <c r="DO132" s="420"/>
      <c r="DP132" s="420"/>
      <c r="DQ132" s="420"/>
      <c r="DR132" s="420"/>
      <c r="DS132" s="420"/>
      <c r="DT132" s="420"/>
      <c r="DU132" s="420"/>
      <c r="DV132" s="420"/>
      <c r="DW132" s="420"/>
      <c r="DX132" s="420"/>
      <c r="DY132" s="420"/>
      <c r="DZ132" s="420"/>
      <c r="EA132" s="420"/>
      <c r="EB132" s="420"/>
      <c r="EC132" s="420"/>
      <c r="ED132" s="420"/>
      <c r="EE132" s="420"/>
      <c r="EF132" s="420"/>
      <c r="EG132" s="420"/>
      <c r="EH132" s="420"/>
      <c r="EI132" s="420"/>
      <c r="EJ132" s="420"/>
      <c r="EK132" s="420"/>
      <c r="EL132" s="420"/>
      <c r="EM132" s="420"/>
      <c r="EN132" s="420"/>
      <c r="EO132" s="420"/>
      <c r="EP132" s="420"/>
      <c r="EQ132" s="420"/>
      <c r="ER132" s="420"/>
      <c r="ES132" s="420"/>
      <c r="ET132" s="420"/>
      <c r="EU132" s="420"/>
      <c r="EV132" s="420"/>
      <c r="EW132" s="420"/>
      <c r="EX132" s="420"/>
      <c r="EY132" s="420"/>
      <c r="EZ132" s="420"/>
      <c r="FA132" s="420"/>
      <c r="FB132" s="420"/>
      <c r="FC132" s="420"/>
      <c r="FD132" s="420"/>
      <c r="FE132" s="420"/>
      <c r="FF132" s="420"/>
      <c r="FG132" s="420"/>
      <c r="FH132" s="420"/>
      <c r="FI132" s="420"/>
      <c r="FJ132" s="420"/>
      <c r="FK132" s="420"/>
      <c r="FL132" s="420"/>
      <c r="FM132" s="420"/>
      <c r="FN132" s="420"/>
      <c r="FO132" s="420"/>
      <c r="FP132" s="420"/>
      <c r="FQ132" s="420"/>
      <c r="FR132" s="420"/>
      <c r="FS132" s="420"/>
      <c r="FT132" s="420"/>
      <c r="FU132" s="420"/>
      <c r="FV132" s="420"/>
      <c r="FW132" s="420"/>
      <c r="FX132" s="420"/>
      <c r="FY132" s="420"/>
      <c r="FZ132" s="420"/>
      <c r="GA132" s="420"/>
      <c r="GB132" s="420"/>
      <c r="GC132" s="420"/>
      <c r="GD132" s="420"/>
      <c r="GE132" s="420"/>
      <c r="GF132" s="420"/>
      <c r="GG132" s="420"/>
      <c r="GH132" s="420"/>
      <c r="GI132" s="420"/>
      <c r="GJ132" s="420"/>
      <c r="GK132" s="420"/>
      <c r="GL132" s="420"/>
      <c r="GM132" s="420"/>
      <c r="GN132" s="420"/>
      <c r="GO132" s="420"/>
      <c r="GP132" s="420"/>
      <c r="GQ132" s="420"/>
      <c r="GR132" s="420"/>
      <c r="GS132" s="420"/>
      <c r="GT132" s="420"/>
      <c r="GU132" s="420"/>
      <c r="GV132" s="420"/>
      <c r="GW132" s="420"/>
      <c r="GX132" s="420"/>
      <c r="GY132" s="420"/>
      <c r="GZ132" s="420"/>
      <c r="HA132" s="420"/>
      <c r="HB132" s="420"/>
      <c r="HC132" s="420"/>
      <c r="HD132" s="420"/>
      <c r="HE132" s="420"/>
      <c r="HF132" s="420"/>
      <c r="HG132" s="420"/>
      <c r="HH132" s="420"/>
      <c r="HI132" s="420"/>
      <c r="HJ132" s="420"/>
      <c r="HK132" s="420"/>
      <c r="HL132" s="420"/>
      <c r="HM132" s="420"/>
      <c r="HN132" s="420"/>
      <c r="HO132" s="420"/>
      <c r="HP132" s="420"/>
      <c r="HQ132" s="420"/>
      <c r="HR132" s="420"/>
      <c r="HS132" s="420"/>
      <c r="HT132" s="420"/>
      <c r="HU132" s="420"/>
      <c r="HV132" s="420"/>
      <c r="HW132" s="420"/>
      <c r="HX132" s="420"/>
      <c r="HY132" s="420"/>
      <c r="HZ132" s="420"/>
      <c r="IA132" s="420"/>
      <c r="IB132" s="420"/>
      <c r="IC132" s="420"/>
      <c r="ID132" s="420"/>
      <c r="IE132" s="420"/>
      <c r="IF132" s="420"/>
      <c r="IG132" s="420"/>
      <c r="IH132" s="420"/>
      <c r="II132" s="420"/>
      <c r="IJ132" s="420"/>
      <c r="IK132" s="420"/>
      <c r="IL132" s="420"/>
      <c r="IM132" s="420"/>
      <c r="IN132" s="420"/>
      <c r="IO132" s="420"/>
      <c r="IP132" s="420"/>
      <c r="IQ132" s="420"/>
      <c r="IR132" s="420"/>
      <c r="IS132" s="420"/>
      <c r="IT132" s="420"/>
      <c r="IU132" s="420"/>
      <c r="IV132" s="420"/>
      <c r="IW132" s="420"/>
      <c r="IX132" s="420"/>
      <c r="IY132" s="420"/>
      <c r="IZ132" s="420"/>
      <c r="JA132" s="420"/>
      <c r="JB132" s="420"/>
    </row>
    <row r="133" spans="1:262" s="768" customFormat="1" ht="18" customHeight="1" x14ac:dyDescent="0.35">
      <c r="A133" s="783">
        <v>123</v>
      </c>
      <c r="B133" s="776"/>
      <c r="C133" s="422"/>
      <c r="D133" s="583" t="s">
        <v>1151</v>
      </c>
      <c r="E133" s="432"/>
      <c r="F133" s="772"/>
      <c r="G133" s="433"/>
      <c r="H133" s="1009"/>
      <c r="I133" s="1005"/>
      <c r="J133" s="769"/>
      <c r="K133" s="769"/>
      <c r="L133" s="769"/>
      <c r="M133" s="769">
        <f>SUM(M131:M132)</f>
        <v>0</v>
      </c>
      <c r="N133" s="769"/>
      <c r="O133" s="769"/>
      <c r="P133" s="777">
        <f t="shared" si="12"/>
        <v>0</v>
      </c>
      <c r="Q133" s="773"/>
      <c r="R133" s="420"/>
      <c r="S133" s="420"/>
      <c r="T133" s="420"/>
      <c r="U133" s="420"/>
      <c r="V133" s="420"/>
      <c r="W133" s="420"/>
      <c r="X133" s="420"/>
      <c r="Y133" s="420"/>
      <c r="Z133" s="420"/>
      <c r="AA133" s="420"/>
      <c r="AB133" s="420"/>
      <c r="AC133" s="420"/>
      <c r="AD133" s="420"/>
      <c r="AE133" s="420"/>
      <c r="AF133" s="420"/>
      <c r="AG133" s="420"/>
      <c r="AH133" s="420"/>
      <c r="AI133" s="420"/>
      <c r="AJ133" s="420"/>
      <c r="AK133" s="420"/>
      <c r="AL133" s="420"/>
      <c r="AM133" s="420"/>
      <c r="AN133" s="420"/>
      <c r="AO133" s="420"/>
      <c r="AP133" s="420"/>
      <c r="AQ133" s="420"/>
      <c r="AR133" s="420"/>
      <c r="AS133" s="420"/>
      <c r="AT133" s="420"/>
      <c r="AU133" s="420"/>
      <c r="AV133" s="420"/>
      <c r="AW133" s="420"/>
      <c r="AX133" s="420"/>
      <c r="AY133" s="420"/>
      <c r="AZ133" s="420"/>
      <c r="BA133" s="420"/>
      <c r="BB133" s="420"/>
      <c r="BC133" s="420"/>
      <c r="BD133" s="420"/>
      <c r="BE133" s="420"/>
      <c r="BF133" s="420"/>
      <c r="BG133" s="420"/>
      <c r="BH133" s="420"/>
      <c r="BI133" s="420"/>
      <c r="BJ133" s="420"/>
      <c r="BK133" s="420"/>
      <c r="BL133" s="420"/>
      <c r="BM133" s="420"/>
      <c r="BN133" s="420"/>
      <c r="BO133" s="420"/>
      <c r="BP133" s="420"/>
      <c r="BQ133" s="420"/>
      <c r="BR133" s="420"/>
      <c r="BS133" s="420"/>
      <c r="BT133" s="420"/>
      <c r="BU133" s="420"/>
      <c r="BV133" s="420"/>
      <c r="BW133" s="420"/>
      <c r="BX133" s="420"/>
      <c r="BY133" s="420"/>
      <c r="BZ133" s="420"/>
      <c r="CA133" s="420"/>
      <c r="CB133" s="420"/>
      <c r="CC133" s="420"/>
      <c r="CD133" s="420"/>
      <c r="CE133" s="420"/>
      <c r="CF133" s="420"/>
      <c r="CG133" s="420"/>
      <c r="CH133" s="420"/>
      <c r="CI133" s="420"/>
      <c r="CJ133" s="420"/>
      <c r="CK133" s="420"/>
      <c r="CL133" s="420"/>
      <c r="CM133" s="420"/>
      <c r="CN133" s="420"/>
      <c r="CO133" s="420"/>
      <c r="CP133" s="420"/>
      <c r="CQ133" s="420"/>
      <c r="CR133" s="420"/>
      <c r="CS133" s="420"/>
      <c r="CT133" s="420"/>
      <c r="CU133" s="420"/>
      <c r="CV133" s="420"/>
      <c r="CW133" s="420"/>
      <c r="CX133" s="420"/>
      <c r="CY133" s="420"/>
      <c r="CZ133" s="420"/>
      <c r="DA133" s="420"/>
      <c r="DB133" s="420"/>
      <c r="DC133" s="420"/>
      <c r="DD133" s="420"/>
      <c r="DE133" s="420"/>
      <c r="DF133" s="420"/>
      <c r="DG133" s="420"/>
      <c r="DH133" s="420"/>
      <c r="DI133" s="420"/>
      <c r="DJ133" s="420"/>
      <c r="DK133" s="420"/>
      <c r="DL133" s="420"/>
      <c r="DM133" s="420"/>
      <c r="DN133" s="420"/>
      <c r="DO133" s="420"/>
      <c r="DP133" s="420"/>
      <c r="DQ133" s="420"/>
      <c r="DR133" s="420"/>
      <c r="DS133" s="420"/>
      <c r="DT133" s="420"/>
      <c r="DU133" s="420"/>
      <c r="DV133" s="420"/>
      <c r="DW133" s="420"/>
      <c r="DX133" s="420"/>
      <c r="DY133" s="420"/>
      <c r="DZ133" s="420"/>
      <c r="EA133" s="420"/>
      <c r="EB133" s="420"/>
      <c r="EC133" s="420"/>
      <c r="ED133" s="420"/>
      <c r="EE133" s="420"/>
      <c r="EF133" s="420"/>
      <c r="EG133" s="420"/>
      <c r="EH133" s="420"/>
      <c r="EI133" s="420"/>
      <c r="EJ133" s="420"/>
      <c r="EK133" s="420"/>
      <c r="EL133" s="420"/>
      <c r="EM133" s="420"/>
      <c r="EN133" s="420"/>
      <c r="EO133" s="420"/>
      <c r="EP133" s="420"/>
      <c r="EQ133" s="420"/>
      <c r="ER133" s="420"/>
      <c r="ES133" s="420"/>
      <c r="ET133" s="420"/>
      <c r="EU133" s="420"/>
      <c r="EV133" s="420"/>
      <c r="EW133" s="420"/>
      <c r="EX133" s="420"/>
      <c r="EY133" s="420"/>
      <c r="EZ133" s="420"/>
      <c r="FA133" s="420"/>
      <c r="FB133" s="420"/>
      <c r="FC133" s="420"/>
      <c r="FD133" s="420"/>
      <c r="FE133" s="420"/>
      <c r="FF133" s="420"/>
      <c r="FG133" s="420"/>
      <c r="FH133" s="420"/>
      <c r="FI133" s="420"/>
      <c r="FJ133" s="420"/>
      <c r="FK133" s="420"/>
      <c r="FL133" s="420"/>
      <c r="FM133" s="420"/>
      <c r="FN133" s="420"/>
      <c r="FO133" s="420"/>
      <c r="FP133" s="420"/>
      <c r="FQ133" s="420"/>
      <c r="FR133" s="420"/>
      <c r="FS133" s="420"/>
      <c r="FT133" s="420"/>
      <c r="FU133" s="420"/>
      <c r="FV133" s="420"/>
      <c r="FW133" s="420"/>
      <c r="FX133" s="420"/>
      <c r="FY133" s="420"/>
      <c r="FZ133" s="420"/>
      <c r="GA133" s="420"/>
      <c r="GB133" s="420"/>
      <c r="GC133" s="420"/>
      <c r="GD133" s="420"/>
      <c r="GE133" s="420"/>
      <c r="GF133" s="420"/>
      <c r="GG133" s="420"/>
      <c r="GH133" s="420"/>
      <c r="GI133" s="420"/>
      <c r="GJ133" s="420"/>
      <c r="GK133" s="420"/>
      <c r="GL133" s="420"/>
      <c r="GM133" s="420"/>
      <c r="GN133" s="420"/>
      <c r="GO133" s="420"/>
      <c r="GP133" s="420"/>
      <c r="GQ133" s="420"/>
      <c r="GR133" s="420"/>
      <c r="GS133" s="420"/>
      <c r="GT133" s="420"/>
      <c r="GU133" s="420"/>
      <c r="GV133" s="420"/>
      <c r="GW133" s="420"/>
      <c r="GX133" s="420"/>
      <c r="GY133" s="420"/>
      <c r="GZ133" s="420"/>
      <c r="HA133" s="420"/>
      <c r="HB133" s="420"/>
      <c r="HC133" s="420"/>
      <c r="HD133" s="420"/>
      <c r="HE133" s="420"/>
      <c r="HF133" s="420"/>
      <c r="HG133" s="420"/>
      <c r="HH133" s="420"/>
      <c r="HI133" s="420"/>
      <c r="HJ133" s="420"/>
      <c r="HK133" s="420"/>
      <c r="HL133" s="420"/>
      <c r="HM133" s="420"/>
      <c r="HN133" s="420"/>
      <c r="HO133" s="420"/>
      <c r="HP133" s="420"/>
      <c r="HQ133" s="420"/>
      <c r="HR133" s="420"/>
      <c r="HS133" s="420"/>
      <c r="HT133" s="420"/>
      <c r="HU133" s="420"/>
      <c r="HV133" s="420"/>
      <c r="HW133" s="420"/>
      <c r="HX133" s="420"/>
      <c r="HY133" s="420"/>
      <c r="HZ133" s="420"/>
      <c r="IA133" s="420"/>
      <c r="IB133" s="420"/>
      <c r="IC133" s="420"/>
      <c r="ID133" s="420"/>
      <c r="IE133" s="420"/>
      <c r="IF133" s="420"/>
      <c r="IG133" s="420"/>
      <c r="IH133" s="420"/>
      <c r="II133" s="420"/>
      <c r="IJ133" s="420"/>
      <c r="IK133" s="420"/>
      <c r="IL133" s="420"/>
      <c r="IM133" s="420"/>
      <c r="IN133" s="420"/>
      <c r="IO133" s="420"/>
      <c r="IP133" s="420"/>
      <c r="IQ133" s="420"/>
      <c r="IR133" s="420"/>
      <c r="IS133" s="420"/>
      <c r="IT133" s="420"/>
      <c r="IU133" s="420"/>
      <c r="IV133" s="420"/>
      <c r="IW133" s="420"/>
      <c r="IX133" s="420"/>
      <c r="IY133" s="420"/>
      <c r="IZ133" s="420"/>
      <c r="JA133" s="420"/>
      <c r="JB133" s="420"/>
    </row>
    <row r="134" spans="1:262" ht="22.5" customHeight="1" x14ac:dyDescent="0.35">
      <c r="A134" s="783">
        <v>124</v>
      </c>
      <c r="B134" s="625"/>
      <c r="C134" s="466"/>
      <c r="D134" s="780" t="s">
        <v>951</v>
      </c>
      <c r="E134" s="432"/>
      <c r="F134" s="772"/>
      <c r="G134" s="433"/>
      <c r="H134" s="1009"/>
      <c r="I134" s="1005"/>
      <c r="J134" s="769"/>
      <c r="K134" s="769"/>
      <c r="L134" s="769"/>
      <c r="M134" s="1023"/>
      <c r="N134" s="769"/>
      <c r="O134" s="769"/>
      <c r="P134" s="777"/>
      <c r="Q134" s="773"/>
    </row>
    <row r="135" spans="1:262" ht="18" customHeight="1" x14ac:dyDescent="0.35">
      <c r="A135" s="783">
        <v>125</v>
      </c>
      <c r="B135" s="625"/>
      <c r="C135" s="466"/>
      <c r="D135" s="1002" t="s">
        <v>311</v>
      </c>
      <c r="E135" s="432"/>
      <c r="F135" s="772"/>
      <c r="G135" s="433"/>
      <c r="H135" s="1009"/>
      <c r="I135" s="1005"/>
      <c r="J135" s="769"/>
      <c r="K135" s="769"/>
      <c r="L135" s="769"/>
      <c r="M135" s="999">
        <v>10000</v>
      </c>
      <c r="N135" s="769"/>
      <c r="O135" s="769"/>
      <c r="P135" s="992">
        <f>SUM(I135:O135)</f>
        <v>10000</v>
      </c>
      <c r="Q135" s="773"/>
    </row>
    <row r="136" spans="1:262" ht="18" customHeight="1" x14ac:dyDescent="0.35">
      <c r="A136" s="783">
        <v>126</v>
      </c>
      <c r="B136" s="625"/>
      <c r="C136" s="466"/>
      <c r="D136" s="583" t="s">
        <v>1072</v>
      </c>
      <c r="E136" s="432"/>
      <c r="F136" s="772"/>
      <c r="G136" s="433"/>
      <c r="H136" s="1009"/>
      <c r="I136" s="1005"/>
      <c r="J136" s="769"/>
      <c r="K136" s="769"/>
      <c r="L136" s="769"/>
      <c r="M136" s="1548">
        <v>0</v>
      </c>
      <c r="N136" s="1548"/>
      <c r="O136" s="1548"/>
      <c r="P136" s="777">
        <f>SUM(I136:O136)</f>
        <v>0</v>
      </c>
      <c r="Q136" s="773"/>
    </row>
    <row r="137" spans="1:262" ht="18" customHeight="1" x14ac:dyDescent="0.35">
      <c r="A137" s="783">
        <v>127</v>
      </c>
      <c r="B137" s="625"/>
      <c r="C137" s="466"/>
      <c r="D137" s="1338" t="s">
        <v>963</v>
      </c>
      <c r="E137" s="432"/>
      <c r="F137" s="772"/>
      <c r="G137" s="433"/>
      <c r="H137" s="1009"/>
      <c r="I137" s="1005"/>
      <c r="J137" s="769"/>
      <c r="K137" s="769"/>
      <c r="L137" s="769"/>
      <c r="M137" s="769"/>
      <c r="N137" s="769"/>
      <c r="O137" s="769"/>
      <c r="P137" s="777">
        <f t="shared" ref="P137:P138" si="13">SUM(I137:O137)</f>
        <v>0</v>
      </c>
      <c r="Q137" s="773"/>
    </row>
    <row r="138" spans="1:262" ht="18" customHeight="1" x14ac:dyDescent="0.35">
      <c r="A138" s="783">
        <v>128</v>
      </c>
      <c r="B138" s="625"/>
      <c r="C138" s="466"/>
      <c r="D138" s="583" t="s">
        <v>1151</v>
      </c>
      <c r="E138" s="432"/>
      <c r="F138" s="772"/>
      <c r="G138" s="433"/>
      <c r="H138" s="1009"/>
      <c r="I138" s="1005"/>
      <c r="J138" s="769"/>
      <c r="K138" s="769"/>
      <c r="L138" s="769"/>
      <c r="M138" s="769">
        <f>SUM(M136:M137)</f>
        <v>0</v>
      </c>
      <c r="N138" s="769"/>
      <c r="O138" s="769"/>
      <c r="P138" s="777">
        <f t="shared" si="13"/>
        <v>0</v>
      </c>
      <c r="Q138" s="773"/>
    </row>
    <row r="139" spans="1:262" s="768" customFormat="1" ht="22.5" customHeight="1" x14ac:dyDescent="0.35">
      <c r="A139" s="783">
        <v>129</v>
      </c>
      <c r="B139" s="776"/>
      <c r="C139" s="466"/>
      <c r="D139" s="1264" t="s">
        <v>707</v>
      </c>
      <c r="E139" s="432"/>
      <c r="F139" s="772"/>
      <c r="G139" s="433"/>
      <c r="H139" s="1009"/>
      <c r="I139" s="1005"/>
      <c r="J139" s="769"/>
      <c r="K139" s="769"/>
      <c r="L139" s="769"/>
      <c r="M139" s="1023"/>
      <c r="N139" s="769"/>
      <c r="O139" s="769"/>
      <c r="P139" s="777"/>
      <c r="Q139" s="773"/>
      <c r="R139" s="420"/>
      <c r="S139" s="420"/>
      <c r="T139" s="420"/>
      <c r="U139" s="420"/>
      <c r="V139" s="420"/>
      <c r="W139" s="420"/>
      <c r="X139" s="420"/>
      <c r="Y139" s="420"/>
      <c r="Z139" s="420"/>
      <c r="AA139" s="420"/>
      <c r="AB139" s="420"/>
      <c r="AC139" s="420"/>
      <c r="AD139" s="420"/>
      <c r="AE139" s="420"/>
      <c r="AF139" s="420"/>
      <c r="AG139" s="420"/>
      <c r="AH139" s="420"/>
      <c r="AI139" s="420"/>
      <c r="AJ139" s="420"/>
      <c r="AK139" s="420"/>
      <c r="AL139" s="420"/>
      <c r="AM139" s="420"/>
      <c r="AN139" s="420"/>
      <c r="AO139" s="420"/>
      <c r="AP139" s="420"/>
      <c r="AQ139" s="420"/>
      <c r="AR139" s="420"/>
      <c r="AS139" s="420"/>
      <c r="AT139" s="420"/>
      <c r="AU139" s="420"/>
      <c r="AV139" s="420"/>
      <c r="AW139" s="420"/>
      <c r="AX139" s="420"/>
      <c r="AY139" s="420"/>
      <c r="AZ139" s="420"/>
      <c r="BA139" s="420"/>
      <c r="BB139" s="420"/>
      <c r="BC139" s="420"/>
      <c r="BD139" s="420"/>
      <c r="BE139" s="420"/>
      <c r="BF139" s="420"/>
      <c r="BG139" s="420"/>
      <c r="BH139" s="420"/>
      <c r="BI139" s="420"/>
      <c r="BJ139" s="420"/>
      <c r="BK139" s="420"/>
      <c r="BL139" s="420"/>
      <c r="BM139" s="420"/>
      <c r="BN139" s="420"/>
      <c r="BO139" s="420"/>
      <c r="BP139" s="420"/>
      <c r="BQ139" s="420"/>
      <c r="BR139" s="420"/>
      <c r="BS139" s="420"/>
      <c r="BT139" s="420"/>
      <c r="BU139" s="420"/>
      <c r="BV139" s="420"/>
      <c r="BW139" s="420"/>
      <c r="BX139" s="420"/>
      <c r="BY139" s="420"/>
      <c r="BZ139" s="420"/>
      <c r="CA139" s="420"/>
      <c r="CB139" s="420"/>
      <c r="CC139" s="420"/>
      <c r="CD139" s="420"/>
      <c r="CE139" s="420"/>
      <c r="CF139" s="420"/>
      <c r="CG139" s="420"/>
      <c r="CH139" s="420"/>
      <c r="CI139" s="420"/>
      <c r="CJ139" s="420"/>
      <c r="CK139" s="420"/>
      <c r="CL139" s="420"/>
      <c r="CM139" s="420"/>
      <c r="CN139" s="420"/>
      <c r="CO139" s="420"/>
      <c r="CP139" s="420"/>
      <c r="CQ139" s="420"/>
      <c r="CR139" s="420"/>
      <c r="CS139" s="420"/>
      <c r="CT139" s="420"/>
      <c r="CU139" s="420"/>
      <c r="CV139" s="420"/>
      <c r="CW139" s="420"/>
      <c r="CX139" s="420"/>
      <c r="CY139" s="420"/>
      <c r="CZ139" s="420"/>
      <c r="DA139" s="420"/>
      <c r="DB139" s="420"/>
      <c r="DC139" s="420"/>
      <c r="DD139" s="420"/>
      <c r="DE139" s="420"/>
      <c r="DF139" s="420"/>
      <c r="DG139" s="420"/>
      <c r="DH139" s="420"/>
      <c r="DI139" s="420"/>
      <c r="DJ139" s="420"/>
      <c r="DK139" s="420"/>
      <c r="DL139" s="420"/>
      <c r="DM139" s="420"/>
      <c r="DN139" s="420"/>
      <c r="DO139" s="420"/>
      <c r="DP139" s="420"/>
      <c r="DQ139" s="420"/>
      <c r="DR139" s="420"/>
      <c r="DS139" s="420"/>
      <c r="DT139" s="420"/>
      <c r="DU139" s="420"/>
      <c r="DV139" s="420"/>
      <c r="DW139" s="420"/>
      <c r="DX139" s="420"/>
      <c r="DY139" s="420"/>
      <c r="DZ139" s="420"/>
      <c r="EA139" s="420"/>
      <c r="EB139" s="420"/>
      <c r="EC139" s="420"/>
      <c r="ED139" s="420"/>
      <c r="EE139" s="420"/>
      <c r="EF139" s="420"/>
      <c r="EG139" s="420"/>
      <c r="EH139" s="420"/>
      <c r="EI139" s="420"/>
      <c r="EJ139" s="420"/>
      <c r="EK139" s="420"/>
      <c r="EL139" s="420"/>
      <c r="EM139" s="420"/>
      <c r="EN139" s="420"/>
      <c r="EO139" s="420"/>
      <c r="EP139" s="420"/>
      <c r="EQ139" s="420"/>
      <c r="ER139" s="420"/>
      <c r="ES139" s="420"/>
      <c r="ET139" s="420"/>
      <c r="EU139" s="420"/>
      <c r="EV139" s="420"/>
      <c r="EW139" s="420"/>
      <c r="EX139" s="420"/>
      <c r="EY139" s="420"/>
      <c r="EZ139" s="420"/>
      <c r="FA139" s="420"/>
      <c r="FB139" s="420"/>
      <c r="FC139" s="420"/>
      <c r="FD139" s="420"/>
      <c r="FE139" s="420"/>
      <c r="FF139" s="420"/>
      <c r="FG139" s="420"/>
      <c r="FH139" s="420"/>
      <c r="FI139" s="420"/>
      <c r="FJ139" s="420"/>
      <c r="FK139" s="420"/>
      <c r="FL139" s="420"/>
      <c r="FM139" s="420"/>
      <c r="FN139" s="420"/>
      <c r="FO139" s="420"/>
      <c r="FP139" s="420"/>
      <c r="FQ139" s="420"/>
      <c r="FR139" s="420"/>
      <c r="FS139" s="420"/>
      <c r="FT139" s="420"/>
      <c r="FU139" s="420"/>
      <c r="FV139" s="420"/>
      <c r="FW139" s="420"/>
      <c r="FX139" s="420"/>
      <c r="FY139" s="420"/>
      <c r="FZ139" s="420"/>
      <c r="GA139" s="420"/>
      <c r="GB139" s="420"/>
      <c r="GC139" s="420"/>
      <c r="GD139" s="420"/>
      <c r="GE139" s="420"/>
      <c r="GF139" s="420"/>
      <c r="GG139" s="420"/>
      <c r="GH139" s="420"/>
      <c r="GI139" s="420"/>
      <c r="GJ139" s="420"/>
      <c r="GK139" s="420"/>
      <c r="GL139" s="420"/>
      <c r="GM139" s="420"/>
      <c r="GN139" s="420"/>
      <c r="GO139" s="420"/>
      <c r="GP139" s="420"/>
      <c r="GQ139" s="420"/>
      <c r="GR139" s="420"/>
      <c r="GS139" s="420"/>
      <c r="GT139" s="420"/>
      <c r="GU139" s="420"/>
      <c r="GV139" s="420"/>
      <c r="GW139" s="420"/>
      <c r="GX139" s="420"/>
      <c r="GY139" s="420"/>
      <c r="GZ139" s="420"/>
      <c r="HA139" s="420"/>
      <c r="HB139" s="420"/>
      <c r="HC139" s="420"/>
      <c r="HD139" s="420"/>
      <c r="HE139" s="420"/>
      <c r="HF139" s="420"/>
      <c r="HG139" s="420"/>
      <c r="HH139" s="420"/>
      <c r="HI139" s="420"/>
      <c r="HJ139" s="420"/>
      <c r="HK139" s="420"/>
      <c r="HL139" s="420"/>
      <c r="HM139" s="420"/>
      <c r="HN139" s="420"/>
      <c r="HO139" s="420"/>
      <c r="HP139" s="420"/>
      <c r="HQ139" s="420"/>
      <c r="HR139" s="420"/>
      <c r="HS139" s="420"/>
      <c r="HT139" s="420"/>
      <c r="HU139" s="420"/>
      <c r="HV139" s="420"/>
      <c r="HW139" s="420"/>
      <c r="HX139" s="420"/>
      <c r="HY139" s="420"/>
      <c r="HZ139" s="420"/>
      <c r="IA139" s="420"/>
      <c r="IB139" s="420"/>
      <c r="IC139" s="420"/>
      <c r="ID139" s="420"/>
      <c r="IE139" s="420"/>
      <c r="IF139" s="420"/>
      <c r="IG139" s="420"/>
      <c r="IH139" s="420"/>
      <c r="II139" s="420"/>
      <c r="IJ139" s="420"/>
      <c r="IK139" s="420"/>
      <c r="IL139" s="420"/>
      <c r="IM139" s="420"/>
      <c r="IN139" s="420"/>
      <c r="IO139" s="420"/>
      <c r="IP139" s="420"/>
      <c r="IQ139" s="420"/>
      <c r="IR139" s="420"/>
      <c r="IS139" s="420"/>
      <c r="IT139" s="420"/>
      <c r="IU139" s="420"/>
      <c r="IV139" s="420"/>
      <c r="IW139" s="420"/>
      <c r="IX139" s="420"/>
      <c r="IY139" s="420"/>
      <c r="IZ139" s="420"/>
      <c r="JA139" s="420"/>
      <c r="JB139" s="420"/>
    </row>
    <row r="140" spans="1:262" ht="18" customHeight="1" x14ac:dyDescent="0.35">
      <c r="A140" s="783">
        <v>130</v>
      </c>
      <c r="B140" s="625"/>
      <c r="C140" s="466"/>
      <c r="D140" s="1002" t="s">
        <v>311</v>
      </c>
      <c r="E140" s="432"/>
      <c r="F140" s="772"/>
      <c r="G140" s="433"/>
      <c r="H140" s="1009"/>
      <c r="I140" s="1005"/>
      <c r="J140" s="769"/>
      <c r="K140" s="769"/>
      <c r="L140" s="769"/>
      <c r="M140" s="999">
        <v>10000</v>
      </c>
      <c r="N140" s="769"/>
      <c r="O140" s="769"/>
      <c r="P140" s="992">
        <f>SUM(I140:O140)</f>
        <v>10000</v>
      </c>
      <c r="Q140" s="773"/>
    </row>
    <row r="141" spans="1:262" ht="18" customHeight="1" x14ac:dyDescent="0.35">
      <c r="A141" s="783">
        <v>131</v>
      </c>
      <c r="B141" s="625"/>
      <c r="C141" s="466"/>
      <c r="D141" s="583" t="s">
        <v>1072</v>
      </c>
      <c r="E141" s="432"/>
      <c r="F141" s="772"/>
      <c r="G141" s="433"/>
      <c r="H141" s="1009"/>
      <c r="I141" s="1005"/>
      <c r="J141" s="769"/>
      <c r="K141" s="769"/>
      <c r="L141" s="769"/>
      <c r="M141" s="1548">
        <v>0</v>
      </c>
      <c r="N141" s="1548"/>
      <c r="O141" s="1548"/>
      <c r="P141" s="777">
        <f>SUM(I141:O141)</f>
        <v>0</v>
      </c>
      <c r="Q141" s="773"/>
    </row>
    <row r="142" spans="1:262" ht="18" customHeight="1" x14ac:dyDescent="0.35">
      <c r="A142" s="783">
        <v>132</v>
      </c>
      <c r="B142" s="625"/>
      <c r="C142" s="466"/>
      <c r="D142" s="1338" t="s">
        <v>963</v>
      </c>
      <c r="E142" s="432"/>
      <c r="F142" s="772"/>
      <c r="G142" s="433"/>
      <c r="H142" s="1009"/>
      <c r="I142" s="1005"/>
      <c r="J142" s="769"/>
      <c r="K142" s="769"/>
      <c r="L142" s="769"/>
      <c r="M142" s="769"/>
      <c r="N142" s="769"/>
      <c r="O142" s="769"/>
      <c r="P142" s="777">
        <f t="shared" ref="P142:P143" si="14">SUM(I142:O142)</f>
        <v>0</v>
      </c>
      <c r="Q142" s="773"/>
    </row>
    <row r="143" spans="1:262" ht="18" customHeight="1" x14ac:dyDescent="0.35">
      <c r="A143" s="783">
        <v>133</v>
      </c>
      <c r="B143" s="625"/>
      <c r="C143" s="466"/>
      <c r="D143" s="583" t="s">
        <v>1151</v>
      </c>
      <c r="E143" s="432"/>
      <c r="F143" s="772"/>
      <c r="G143" s="433"/>
      <c r="H143" s="1009"/>
      <c r="I143" s="1005"/>
      <c r="J143" s="769"/>
      <c r="K143" s="769"/>
      <c r="L143" s="769"/>
      <c r="M143" s="769">
        <f>SUM(M141:M142)</f>
        <v>0</v>
      </c>
      <c r="N143" s="769"/>
      <c r="O143" s="769"/>
      <c r="P143" s="777">
        <f t="shared" si="14"/>
        <v>0</v>
      </c>
      <c r="Q143" s="773"/>
    </row>
    <row r="144" spans="1:262" s="768" customFormat="1" ht="22.5" customHeight="1" x14ac:dyDescent="0.35">
      <c r="A144" s="783">
        <v>134</v>
      </c>
      <c r="B144" s="776"/>
      <c r="C144" s="466"/>
      <c r="D144" s="1263" t="s">
        <v>708</v>
      </c>
      <c r="E144" s="432"/>
      <c r="F144" s="772"/>
      <c r="G144" s="433"/>
      <c r="H144" s="1009"/>
      <c r="I144" s="1005"/>
      <c r="J144" s="769"/>
      <c r="K144" s="769"/>
      <c r="L144" s="769"/>
      <c r="M144" s="1023"/>
      <c r="N144" s="769"/>
      <c r="O144" s="769"/>
      <c r="P144" s="777"/>
      <c r="Q144" s="773"/>
      <c r="R144" s="420"/>
      <c r="S144" s="420"/>
      <c r="T144" s="420"/>
      <c r="U144" s="420"/>
      <c r="V144" s="420"/>
      <c r="W144" s="420"/>
      <c r="X144" s="420"/>
      <c r="Y144" s="420"/>
      <c r="Z144" s="420"/>
      <c r="AA144" s="420"/>
      <c r="AB144" s="420"/>
      <c r="AC144" s="420"/>
      <c r="AD144" s="420"/>
      <c r="AE144" s="420"/>
      <c r="AF144" s="420"/>
      <c r="AG144" s="420"/>
      <c r="AH144" s="420"/>
      <c r="AI144" s="420"/>
      <c r="AJ144" s="420"/>
      <c r="AK144" s="420"/>
      <c r="AL144" s="420"/>
      <c r="AM144" s="420"/>
      <c r="AN144" s="420"/>
      <c r="AO144" s="420"/>
      <c r="AP144" s="420"/>
      <c r="AQ144" s="420"/>
      <c r="AR144" s="420"/>
      <c r="AS144" s="420"/>
      <c r="AT144" s="420"/>
      <c r="AU144" s="420"/>
      <c r="AV144" s="420"/>
      <c r="AW144" s="420"/>
      <c r="AX144" s="420"/>
      <c r="AY144" s="420"/>
      <c r="AZ144" s="420"/>
      <c r="BA144" s="420"/>
      <c r="BB144" s="420"/>
      <c r="BC144" s="420"/>
      <c r="BD144" s="420"/>
      <c r="BE144" s="420"/>
      <c r="BF144" s="420"/>
      <c r="BG144" s="420"/>
      <c r="BH144" s="420"/>
      <c r="BI144" s="420"/>
      <c r="BJ144" s="420"/>
      <c r="BK144" s="420"/>
      <c r="BL144" s="420"/>
      <c r="BM144" s="420"/>
      <c r="BN144" s="420"/>
      <c r="BO144" s="420"/>
      <c r="BP144" s="420"/>
      <c r="BQ144" s="420"/>
      <c r="BR144" s="420"/>
      <c r="BS144" s="420"/>
      <c r="BT144" s="420"/>
      <c r="BU144" s="420"/>
      <c r="BV144" s="420"/>
      <c r="BW144" s="420"/>
      <c r="BX144" s="420"/>
      <c r="BY144" s="420"/>
      <c r="BZ144" s="420"/>
      <c r="CA144" s="420"/>
      <c r="CB144" s="420"/>
      <c r="CC144" s="420"/>
      <c r="CD144" s="420"/>
      <c r="CE144" s="420"/>
      <c r="CF144" s="420"/>
      <c r="CG144" s="420"/>
      <c r="CH144" s="420"/>
      <c r="CI144" s="420"/>
      <c r="CJ144" s="420"/>
      <c r="CK144" s="420"/>
      <c r="CL144" s="420"/>
      <c r="CM144" s="420"/>
      <c r="CN144" s="420"/>
      <c r="CO144" s="420"/>
      <c r="CP144" s="420"/>
      <c r="CQ144" s="420"/>
      <c r="CR144" s="420"/>
      <c r="CS144" s="420"/>
      <c r="CT144" s="420"/>
      <c r="CU144" s="420"/>
      <c r="CV144" s="420"/>
      <c r="CW144" s="420"/>
      <c r="CX144" s="420"/>
      <c r="CY144" s="420"/>
      <c r="CZ144" s="420"/>
      <c r="DA144" s="420"/>
      <c r="DB144" s="420"/>
      <c r="DC144" s="420"/>
      <c r="DD144" s="420"/>
      <c r="DE144" s="420"/>
      <c r="DF144" s="420"/>
      <c r="DG144" s="420"/>
      <c r="DH144" s="420"/>
      <c r="DI144" s="420"/>
      <c r="DJ144" s="420"/>
      <c r="DK144" s="420"/>
      <c r="DL144" s="420"/>
      <c r="DM144" s="420"/>
      <c r="DN144" s="420"/>
      <c r="DO144" s="420"/>
      <c r="DP144" s="420"/>
      <c r="DQ144" s="420"/>
      <c r="DR144" s="420"/>
      <c r="DS144" s="420"/>
      <c r="DT144" s="420"/>
      <c r="DU144" s="420"/>
      <c r="DV144" s="420"/>
      <c r="DW144" s="420"/>
      <c r="DX144" s="420"/>
      <c r="DY144" s="420"/>
      <c r="DZ144" s="420"/>
      <c r="EA144" s="420"/>
      <c r="EB144" s="420"/>
      <c r="EC144" s="420"/>
      <c r="ED144" s="420"/>
      <c r="EE144" s="420"/>
      <c r="EF144" s="420"/>
      <c r="EG144" s="420"/>
      <c r="EH144" s="420"/>
      <c r="EI144" s="420"/>
      <c r="EJ144" s="420"/>
      <c r="EK144" s="420"/>
      <c r="EL144" s="420"/>
      <c r="EM144" s="420"/>
      <c r="EN144" s="420"/>
      <c r="EO144" s="420"/>
      <c r="EP144" s="420"/>
      <c r="EQ144" s="420"/>
      <c r="ER144" s="420"/>
      <c r="ES144" s="420"/>
      <c r="ET144" s="420"/>
      <c r="EU144" s="420"/>
      <c r="EV144" s="420"/>
      <c r="EW144" s="420"/>
      <c r="EX144" s="420"/>
      <c r="EY144" s="420"/>
      <c r="EZ144" s="420"/>
      <c r="FA144" s="420"/>
      <c r="FB144" s="420"/>
      <c r="FC144" s="420"/>
      <c r="FD144" s="420"/>
      <c r="FE144" s="420"/>
      <c r="FF144" s="420"/>
      <c r="FG144" s="420"/>
      <c r="FH144" s="420"/>
      <c r="FI144" s="420"/>
      <c r="FJ144" s="420"/>
      <c r="FK144" s="420"/>
      <c r="FL144" s="420"/>
      <c r="FM144" s="420"/>
      <c r="FN144" s="420"/>
      <c r="FO144" s="420"/>
      <c r="FP144" s="420"/>
      <c r="FQ144" s="420"/>
      <c r="FR144" s="420"/>
      <c r="FS144" s="420"/>
      <c r="FT144" s="420"/>
      <c r="FU144" s="420"/>
      <c r="FV144" s="420"/>
      <c r="FW144" s="420"/>
      <c r="FX144" s="420"/>
      <c r="FY144" s="420"/>
      <c r="FZ144" s="420"/>
      <c r="GA144" s="420"/>
      <c r="GB144" s="420"/>
      <c r="GC144" s="420"/>
      <c r="GD144" s="420"/>
      <c r="GE144" s="420"/>
      <c r="GF144" s="420"/>
      <c r="GG144" s="420"/>
      <c r="GH144" s="420"/>
      <c r="GI144" s="420"/>
      <c r="GJ144" s="420"/>
      <c r="GK144" s="420"/>
      <c r="GL144" s="420"/>
      <c r="GM144" s="420"/>
      <c r="GN144" s="420"/>
      <c r="GO144" s="420"/>
      <c r="GP144" s="420"/>
      <c r="GQ144" s="420"/>
      <c r="GR144" s="420"/>
      <c r="GS144" s="420"/>
      <c r="GT144" s="420"/>
      <c r="GU144" s="420"/>
      <c r="GV144" s="420"/>
      <c r="GW144" s="420"/>
      <c r="GX144" s="420"/>
      <c r="GY144" s="420"/>
      <c r="GZ144" s="420"/>
      <c r="HA144" s="420"/>
      <c r="HB144" s="420"/>
      <c r="HC144" s="420"/>
      <c r="HD144" s="420"/>
      <c r="HE144" s="420"/>
      <c r="HF144" s="420"/>
      <c r="HG144" s="420"/>
      <c r="HH144" s="420"/>
      <c r="HI144" s="420"/>
      <c r="HJ144" s="420"/>
      <c r="HK144" s="420"/>
      <c r="HL144" s="420"/>
      <c r="HM144" s="420"/>
      <c r="HN144" s="420"/>
      <c r="HO144" s="420"/>
      <c r="HP144" s="420"/>
      <c r="HQ144" s="420"/>
      <c r="HR144" s="420"/>
      <c r="HS144" s="420"/>
      <c r="HT144" s="420"/>
      <c r="HU144" s="420"/>
      <c r="HV144" s="420"/>
      <c r="HW144" s="420"/>
      <c r="HX144" s="420"/>
      <c r="HY144" s="420"/>
      <c r="HZ144" s="420"/>
      <c r="IA144" s="420"/>
      <c r="IB144" s="420"/>
      <c r="IC144" s="420"/>
      <c r="ID144" s="420"/>
      <c r="IE144" s="420"/>
      <c r="IF144" s="420"/>
      <c r="IG144" s="420"/>
      <c r="IH144" s="420"/>
      <c r="II144" s="420"/>
      <c r="IJ144" s="420"/>
      <c r="IK144" s="420"/>
      <c r="IL144" s="420"/>
      <c r="IM144" s="420"/>
      <c r="IN144" s="420"/>
      <c r="IO144" s="420"/>
      <c r="IP144" s="420"/>
      <c r="IQ144" s="420"/>
      <c r="IR144" s="420"/>
      <c r="IS144" s="420"/>
      <c r="IT144" s="420"/>
      <c r="IU144" s="420"/>
      <c r="IV144" s="420"/>
      <c r="IW144" s="420"/>
      <c r="IX144" s="420"/>
      <c r="IY144" s="420"/>
      <c r="IZ144" s="420"/>
      <c r="JA144" s="420"/>
      <c r="JB144" s="420"/>
    </row>
    <row r="145" spans="1:262" ht="18" customHeight="1" x14ac:dyDescent="0.35">
      <c r="A145" s="783">
        <v>135</v>
      </c>
      <c r="B145" s="625"/>
      <c r="C145" s="466"/>
      <c r="D145" s="1002" t="s">
        <v>311</v>
      </c>
      <c r="E145" s="432"/>
      <c r="F145" s="772"/>
      <c r="G145" s="433"/>
      <c r="H145" s="1009"/>
      <c r="I145" s="1005"/>
      <c r="J145" s="769"/>
      <c r="K145" s="769"/>
      <c r="L145" s="769"/>
      <c r="M145" s="999">
        <v>10000</v>
      </c>
      <c r="N145" s="769"/>
      <c r="O145" s="769"/>
      <c r="P145" s="992">
        <f>SUM(I145:O145)</f>
        <v>10000</v>
      </c>
      <c r="Q145" s="773"/>
    </row>
    <row r="146" spans="1:262" ht="18" customHeight="1" x14ac:dyDescent="0.35">
      <c r="A146" s="783">
        <v>136</v>
      </c>
      <c r="B146" s="625"/>
      <c r="C146" s="466"/>
      <c r="D146" s="583" t="s">
        <v>1072</v>
      </c>
      <c r="E146" s="432"/>
      <c r="F146" s="772"/>
      <c r="G146" s="433"/>
      <c r="H146" s="1009"/>
      <c r="I146" s="1005"/>
      <c r="J146" s="769"/>
      <c r="K146" s="769"/>
      <c r="L146" s="769"/>
      <c r="M146" s="1548">
        <v>0</v>
      </c>
      <c r="N146" s="1548"/>
      <c r="O146" s="1548"/>
      <c r="P146" s="777">
        <f>SUM(I146:O146)</f>
        <v>0</v>
      </c>
      <c r="Q146" s="773"/>
    </row>
    <row r="147" spans="1:262" ht="18" customHeight="1" x14ac:dyDescent="0.35">
      <c r="A147" s="783">
        <v>137</v>
      </c>
      <c r="B147" s="625"/>
      <c r="C147" s="466"/>
      <c r="D147" s="1338" t="s">
        <v>963</v>
      </c>
      <c r="E147" s="432"/>
      <c r="F147" s="772"/>
      <c r="G147" s="433"/>
      <c r="H147" s="1009"/>
      <c r="I147" s="1005"/>
      <c r="J147" s="769"/>
      <c r="K147" s="769"/>
      <c r="L147" s="769"/>
      <c r="M147" s="769"/>
      <c r="N147" s="769"/>
      <c r="O147" s="769"/>
      <c r="P147" s="777">
        <f t="shared" ref="P147:P148" si="15">SUM(I147:O147)</f>
        <v>0</v>
      </c>
      <c r="Q147" s="773"/>
    </row>
    <row r="148" spans="1:262" ht="18" customHeight="1" x14ac:dyDescent="0.35">
      <c r="A148" s="783">
        <v>138</v>
      </c>
      <c r="B148" s="625"/>
      <c r="C148" s="466"/>
      <c r="D148" s="583" t="s">
        <v>1151</v>
      </c>
      <c r="E148" s="432"/>
      <c r="F148" s="772"/>
      <c r="G148" s="433"/>
      <c r="H148" s="1009"/>
      <c r="I148" s="1005"/>
      <c r="J148" s="769"/>
      <c r="K148" s="769"/>
      <c r="L148" s="769"/>
      <c r="M148" s="1548">
        <f>SUM(M146:M147)</f>
        <v>0</v>
      </c>
      <c r="N148" s="769"/>
      <c r="O148" s="769"/>
      <c r="P148" s="777">
        <f t="shared" si="15"/>
        <v>0</v>
      </c>
      <c r="Q148" s="773"/>
    </row>
    <row r="149" spans="1:262" s="768" customFormat="1" ht="22.5" customHeight="1" x14ac:dyDescent="0.35">
      <c r="A149" s="783">
        <v>139</v>
      </c>
      <c r="B149" s="776"/>
      <c r="C149" s="466"/>
      <c r="D149" s="1264" t="s">
        <v>709</v>
      </c>
      <c r="E149" s="432"/>
      <c r="F149" s="772"/>
      <c r="G149" s="433"/>
      <c r="H149" s="1009"/>
      <c r="I149" s="1005"/>
      <c r="J149" s="769"/>
      <c r="K149" s="769"/>
      <c r="L149" s="769"/>
      <c r="M149" s="1023"/>
      <c r="N149" s="769"/>
      <c r="O149" s="769"/>
      <c r="P149" s="777"/>
      <c r="Q149" s="773"/>
      <c r="R149" s="420"/>
      <c r="S149" s="420"/>
      <c r="T149" s="420"/>
      <c r="U149" s="420"/>
      <c r="V149" s="420"/>
      <c r="W149" s="420"/>
      <c r="X149" s="420"/>
      <c r="Y149" s="420"/>
      <c r="Z149" s="420"/>
      <c r="AA149" s="420"/>
      <c r="AB149" s="420"/>
      <c r="AC149" s="420"/>
      <c r="AD149" s="420"/>
      <c r="AE149" s="420"/>
      <c r="AF149" s="420"/>
      <c r="AG149" s="420"/>
      <c r="AH149" s="420"/>
      <c r="AI149" s="420"/>
      <c r="AJ149" s="420"/>
      <c r="AK149" s="420"/>
      <c r="AL149" s="420"/>
      <c r="AM149" s="420"/>
      <c r="AN149" s="420"/>
      <c r="AO149" s="420"/>
      <c r="AP149" s="420"/>
      <c r="AQ149" s="420"/>
      <c r="AR149" s="420"/>
      <c r="AS149" s="420"/>
      <c r="AT149" s="420"/>
      <c r="AU149" s="420"/>
      <c r="AV149" s="420"/>
      <c r="AW149" s="420"/>
      <c r="AX149" s="420"/>
      <c r="AY149" s="420"/>
      <c r="AZ149" s="420"/>
      <c r="BA149" s="420"/>
      <c r="BB149" s="420"/>
      <c r="BC149" s="420"/>
      <c r="BD149" s="420"/>
      <c r="BE149" s="420"/>
      <c r="BF149" s="420"/>
      <c r="BG149" s="420"/>
      <c r="BH149" s="420"/>
      <c r="BI149" s="420"/>
      <c r="BJ149" s="420"/>
      <c r="BK149" s="420"/>
      <c r="BL149" s="420"/>
      <c r="BM149" s="420"/>
      <c r="BN149" s="420"/>
      <c r="BO149" s="420"/>
      <c r="BP149" s="420"/>
      <c r="BQ149" s="420"/>
      <c r="BR149" s="420"/>
      <c r="BS149" s="420"/>
      <c r="BT149" s="420"/>
      <c r="BU149" s="420"/>
      <c r="BV149" s="420"/>
      <c r="BW149" s="420"/>
      <c r="BX149" s="420"/>
      <c r="BY149" s="420"/>
      <c r="BZ149" s="420"/>
      <c r="CA149" s="420"/>
      <c r="CB149" s="420"/>
      <c r="CC149" s="420"/>
      <c r="CD149" s="420"/>
      <c r="CE149" s="420"/>
      <c r="CF149" s="420"/>
      <c r="CG149" s="420"/>
      <c r="CH149" s="420"/>
      <c r="CI149" s="420"/>
      <c r="CJ149" s="420"/>
      <c r="CK149" s="420"/>
      <c r="CL149" s="420"/>
      <c r="CM149" s="420"/>
      <c r="CN149" s="420"/>
      <c r="CO149" s="420"/>
      <c r="CP149" s="420"/>
      <c r="CQ149" s="420"/>
      <c r="CR149" s="420"/>
      <c r="CS149" s="420"/>
      <c r="CT149" s="420"/>
      <c r="CU149" s="420"/>
      <c r="CV149" s="420"/>
      <c r="CW149" s="420"/>
      <c r="CX149" s="420"/>
      <c r="CY149" s="420"/>
      <c r="CZ149" s="420"/>
      <c r="DA149" s="420"/>
      <c r="DB149" s="420"/>
      <c r="DC149" s="420"/>
      <c r="DD149" s="420"/>
      <c r="DE149" s="420"/>
      <c r="DF149" s="420"/>
      <c r="DG149" s="420"/>
      <c r="DH149" s="420"/>
      <c r="DI149" s="420"/>
      <c r="DJ149" s="420"/>
      <c r="DK149" s="420"/>
      <c r="DL149" s="420"/>
      <c r="DM149" s="420"/>
      <c r="DN149" s="420"/>
      <c r="DO149" s="420"/>
      <c r="DP149" s="420"/>
      <c r="DQ149" s="420"/>
      <c r="DR149" s="420"/>
      <c r="DS149" s="420"/>
      <c r="DT149" s="420"/>
      <c r="DU149" s="420"/>
      <c r="DV149" s="420"/>
      <c r="DW149" s="420"/>
      <c r="DX149" s="420"/>
      <c r="DY149" s="420"/>
      <c r="DZ149" s="420"/>
      <c r="EA149" s="420"/>
      <c r="EB149" s="420"/>
      <c r="EC149" s="420"/>
      <c r="ED149" s="420"/>
      <c r="EE149" s="420"/>
      <c r="EF149" s="420"/>
      <c r="EG149" s="420"/>
      <c r="EH149" s="420"/>
      <c r="EI149" s="420"/>
      <c r="EJ149" s="420"/>
      <c r="EK149" s="420"/>
      <c r="EL149" s="420"/>
      <c r="EM149" s="420"/>
      <c r="EN149" s="420"/>
      <c r="EO149" s="420"/>
      <c r="EP149" s="420"/>
      <c r="EQ149" s="420"/>
      <c r="ER149" s="420"/>
      <c r="ES149" s="420"/>
      <c r="ET149" s="420"/>
      <c r="EU149" s="420"/>
      <c r="EV149" s="420"/>
      <c r="EW149" s="420"/>
      <c r="EX149" s="420"/>
      <c r="EY149" s="420"/>
      <c r="EZ149" s="420"/>
      <c r="FA149" s="420"/>
      <c r="FB149" s="420"/>
      <c r="FC149" s="420"/>
      <c r="FD149" s="420"/>
      <c r="FE149" s="420"/>
      <c r="FF149" s="420"/>
      <c r="FG149" s="420"/>
      <c r="FH149" s="420"/>
      <c r="FI149" s="420"/>
      <c r="FJ149" s="420"/>
      <c r="FK149" s="420"/>
      <c r="FL149" s="420"/>
      <c r="FM149" s="420"/>
      <c r="FN149" s="420"/>
      <c r="FO149" s="420"/>
      <c r="FP149" s="420"/>
      <c r="FQ149" s="420"/>
      <c r="FR149" s="420"/>
      <c r="FS149" s="420"/>
      <c r="FT149" s="420"/>
      <c r="FU149" s="420"/>
      <c r="FV149" s="420"/>
      <c r="FW149" s="420"/>
      <c r="FX149" s="420"/>
      <c r="FY149" s="420"/>
      <c r="FZ149" s="420"/>
      <c r="GA149" s="420"/>
      <c r="GB149" s="420"/>
      <c r="GC149" s="420"/>
      <c r="GD149" s="420"/>
      <c r="GE149" s="420"/>
      <c r="GF149" s="420"/>
      <c r="GG149" s="420"/>
      <c r="GH149" s="420"/>
      <c r="GI149" s="420"/>
      <c r="GJ149" s="420"/>
      <c r="GK149" s="420"/>
      <c r="GL149" s="420"/>
      <c r="GM149" s="420"/>
      <c r="GN149" s="420"/>
      <c r="GO149" s="420"/>
      <c r="GP149" s="420"/>
      <c r="GQ149" s="420"/>
      <c r="GR149" s="420"/>
      <c r="GS149" s="420"/>
      <c r="GT149" s="420"/>
      <c r="GU149" s="420"/>
      <c r="GV149" s="420"/>
      <c r="GW149" s="420"/>
      <c r="GX149" s="420"/>
      <c r="GY149" s="420"/>
      <c r="GZ149" s="420"/>
      <c r="HA149" s="420"/>
      <c r="HB149" s="420"/>
      <c r="HC149" s="420"/>
      <c r="HD149" s="420"/>
      <c r="HE149" s="420"/>
      <c r="HF149" s="420"/>
      <c r="HG149" s="420"/>
      <c r="HH149" s="420"/>
      <c r="HI149" s="420"/>
      <c r="HJ149" s="420"/>
      <c r="HK149" s="420"/>
      <c r="HL149" s="420"/>
      <c r="HM149" s="420"/>
      <c r="HN149" s="420"/>
      <c r="HO149" s="420"/>
      <c r="HP149" s="420"/>
      <c r="HQ149" s="420"/>
      <c r="HR149" s="420"/>
      <c r="HS149" s="420"/>
      <c r="HT149" s="420"/>
      <c r="HU149" s="420"/>
      <c r="HV149" s="420"/>
      <c r="HW149" s="420"/>
      <c r="HX149" s="420"/>
      <c r="HY149" s="420"/>
      <c r="HZ149" s="420"/>
      <c r="IA149" s="420"/>
      <c r="IB149" s="420"/>
      <c r="IC149" s="420"/>
      <c r="ID149" s="420"/>
      <c r="IE149" s="420"/>
      <c r="IF149" s="420"/>
      <c r="IG149" s="420"/>
      <c r="IH149" s="420"/>
      <c r="II149" s="420"/>
      <c r="IJ149" s="420"/>
      <c r="IK149" s="420"/>
      <c r="IL149" s="420"/>
      <c r="IM149" s="420"/>
      <c r="IN149" s="420"/>
      <c r="IO149" s="420"/>
      <c r="IP149" s="420"/>
      <c r="IQ149" s="420"/>
      <c r="IR149" s="420"/>
      <c r="IS149" s="420"/>
      <c r="IT149" s="420"/>
      <c r="IU149" s="420"/>
      <c r="IV149" s="420"/>
      <c r="IW149" s="420"/>
      <c r="IX149" s="420"/>
      <c r="IY149" s="420"/>
      <c r="IZ149" s="420"/>
      <c r="JA149" s="420"/>
      <c r="JB149" s="420"/>
    </row>
    <row r="150" spans="1:262" ht="18" customHeight="1" x14ac:dyDescent="0.35">
      <c r="A150" s="783">
        <v>140</v>
      </c>
      <c r="B150" s="625"/>
      <c r="C150" s="466"/>
      <c r="D150" s="1002" t="s">
        <v>311</v>
      </c>
      <c r="E150" s="432"/>
      <c r="F150" s="772"/>
      <c r="G150" s="433"/>
      <c r="H150" s="1009"/>
      <c r="I150" s="1005"/>
      <c r="J150" s="769"/>
      <c r="K150" s="769"/>
      <c r="L150" s="769"/>
      <c r="M150" s="999">
        <v>20000</v>
      </c>
      <c r="N150" s="769"/>
      <c r="O150" s="769"/>
      <c r="P150" s="992">
        <f>SUM(I150:O150)</f>
        <v>20000</v>
      </c>
      <c r="Q150" s="773"/>
    </row>
    <row r="151" spans="1:262" ht="18" customHeight="1" x14ac:dyDescent="0.35">
      <c r="A151" s="783">
        <v>141</v>
      </c>
      <c r="B151" s="625"/>
      <c r="C151" s="466"/>
      <c r="D151" s="583" t="s">
        <v>1072</v>
      </c>
      <c r="E151" s="432"/>
      <c r="F151" s="772"/>
      <c r="G151" s="433"/>
      <c r="H151" s="1009"/>
      <c r="I151" s="1005"/>
      <c r="J151" s="769"/>
      <c r="K151" s="769"/>
      <c r="L151" s="769"/>
      <c r="M151" s="1548">
        <v>0</v>
      </c>
      <c r="N151" s="1548"/>
      <c r="O151" s="1548"/>
      <c r="P151" s="777">
        <f>SUM(I151:O151)</f>
        <v>0</v>
      </c>
      <c r="Q151" s="773"/>
    </row>
    <row r="152" spans="1:262" ht="18" customHeight="1" x14ac:dyDescent="0.35">
      <c r="A152" s="783">
        <v>142</v>
      </c>
      <c r="B152" s="625"/>
      <c r="C152" s="466"/>
      <c r="D152" s="1338" t="s">
        <v>963</v>
      </c>
      <c r="E152" s="432"/>
      <c r="F152" s="772"/>
      <c r="G152" s="433"/>
      <c r="H152" s="1009"/>
      <c r="I152" s="1005"/>
      <c r="J152" s="769"/>
      <c r="K152" s="769"/>
      <c r="L152" s="769"/>
      <c r="M152" s="769"/>
      <c r="N152" s="769"/>
      <c r="O152" s="769"/>
      <c r="P152" s="777">
        <f t="shared" ref="P152:P153" si="16">SUM(I152:O152)</f>
        <v>0</v>
      </c>
      <c r="Q152" s="773"/>
    </row>
    <row r="153" spans="1:262" ht="18" customHeight="1" x14ac:dyDescent="0.35">
      <c r="A153" s="783">
        <v>143</v>
      </c>
      <c r="B153" s="625"/>
      <c r="C153" s="466"/>
      <c r="D153" s="583" t="s">
        <v>1151</v>
      </c>
      <c r="E153" s="432"/>
      <c r="F153" s="772"/>
      <c r="G153" s="433"/>
      <c r="H153" s="1009"/>
      <c r="I153" s="1005"/>
      <c r="J153" s="769"/>
      <c r="K153" s="769"/>
      <c r="L153" s="769"/>
      <c r="M153" s="1548">
        <f>SUM(M151:M152)</f>
        <v>0</v>
      </c>
      <c r="N153" s="769"/>
      <c r="O153" s="769"/>
      <c r="P153" s="777">
        <f t="shared" si="16"/>
        <v>0</v>
      </c>
      <c r="Q153" s="773"/>
    </row>
    <row r="154" spans="1:262" s="768" customFormat="1" ht="22.5" customHeight="1" x14ac:dyDescent="0.35">
      <c r="A154" s="783">
        <v>144</v>
      </c>
      <c r="B154" s="776"/>
      <c r="C154" s="466"/>
      <c r="D154" s="423" t="s">
        <v>710</v>
      </c>
      <c r="E154" s="432"/>
      <c r="F154" s="772"/>
      <c r="G154" s="433"/>
      <c r="H154" s="1009"/>
      <c r="I154" s="1005"/>
      <c r="J154" s="769"/>
      <c r="K154" s="769"/>
      <c r="L154" s="769"/>
      <c r="M154" s="1023"/>
      <c r="N154" s="769"/>
      <c r="O154" s="769"/>
      <c r="P154" s="777"/>
      <c r="Q154" s="773"/>
      <c r="R154" s="420"/>
      <c r="S154" s="420"/>
      <c r="T154" s="420"/>
      <c r="U154" s="420"/>
      <c r="V154" s="420"/>
      <c r="W154" s="420"/>
      <c r="X154" s="420"/>
      <c r="Y154" s="420"/>
      <c r="Z154" s="420"/>
      <c r="AA154" s="420"/>
      <c r="AB154" s="420"/>
      <c r="AC154" s="420"/>
      <c r="AD154" s="420"/>
      <c r="AE154" s="420"/>
      <c r="AF154" s="420"/>
      <c r="AG154" s="420"/>
      <c r="AH154" s="420"/>
      <c r="AI154" s="420"/>
      <c r="AJ154" s="420"/>
      <c r="AK154" s="420"/>
      <c r="AL154" s="420"/>
      <c r="AM154" s="420"/>
      <c r="AN154" s="420"/>
      <c r="AO154" s="420"/>
      <c r="AP154" s="420"/>
      <c r="AQ154" s="420"/>
      <c r="AR154" s="420"/>
      <c r="AS154" s="420"/>
      <c r="AT154" s="420"/>
      <c r="AU154" s="420"/>
      <c r="AV154" s="420"/>
      <c r="AW154" s="420"/>
      <c r="AX154" s="420"/>
      <c r="AY154" s="420"/>
      <c r="AZ154" s="420"/>
      <c r="BA154" s="420"/>
      <c r="BB154" s="420"/>
      <c r="BC154" s="420"/>
      <c r="BD154" s="420"/>
      <c r="BE154" s="420"/>
      <c r="BF154" s="420"/>
      <c r="BG154" s="420"/>
      <c r="BH154" s="420"/>
      <c r="BI154" s="420"/>
      <c r="BJ154" s="420"/>
      <c r="BK154" s="420"/>
      <c r="BL154" s="420"/>
      <c r="BM154" s="420"/>
      <c r="BN154" s="420"/>
      <c r="BO154" s="420"/>
      <c r="BP154" s="420"/>
      <c r="BQ154" s="420"/>
      <c r="BR154" s="420"/>
      <c r="BS154" s="420"/>
      <c r="BT154" s="420"/>
      <c r="BU154" s="420"/>
      <c r="BV154" s="420"/>
      <c r="BW154" s="420"/>
      <c r="BX154" s="420"/>
      <c r="BY154" s="420"/>
      <c r="BZ154" s="420"/>
      <c r="CA154" s="420"/>
      <c r="CB154" s="420"/>
      <c r="CC154" s="420"/>
      <c r="CD154" s="420"/>
      <c r="CE154" s="420"/>
      <c r="CF154" s="420"/>
      <c r="CG154" s="420"/>
      <c r="CH154" s="420"/>
      <c r="CI154" s="420"/>
      <c r="CJ154" s="420"/>
      <c r="CK154" s="420"/>
      <c r="CL154" s="420"/>
      <c r="CM154" s="420"/>
      <c r="CN154" s="420"/>
      <c r="CO154" s="420"/>
      <c r="CP154" s="420"/>
      <c r="CQ154" s="420"/>
      <c r="CR154" s="420"/>
      <c r="CS154" s="420"/>
      <c r="CT154" s="420"/>
      <c r="CU154" s="420"/>
      <c r="CV154" s="420"/>
      <c r="CW154" s="420"/>
      <c r="CX154" s="420"/>
      <c r="CY154" s="420"/>
      <c r="CZ154" s="420"/>
      <c r="DA154" s="420"/>
      <c r="DB154" s="420"/>
      <c r="DC154" s="420"/>
      <c r="DD154" s="420"/>
      <c r="DE154" s="420"/>
      <c r="DF154" s="420"/>
      <c r="DG154" s="420"/>
      <c r="DH154" s="420"/>
      <c r="DI154" s="420"/>
      <c r="DJ154" s="420"/>
      <c r="DK154" s="420"/>
      <c r="DL154" s="420"/>
      <c r="DM154" s="420"/>
      <c r="DN154" s="420"/>
      <c r="DO154" s="420"/>
      <c r="DP154" s="420"/>
      <c r="DQ154" s="420"/>
      <c r="DR154" s="420"/>
      <c r="DS154" s="420"/>
      <c r="DT154" s="420"/>
      <c r="DU154" s="420"/>
      <c r="DV154" s="420"/>
      <c r="DW154" s="420"/>
      <c r="DX154" s="420"/>
      <c r="DY154" s="420"/>
      <c r="DZ154" s="420"/>
      <c r="EA154" s="420"/>
      <c r="EB154" s="420"/>
      <c r="EC154" s="420"/>
      <c r="ED154" s="420"/>
      <c r="EE154" s="420"/>
      <c r="EF154" s="420"/>
      <c r="EG154" s="420"/>
      <c r="EH154" s="420"/>
      <c r="EI154" s="420"/>
      <c r="EJ154" s="420"/>
      <c r="EK154" s="420"/>
      <c r="EL154" s="420"/>
      <c r="EM154" s="420"/>
      <c r="EN154" s="420"/>
      <c r="EO154" s="420"/>
      <c r="EP154" s="420"/>
      <c r="EQ154" s="420"/>
      <c r="ER154" s="420"/>
      <c r="ES154" s="420"/>
      <c r="ET154" s="420"/>
      <c r="EU154" s="420"/>
      <c r="EV154" s="420"/>
      <c r="EW154" s="420"/>
      <c r="EX154" s="420"/>
      <c r="EY154" s="420"/>
      <c r="EZ154" s="420"/>
      <c r="FA154" s="420"/>
      <c r="FB154" s="420"/>
      <c r="FC154" s="420"/>
      <c r="FD154" s="420"/>
      <c r="FE154" s="420"/>
      <c r="FF154" s="420"/>
      <c r="FG154" s="420"/>
      <c r="FH154" s="420"/>
      <c r="FI154" s="420"/>
      <c r="FJ154" s="420"/>
      <c r="FK154" s="420"/>
      <c r="FL154" s="420"/>
      <c r="FM154" s="420"/>
      <c r="FN154" s="420"/>
      <c r="FO154" s="420"/>
      <c r="FP154" s="420"/>
      <c r="FQ154" s="420"/>
      <c r="FR154" s="420"/>
      <c r="FS154" s="420"/>
      <c r="FT154" s="420"/>
      <c r="FU154" s="420"/>
      <c r="FV154" s="420"/>
      <c r="FW154" s="420"/>
      <c r="FX154" s="420"/>
      <c r="FY154" s="420"/>
      <c r="FZ154" s="420"/>
      <c r="GA154" s="420"/>
      <c r="GB154" s="420"/>
      <c r="GC154" s="420"/>
      <c r="GD154" s="420"/>
      <c r="GE154" s="420"/>
      <c r="GF154" s="420"/>
      <c r="GG154" s="420"/>
      <c r="GH154" s="420"/>
      <c r="GI154" s="420"/>
      <c r="GJ154" s="420"/>
      <c r="GK154" s="420"/>
      <c r="GL154" s="420"/>
      <c r="GM154" s="420"/>
      <c r="GN154" s="420"/>
      <c r="GO154" s="420"/>
      <c r="GP154" s="420"/>
      <c r="GQ154" s="420"/>
      <c r="GR154" s="420"/>
      <c r="GS154" s="420"/>
      <c r="GT154" s="420"/>
      <c r="GU154" s="420"/>
      <c r="GV154" s="420"/>
      <c r="GW154" s="420"/>
      <c r="GX154" s="420"/>
      <c r="GY154" s="420"/>
      <c r="GZ154" s="420"/>
      <c r="HA154" s="420"/>
      <c r="HB154" s="420"/>
      <c r="HC154" s="420"/>
      <c r="HD154" s="420"/>
      <c r="HE154" s="420"/>
      <c r="HF154" s="420"/>
      <c r="HG154" s="420"/>
      <c r="HH154" s="420"/>
      <c r="HI154" s="420"/>
      <c r="HJ154" s="420"/>
      <c r="HK154" s="420"/>
      <c r="HL154" s="420"/>
      <c r="HM154" s="420"/>
      <c r="HN154" s="420"/>
      <c r="HO154" s="420"/>
      <c r="HP154" s="420"/>
      <c r="HQ154" s="420"/>
      <c r="HR154" s="420"/>
      <c r="HS154" s="420"/>
      <c r="HT154" s="420"/>
      <c r="HU154" s="420"/>
      <c r="HV154" s="420"/>
      <c r="HW154" s="420"/>
      <c r="HX154" s="420"/>
      <c r="HY154" s="420"/>
      <c r="HZ154" s="420"/>
      <c r="IA154" s="420"/>
      <c r="IB154" s="420"/>
      <c r="IC154" s="420"/>
      <c r="ID154" s="420"/>
      <c r="IE154" s="420"/>
      <c r="IF154" s="420"/>
      <c r="IG154" s="420"/>
      <c r="IH154" s="420"/>
      <c r="II154" s="420"/>
      <c r="IJ154" s="420"/>
      <c r="IK154" s="420"/>
      <c r="IL154" s="420"/>
      <c r="IM154" s="420"/>
      <c r="IN154" s="420"/>
      <c r="IO154" s="420"/>
      <c r="IP154" s="420"/>
      <c r="IQ154" s="420"/>
      <c r="IR154" s="420"/>
      <c r="IS154" s="420"/>
      <c r="IT154" s="420"/>
      <c r="IU154" s="420"/>
      <c r="IV154" s="420"/>
      <c r="IW154" s="420"/>
      <c r="IX154" s="420"/>
      <c r="IY154" s="420"/>
      <c r="IZ154" s="420"/>
      <c r="JA154" s="420"/>
      <c r="JB154" s="420"/>
    </row>
    <row r="155" spans="1:262" ht="18" customHeight="1" x14ac:dyDescent="0.35">
      <c r="A155" s="783">
        <v>145</v>
      </c>
      <c r="B155" s="625"/>
      <c r="C155" s="466"/>
      <c r="D155" s="1002" t="s">
        <v>311</v>
      </c>
      <c r="E155" s="432"/>
      <c r="F155" s="772"/>
      <c r="G155" s="433"/>
      <c r="H155" s="1009"/>
      <c r="I155" s="1005"/>
      <c r="J155" s="769"/>
      <c r="K155" s="769"/>
      <c r="L155" s="769"/>
      <c r="M155" s="999">
        <v>10000</v>
      </c>
      <c r="N155" s="769"/>
      <c r="O155" s="769"/>
      <c r="P155" s="992">
        <f>SUM(I155:O155)</f>
        <v>10000</v>
      </c>
      <c r="Q155" s="773"/>
    </row>
    <row r="156" spans="1:262" ht="18" customHeight="1" x14ac:dyDescent="0.35">
      <c r="A156" s="783">
        <v>146</v>
      </c>
      <c r="B156" s="625"/>
      <c r="C156" s="466"/>
      <c r="D156" s="583" t="s">
        <v>1072</v>
      </c>
      <c r="E156" s="432"/>
      <c r="F156" s="772"/>
      <c r="G156" s="433"/>
      <c r="H156" s="1009"/>
      <c r="I156" s="1005"/>
      <c r="J156" s="769"/>
      <c r="K156" s="769"/>
      <c r="L156" s="769"/>
      <c r="M156" s="1548">
        <v>0</v>
      </c>
      <c r="N156" s="769"/>
      <c r="O156" s="769"/>
      <c r="P156" s="777">
        <f>SUM(I156:O156)</f>
        <v>0</v>
      </c>
      <c r="Q156" s="773"/>
    </row>
    <row r="157" spans="1:262" ht="18" customHeight="1" x14ac:dyDescent="0.35">
      <c r="A157" s="783">
        <v>147</v>
      </c>
      <c r="B157" s="625"/>
      <c r="C157" s="466"/>
      <c r="D157" s="1338" t="s">
        <v>963</v>
      </c>
      <c r="E157" s="432"/>
      <c r="F157" s="772"/>
      <c r="G157" s="433"/>
      <c r="H157" s="1009"/>
      <c r="I157" s="1005"/>
      <c r="J157" s="769"/>
      <c r="K157" s="769"/>
      <c r="L157" s="769"/>
      <c r="M157" s="769"/>
      <c r="N157" s="769"/>
      <c r="O157" s="769"/>
      <c r="P157" s="777">
        <f t="shared" ref="P157:P158" si="17">SUM(I157:O157)</f>
        <v>0</v>
      </c>
      <c r="Q157" s="773"/>
    </row>
    <row r="158" spans="1:262" ht="18" customHeight="1" x14ac:dyDescent="0.35">
      <c r="A158" s="783">
        <v>148</v>
      </c>
      <c r="B158" s="625"/>
      <c r="C158" s="466"/>
      <c r="D158" s="583" t="s">
        <v>1151</v>
      </c>
      <c r="E158" s="432"/>
      <c r="F158" s="772"/>
      <c r="G158" s="433"/>
      <c r="H158" s="1009"/>
      <c r="I158" s="1005"/>
      <c r="J158" s="769"/>
      <c r="K158" s="769"/>
      <c r="L158" s="769"/>
      <c r="M158" s="1548">
        <f>SUM(M156:M157)</f>
        <v>0</v>
      </c>
      <c r="N158" s="769"/>
      <c r="O158" s="769"/>
      <c r="P158" s="777">
        <f t="shared" si="17"/>
        <v>0</v>
      </c>
      <c r="Q158" s="773"/>
    </row>
    <row r="159" spans="1:262" s="768" customFormat="1" ht="22.5" customHeight="1" x14ac:dyDescent="0.35">
      <c r="A159" s="783">
        <v>149</v>
      </c>
      <c r="B159" s="776"/>
      <c r="C159" s="466"/>
      <c r="D159" s="423" t="s">
        <v>711</v>
      </c>
      <c r="E159" s="432"/>
      <c r="F159" s="772"/>
      <c r="G159" s="433"/>
      <c r="H159" s="1009"/>
      <c r="I159" s="1005"/>
      <c r="J159" s="769"/>
      <c r="K159" s="769"/>
      <c r="L159" s="769"/>
      <c r="M159" s="1023"/>
      <c r="N159" s="769"/>
      <c r="O159" s="769"/>
      <c r="P159" s="777"/>
      <c r="Q159" s="773"/>
      <c r="R159" s="420"/>
      <c r="S159" s="420"/>
      <c r="T159" s="420"/>
      <c r="U159" s="420"/>
      <c r="V159" s="420"/>
      <c r="W159" s="420"/>
      <c r="X159" s="420"/>
      <c r="Y159" s="420"/>
      <c r="Z159" s="420"/>
      <c r="AA159" s="420"/>
      <c r="AB159" s="420"/>
      <c r="AC159" s="420"/>
      <c r="AD159" s="420"/>
      <c r="AE159" s="420"/>
      <c r="AF159" s="420"/>
      <c r="AG159" s="420"/>
      <c r="AH159" s="420"/>
      <c r="AI159" s="420"/>
      <c r="AJ159" s="420"/>
      <c r="AK159" s="420"/>
      <c r="AL159" s="420"/>
      <c r="AM159" s="420"/>
      <c r="AN159" s="420"/>
      <c r="AO159" s="420"/>
      <c r="AP159" s="420"/>
      <c r="AQ159" s="420"/>
      <c r="AR159" s="420"/>
      <c r="AS159" s="420"/>
      <c r="AT159" s="420"/>
      <c r="AU159" s="420"/>
      <c r="AV159" s="420"/>
      <c r="AW159" s="420"/>
      <c r="AX159" s="420"/>
      <c r="AY159" s="420"/>
      <c r="AZ159" s="420"/>
      <c r="BA159" s="420"/>
      <c r="BB159" s="420"/>
      <c r="BC159" s="420"/>
      <c r="BD159" s="420"/>
      <c r="BE159" s="420"/>
      <c r="BF159" s="420"/>
      <c r="BG159" s="420"/>
      <c r="BH159" s="420"/>
      <c r="BI159" s="420"/>
      <c r="BJ159" s="420"/>
      <c r="BK159" s="420"/>
      <c r="BL159" s="420"/>
      <c r="BM159" s="420"/>
      <c r="BN159" s="420"/>
      <c r="BO159" s="420"/>
      <c r="BP159" s="420"/>
      <c r="BQ159" s="420"/>
      <c r="BR159" s="420"/>
      <c r="BS159" s="420"/>
      <c r="BT159" s="420"/>
      <c r="BU159" s="420"/>
      <c r="BV159" s="420"/>
      <c r="BW159" s="420"/>
      <c r="BX159" s="420"/>
      <c r="BY159" s="420"/>
      <c r="BZ159" s="420"/>
      <c r="CA159" s="420"/>
      <c r="CB159" s="420"/>
      <c r="CC159" s="420"/>
      <c r="CD159" s="420"/>
      <c r="CE159" s="420"/>
      <c r="CF159" s="420"/>
      <c r="CG159" s="420"/>
      <c r="CH159" s="420"/>
      <c r="CI159" s="420"/>
      <c r="CJ159" s="420"/>
      <c r="CK159" s="420"/>
      <c r="CL159" s="420"/>
      <c r="CM159" s="420"/>
      <c r="CN159" s="420"/>
      <c r="CO159" s="420"/>
      <c r="CP159" s="420"/>
      <c r="CQ159" s="420"/>
      <c r="CR159" s="420"/>
      <c r="CS159" s="420"/>
      <c r="CT159" s="420"/>
      <c r="CU159" s="420"/>
      <c r="CV159" s="420"/>
      <c r="CW159" s="420"/>
      <c r="CX159" s="420"/>
      <c r="CY159" s="420"/>
      <c r="CZ159" s="420"/>
      <c r="DA159" s="420"/>
      <c r="DB159" s="420"/>
      <c r="DC159" s="420"/>
      <c r="DD159" s="420"/>
      <c r="DE159" s="420"/>
      <c r="DF159" s="420"/>
      <c r="DG159" s="420"/>
      <c r="DH159" s="420"/>
      <c r="DI159" s="420"/>
      <c r="DJ159" s="420"/>
      <c r="DK159" s="420"/>
      <c r="DL159" s="420"/>
      <c r="DM159" s="420"/>
      <c r="DN159" s="420"/>
      <c r="DO159" s="420"/>
      <c r="DP159" s="420"/>
      <c r="DQ159" s="420"/>
      <c r="DR159" s="420"/>
      <c r="DS159" s="420"/>
      <c r="DT159" s="420"/>
      <c r="DU159" s="420"/>
      <c r="DV159" s="420"/>
      <c r="DW159" s="420"/>
      <c r="DX159" s="420"/>
      <c r="DY159" s="420"/>
      <c r="DZ159" s="420"/>
      <c r="EA159" s="420"/>
      <c r="EB159" s="420"/>
      <c r="EC159" s="420"/>
      <c r="ED159" s="420"/>
      <c r="EE159" s="420"/>
      <c r="EF159" s="420"/>
      <c r="EG159" s="420"/>
      <c r="EH159" s="420"/>
      <c r="EI159" s="420"/>
      <c r="EJ159" s="420"/>
      <c r="EK159" s="420"/>
      <c r="EL159" s="420"/>
      <c r="EM159" s="420"/>
      <c r="EN159" s="420"/>
      <c r="EO159" s="420"/>
      <c r="EP159" s="420"/>
      <c r="EQ159" s="420"/>
      <c r="ER159" s="420"/>
      <c r="ES159" s="420"/>
      <c r="ET159" s="420"/>
      <c r="EU159" s="420"/>
      <c r="EV159" s="420"/>
      <c r="EW159" s="420"/>
      <c r="EX159" s="420"/>
      <c r="EY159" s="420"/>
      <c r="EZ159" s="420"/>
      <c r="FA159" s="420"/>
      <c r="FB159" s="420"/>
      <c r="FC159" s="420"/>
      <c r="FD159" s="420"/>
      <c r="FE159" s="420"/>
      <c r="FF159" s="420"/>
      <c r="FG159" s="420"/>
      <c r="FH159" s="420"/>
      <c r="FI159" s="420"/>
      <c r="FJ159" s="420"/>
      <c r="FK159" s="420"/>
      <c r="FL159" s="420"/>
      <c r="FM159" s="420"/>
      <c r="FN159" s="420"/>
      <c r="FO159" s="420"/>
      <c r="FP159" s="420"/>
      <c r="FQ159" s="420"/>
      <c r="FR159" s="420"/>
      <c r="FS159" s="420"/>
      <c r="FT159" s="420"/>
      <c r="FU159" s="420"/>
      <c r="FV159" s="420"/>
      <c r="FW159" s="420"/>
      <c r="FX159" s="420"/>
      <c r="FY159" s="420"/>
      <c r="FZ159" s="420"/>
      <c r="GA159" s="420"/>
      <c r="GB159" s="420"/>
      <c r="GC159" s="420"/>
      <c r="GD159" s="420"/>
      <c r="GE159" s="420"/>
      <c r="GF159" s="420"/>
      <c r="GG159" s="420"/>
      <c r="GH159" s="420"/>
      <c r="GI159" s="420"/>
      <c r="GJ159" s="420"/>
      <c r="GK159" s="420"/>
      <c r="GL159" s="420"/>
      <c r="GM159" s="420"/>
      <c r="GN159" s="420"/>
      <c r="GO159" s="420"/>
      <c r="GP159" s="420"/>
      <c r="GQ159" s="420"/>
      <c r="GR159" s="420"/>
      <c r="GS159" s="420"/>
      <c r="GT159" s="420"/>
      <c r="GU159" s="420"/>
      <c r="GV159" s="420"/>
      <c r="GW159" s="420"/>
      <c r="GX159" s="420"/>
      <c r="GY159" s="420"/>
      <c r="GZ159" s="420"/>
      <c r="HA159" s="420"/>
      <c r="HB159" s="420"/>
      <c r="HC159" s="420"/>
      <c r="HD159" s="420"/>
      <c r="HE159" s="420"/>
      <c r="HF159" s="420"/>
      <c r="HG159" s="420"/>
      <c r="HH159" s="420"/>
      <c r="HI159" s="420"/>
      <c r="HJ159" s="420"/>
      <c r="HK159" s="420"/>
      <c r="HL159" s="420"/>
      <c r="HM159" s="420"/>
      <c r="HN159" s="420"/>
      <c r="HO159" s="420"/>
      <c r="HP159" s="420"/>
      <c r="HQ159" s="420"/>
      <c r="HR159" s="420"/>
      <c r="HS159" s="420"/>
      <c r="HT159" s="420"/>
      <c r="HU159" s="420"/>
      <c r="HV159" s="420"/>
      <c r="HW159" s="420"/>
      <c r="HX159" s="420"/>
      <c r="HY159" s="420"/>
      <c r="HZ159" s="420"/>
      <c r="IA159" s="420"/>
      <c r="IB159" s="420"/>
      <c r="IC159" s="420"/>
      <c r="ID159" s="420"/>
      <c r="IE159" s="420"/>
      <c r="IF159" s="420"/>
      <c r="IG159" s="420"/>
      <c r="IH159" s="420"/>
      <c r="II159" s="420"/>
      <c r="IJ159" s="420"/>
      <c r="IK159" s="420"/>
      <c r="IL159" s="420"/>
      <c r="IM159" s="420"/>
      <c r="IN159" s="420"/>
      <c r="IO159" s="420"/>
      <c r="IP159" s="420"/>
      <c r="IQ159" s="420"/>
      <c r="IR159" s="420"/>
      <c r="IS159" s="420"/>
      <c r="IT159" s="420"/>
      <c r="IU159" s="420"/>
      <c r="IV159" s="420"/>
      <c r="IW159" s="420"/>
      <c r="IX159" s="420"/>
      <c r="IY159" s="420"/>
      <c r="IZ159" s="420"/>
      <c r="JA159" s="420"/>
      <c r="JB159" s="420"/>
    </row>
    <row r="160" spans="1:262" ht="18" customHeight="1" x14ac:dyDescent="0.35">
      <c r="A160" s="783">
        <v>150</v>
      </c>
      <c r="B160" s="625"/>
      <c r="C160" s="466"/>
      <c r="D160" s="1002" t="s">
        <v>311</v>
      </c>
      <c r="E160" s="432"/>
      <c r="F160" s="772"/>
      <c r="G160" s="433"/>
      <c r="H160" s="1009"/>
      <c r="I160" s="1005"/>
      <c r="J160" s="769"/>
      <c r="K160" s="769"/>
      <c r="L160" s="769"/>
      <c r="M160" s="999">
        <v>10000</v>
      </c>
      <c r="N160" s="769"/>
      <c r="O160" s="769"/>
      <c r="P160" s="992">
        <f>SUM(I160:O160)</f>
        <v>10000</v>
      </c>
      <c r="Q160" s="773"/>
    </row>
    <row r="161" spans="1:262" ht="18" customHeight="1" x14ac:dyDescent="0.35">
      <c r="A161" s="783">
        <v>151</v>
      </c>
      <c r="B161" s="625"/>
      <c r="C161" s="466"/>
      <c r="D161" s="583" t="s">
        <v>1072</v>
      </c>
      <c r="E161" s="432"/>
      <c r="F161" s="772"/>
      <c r="G161" s="433"/>
      <c r="H161" s="1009"/>
      <c r="I161" s="1005"/>
      <c r="J161" s="769"/>
      <c r="K161" s="769"/>
      <c r="L161" s="769"/>
      <c r="M161" s="1548">
        <v>0</v>
      </c>
      <c r="N161" s="1548"/>
      <c r="O161" s="1548"/>
      <c r="P161" s="777">
        <f>SUM(I161:O161)</f>
        <v>0</v>
      </c>
      <c r="Q161" s="773"/>
    </row>
    <row r="162" spans="1:262" ht="18" customHeight="1" x14ac:dyDescent="0.35">
      <c r="A162" s="783">
        <v>152</v>
      </c>
      <c r="B162" s="625"/>
      <c r="C162" s="466"/>
      <c r="D162" s="1338" t="s">
        <v>963</v>
      </c>
      <c r="E162" s="432"/>
      <c r="F162" s="772"/>
      <c r="G162" s="433"/>
      <c r="H162" s="1009"/>
      <c r="I162" s="1005"/>
      <c r="J162" s="769"/>
      <c r="K162" s="769"/>
      <c r="L162" s="769"/>
      <c r="M162" s="769"/>
      <c r="N162" s="769"/>
      <c r="O162" s="769"/>
      <c r="P162" s="777">
        <f t="shared" ref="P162:P163" si="18">SUM(I162:O162)</f>
        <v>0</v>
      </c>
      <c r="Q162" s="773"/>
    </row>
    <row r="163" spans="1:262" ht="18" customHeight="1" x14ac:dyDescent="0.35">
      <c r="A163" s="783">
        <v>153</v>
      </c>
      <c r="B163" s="625"/>
      <c r="C163" s="466"/>
      <c r="D163" s="583" t="s">
        <v>1151</v>
      </c>
      <c r="E163" s="432"/>
      <c r="F163" s="772"/>
      <c r="G163" s="433"/>
      <c r="H163" s="1009"/>
      <c r="I163" s="1005"/>
      <c r="J163" s="769"/>
      <c r="K163" s="769"/>
      <c r="L163" s="769"/>
      <c r="M163" s="1548">
        <f>SUM(M161:M162)</f>
        <v>0</v>
      </c>
      <c r="N163" s="769"/>
      <c r="O163" s="769"/>
      <c r="P163" s="777">
        <f t="shared" si="18"/>
        <v>0</v>
      </c>
      <c r="Q163" s="773"/>
    </row>
    <row r="164" spans="1:262" s="768" customFormat="1" ht="22.5" customHeight="1" x14ac:dyDescent="0.35">
      <c r="A164" s="783">
        <v>154</v>
      </c>
      <c r="B164" s="776"/>
      <c r="C164" s="466"/>
      <c r="D164" s="423" t="s">
        <v>712</v>
      </c>
      <c r="E164" s="432"/>
      <c r="F164" s="772"/>
      <c r="G164" s="433"/>
      <c r="H164" s="1009"/>
      <c r="I164" s="1005"/>
      <c r="J164" s="769"/>
      <c r="K164" s="769"/>
      <c r="L164" s="769"/>
      <c r="M164" s="1023"/>
      <c r="N164" s="769"/>
      <c r="O164" s="769"/>
      <c r="P164" s="777"/>
      <c r="Q164" s="773"/>
      <c r="R164" s="420"/>
      <c r="S164" s="420"/>
      <c r="T164" s="420"/>
      <c r="U164" s="420"/>
      <c r="V164" s="420"/>
      <c r="W164" s="420"/>
      <c r="X164" s="420"/>
      <c r="Y164" s="420"/>
      <c r="Z164" s="420"/>
      <c r="AA164" s="420"/>
      <c r="AB164" s="420"/>
      <c r="AC164" s="420"/>
      <c r="AD164" s="420"/>
      <c r="AE164" s="420"/>
      <c r="AF164" s="420"/>
      <c r="AG164" s="420"/>
      <c r="AH164" s="420"/>
      <c r="AI164" s="420"/>
      <c r="AJ164" s="420"/>
      <c r="AK164" s="420"/>
      <c r="AL164" s="420"/>
      <c r="AM164" s="420"/>
      <c r="AN164" s="420"/>
      <c r="AO164" s="420"/>
      <c r="AP164" s="420"/>
      <c r="AQ164" s="420"/>
      <c r="AR164" s="420"/>
      <c r="AS164" s="420"/>
      <c r="AT164" s="420"/>
      <c r="AU164" s="420"/>
      <c r="AV164" s="420"/>
      <c r="AW164" s="420"/>
      <c r="AX164" s="420"/>
      <c r="AY164" s="420"/>
      <c r="AZ164" s="420"/>
      <c r="BA164" s="420"/>
      <c r="BB164" s="420"/>
      <c r="BC164" s="420"/>
      <c r="BD164" s="420"/>
      <c r="BE164" s="420"/>
      <c r="BF164" s="420"/>
      <c r="BG164" s="420"/>
      <c r="BH164" s="420"/>
      <c r="BI164" s="420"/>
      <c r="BJ164" s="420"/>
      <c r="BK164" s="420"/>
      <c r="BL164" s="420"/>
      <c r="BM164" s="420"/>
      <c r="BN164" s="420"/>
      <c r="BO164" s="420"/>
      <c r="BP164" s="420"/>
      <c r="BQ164" s="420"/>
      <c r="BR164" s="420"/>
      <c r="BS164" s="420"/>
      <c r="BT164" s="420"/>
      <c r="BU164" s="420"/>
      <c r="BV164" s="420"/>
      <c r="BW164" s="420"/>
      <c r="BX164" s="420"/>
      <c r="BY164" s="420"/>
      <c r="BZ164" s="420"/>
      <c r="CA164" s="420"/>
      <c r="CB164" s="420"/>
      <c r="CC164" s="420"/>
      <c r="CD164" s="420"/>
      <c r="CE164" s="420"/>
      <c r="CF164" s="420"/>
      <c r="CG164" s="420"/>
      <c r="CH164" s="420"/>
      <c r="CI164" s="420"/>
      <c r="CJ164" s="420"/>
      <c r="CK164" s="420"/>
      <c r="CL164" s="420"/>
      <c r="CM164" s="420"/>
      <c r="CN164" s="420"/>
      <c r="CO164" s="420"/>
      <c r="CP164" s="420"/>
      <c r="CQ164" s="420"/>
      <c r="CR164" s="420"/>
      <c r="CS164" s="420"/>
      <c r="CT164" s="420"/>
      <c r="CU164" s="420"/>
      <c r="CV164" s="420"/>
      <c r="CW164" s="420"/>
      <c r="CX164" s="420"/>
      <c r="CY164" s="420"/>
      <c r="CZ164" s="420"/>
      <c r="DA164" s="420"/>
      <c r="DB164" s="420"/>
      <c r="DC164" s="420"/>
      <c r="DD164" s="420"/>
      <c r="DE164" s="420"/>
      <c r="DF164" s="420"/>
      <c r="DG164" s="420"/>
      <c r="DH164" s="420"/>
      <c r="DI164" s="420"/>
      <c r="DJ164" s="420"/>
      <c r="DK164" s="420"/>
      <c r="DL164" s="420"/>
      <c r="DM164" s="420"/>
      <c r="DN164" s="420"/>
      <c r="DO164" s="420"/>
      <c r="DP164" s="420"/>
      <c r="DQ164" s="420"/>
      <c r="DR164" s="420"/>
      <c r="DS164" s="420"/>
      <c r="DT164" s="420"/>
      <c r="DU164" s="420"/>
      <c r="DV164" s="420"/>
      <c r="DW164" s="420"/>
      <c r="DX164" s="420"/>
      <c r="DY164" s="420"/>
      <c r="DZ164" s="420"/>
      <c r="EA164" s="420"/>
      <c r="EB164" s="420"/>
      <c r="EC164" s="420"/>
      <c r="ED164" s="420"/>
      <c r="EE164" s="420"/>
      <c r="EF164" s="420"/>
      <c r="EG164" s="420"/>
      <c r="EH164" s="420"/>
      <c r="EI164" s="420"/>
      <c r="EJ164" s="420"/>
      <c r="EK164" s="420"/>
      <c r="EL164" s="420"/>
      <c r="EM164" s="420"/>
      <c r="EN164" s="420"/>
      <c r="EO164" s="420"/>
      <c r="EP164" s="420"/>
      <c r="EQ164" s="420"/>
      <c r="ER164" s="420"/>
      <c r="ES164" s="420"/>
      <c r="ET164" s="420"/>
      <c r="EU164" s="420"/>
      <c r="EV164" s="420"/>
      <c r="EW164" s="420"/>
      <c r="EX164" s="420"/>
      <c r="EY164" s="420"/>
      <c r="EZ164" s="420"/>
      <c r="FA164" s="420"/>
      <c r="FB164" s="420"/>
      <c r="FC164" s="420"/>
      <c r="FD164" s="420"/>
      <c r="FE164" s="420"/>
      <c r="FF164" s="420"/>
      <c r="FG164" s="420"/>
      <c r="FH164" s="420"/>
      <c r="FI164" s="420"/>
      <c r="FJ164" s="420"/>
      <c r="FK164" s="420"/>
      <c r="FL164" s="420"/>
      <c r="FM164" s="420"/>
      <c r="FN164" s="420"/>
      <c r="FO164" s="420"/>
      <c r="FP164" s="420"/>
      <c r="FQ164" s="420"/>
      <c r="FR164" s="420"/>
      <c r="FS164" s="420"/>
      <c r="FT164" s="420"/>
      <c r="FU164" s="420"/>
      <c r="FV164" s="420"/>
      <c r="FW164" s="420"/>
      <c r="FX164" s="420"/>
      <c r="FY164" s="420"/>
      <c r="FZ164" s="420"/>
      <c r="GA164" s="420"/>
      <c r="GB164" s="420"/>
      <c r="GC164" s="420"/>
      <c r="GD164" s="420"/>
      <c r="GE164" s="420"/>
      <c r="GF164" s="420"/>
      <c r="GG164" s="420"/>
      <c r="GH164" s="420"/>
      <c r="GI164" s="420"/>
      <c r="GJ164" s="420"/>
      <c r="GK164" s="420"/>
      <c r="GL164" s="420"/>
      <c r="GM164" s="420"/>
      <c r="GN164" s="420"/>
      <c r="GO164" s="420"/>
      <c r="GP164" s="420"/>
      <c r="GQ164" s="420"/>
      <c r="GR164" s="420"/>
      <c r="GS164" s="420"/>
      <c r="GT164" s="420"/>
      <c r="GU164" s="420"/>
      <c r="GV164" s="420"/>
      <c r="GW164" s="420"/>
      <c r="GX164" s="420"/>
      <c r="GY164" s="420"/>
      <c r="GZ164" s="420"/>
      <c r="HA164" s="420"/>
      <c r="HB164" s="420"/>
      <c r="HC164" s="420"/>
      <c r="HD164" s="420"/>
      <c r="HE164" s="420"/>
      <c r="HF164" s="420"/>
      <c r="HG164" s="420"/>
      <c r="HH164" s="420"/>
      <c r="HI164" s="420"/>
      <c r="HJ164" s="420"/>
      <c r="HK164" s="420"/>
      <c r="HL164" s="420"/>
      <c r="HM164" s="420"/>
      <c r="HN164" s="420"/>
      <c r="HO164" s="420"/>
      <c r="HP164" s="420"/>
      <c r="HQ164" s="420"/>
      <c r="HR164" s="420"/>
      <c r="HS164" s="420"/>
      <c r="HT164" s="420"/>
      <c r="HU164" s="420"/>
      <c r="HV164" s="420"/>
      <c r="HW164" s="420"/>
      <c r="HX164" s="420"/>
      <c r="HY164" s="420"/>
      <c r="HZ164" s="420"/>
      <c r="IA164" s="420"/>
      <c r="IB164" s="420"/>
      <c r="IC164" s="420"/>
      <c r="ID164" s="420"/>
      <c r="IE164" s="420"/>
      <c r="IF164" s="420"/>
      <c r="IG164" s="420"/>
      <c r="IH164" s="420"/>
      <c r="II164" s="420"/>
      <c r="IJ164" s="420"/>
      <c r="IK164" s="420"/>
      <c r="IL164" s="420"/>
      <c r="IM164" s="420"/>
      <c r="IN164" s="420"/>
      <c r="IO164" s="420"/>
      <c r="IP164" s="420"/>
      <c r="IQ164" s="420"/>
      <c r="IR164" s="420"/>
      <c r="IS164" s="420"/>
      <c r="IT164" s="420"/>
      <c r="IU164" s="420"/>
      <c r="IV164" s="420"/>
      <c r="IW164" s="420"/>
      <c r="IX164" s="420"/>
      <c r="IY164" s="420"/>
      <c r="IZ164" s="420"/>
      <c r="JA164" s="420"/>
      <c r="JB164" s="420"/>
    </row>
    <row r="165" spans="1:262" ht="18" customHeight="1" x14ac:dyDescent="0.35">
      <c r="A165" s="783">
        <v>155</v>
      </c>
      <c r="B165" s="625"/>
      <c r="C165" s="466"/>
      <c r="D165" s="1002" t="s">
        <v>311</v>
      </c>
      <c r="E165" s="432"/>
      <c r="F165" s="772"/>
      <c r="G165" s="433"/>
      <c r="H165" s="1009"/>
      <c r="I165" s="1005"/>
      <c r="J165" s="769"/>
      <c r="K165" s="769"/>
      <c r="L165" s="769"/>
      <c r="M165" s="999">
        <v>10000</v>
      </c>
      <c r="N165" s="769"/>
      <c r="O165" s="769"/>
      <c r="P165" s="992">
        <f>SUM(I165:O165)</f>
        <v>10000</v>
      </c>
      <c r="Q165" s="773"/>
    </row>
    <row r="166" spans="1:262" ht="18" customHeight="1" x14ac:dyDescent="0.35">
      <c r="A166" s="783">
        <v>156</v>
      </c>
      <c r="B166" s="625"/>
      <c r="C166" s="466"/>
      <c r="D166" s="583" t="s">
        <v>1072</v>
      </c>
      <c r="E166" s="432"/>
      <c r="F166" s="772"/>
      <c r="G166" s="433"/>
      <c r="H166" s="1009"/>
      <c r="I166" s="1005"/>
      <c r="J166" s="769"/>
      <c r="K166" s="769"/>
      <c r="L166" s="769"/>
      <c r="M166" s="1548">
        <v>0</v>
      </c>
      <c r="N166" s="769"/>
      <c r="O166" s="769"/>
      <c r="P166" s="777">
        <f>SUM(I166:O166)</f>
        <v>0</v>
      </c>
      <c r="Q166" s="773"/>
    </row>
    <row r="167" spans="1:262" ht="18" customHeight="1" x14ac:dyDescent="0.35">
      <c r="A167" s="783">
        <v>157</v>
      </c>
      <c r="B167" s="625"/>
      <c r="C167" s="466"/>
      <c r="D167" s="1338" t="s">
        <v>963</v>
      </c>
      <c r="E167" s="432"/>
      <c r="F167" s="772"/>
      <c r="G167" s="433"/>
      <c r="H167" s="1009"/>
      <c r="I167" s="1005"/>
      <c r="J167" s="769"/>
      <c r="K167" s="769"/>
      <c r="L167" s="769"/>
      <c r="M167" s="769"/>
      <c r="N167" s="769"/>
      <c r="O167" s="769"/>
      <c r="P167" s="777">
        <f t="shared" ref="P167:P168" si="19">SUM(I167:O167)</f>
        <v>0</v>
      </c>
      <c r="Q167" s="773"/>
    </row>
    <row r="168" spans="1:262" ht="18" customHeight="1" x14ac:dyDescent="0.35">
      <c r="A168" s="783">
        <v>158</v>
      </c>
      <c r="B168" s="625"/>
      <c r="C168" s="466"/>
      <c r="D168" s="583" t="s">
        <v>1151</v>
      </c>
      <c r="E168" s="432"/>
      <c r="F168" s="772"/>
      <c r="G168" s="433"/>
      <c r="H168" s="1009"/>
      <c r="I168" s="1005"/>
      <c r="J168" s="769"/>
      <c r="K168" s="769"/>
      <c r="L168" s="769"/>
      <c r="M168" s="1548">
        <f>SUM(M166:M167)</f>
        <v>0</v>
      </c>
      <c r="N168" s="769"/>
      <c r="O168" s="769"/>
      <c r="P168" s="777">
        <f t="shared" si="19"/>
        <v>0</v>
      </c>
      <c r="Q168" s="773"/>
    </row>
    <row r="169" spans="1:262" s="768" customFormat="1" ht="22.5" customHeight="1" x14ac:dyDescent="0.35">
      <c r="A169" s="783">
        <v>159</v>
      </c>
      <c r="B169" s="776"/>
      <c r="C169" s="466"/>
      <c r="D169" s="423" t="s">
        <v>781</v>
      </c>
      <c r="E169" s="432"/>
      <c r="F169" s="772"/>
      <c r="G169" s="433"/>
      <c r="H169" s="1009"/>
      <c r="I169" s="1005"/>
      <c r="J169" s="769"/>
      <c r="K169" s="769"/>
      <c r="L169" s="769"/>
      <c r="M169" s="769"/>
      <c r="N169" s="769"/>
      <c r="O169" s="769"/>
      <c r="P169" s="777"/>
      <c r="Q169" s="773"/>
      <c r="R169" s="420"/>
      <c r="S169" s="420"/>
      <c r="T169" s="420"/>
      <c r="U169" s="420"/>
      <c r="V169" s="420"/>
      <c r="W169" s="420"/>
      <c r="X169" s="420"/>
      <c r="Y169" s="420"/>
      <c r="Z169" s="420"/>
      <c r="AA169" s="420"/>
      <c r="AB169" s="420"/>
      <c r="AC169" s="420"/>
      <c r="AD169" s="420"/>
      <c r="AE169" s="420"/>
      <c r="AF169" s="420"/>
      <c r="AG169" s="420"/>
      <c r="AH169" s="420"/>
      <c r="AI169" s="420"/>
      <c r="AJ169" s="420"/>
      <c r="AK169" s="420"/>
      <c r="AL169" s="420"/>
      <c r="AM169" s="420"/>
      <c r="AN169" s="420"/>
      <c r="AO169" s="420"/>
      <c r="AP169" s="420"/>
      <c r="AQ169" s="420"/>
      <c r="AR169" s="420"/>
      <c r="AS169" s="420"/>
      <c r="AT169" s="420"/>
      <c r="AU169" s="420"/>
      <c r="AV169" s="420"/>
      <c r="AW169" s="420"/>
      <c r="AX169" s="420"/>
      <c r="AY169" s="420"/>
      <c r="AZ169" s="420"/>
      <c r="BA169" s="420"/>
      <c r="BB169" s="420"/>
      <c r="BC169" s="420"/>
      <c r="BD169" s="420"/>
      <c r="BE169" s="420"/>
      <c r="BF169" s="420"/>
      <c r="BG169" s="420"/>
      <c r="BH169" s="420"/>
      <c r="BI169" s="420"/>
      <c r="BJ169" s="420"/>
      <c r="BK169" s="420"/>
      <c r="BL169" s="420"/>
      <c r="BM169" s="420"/>
      <c r="BN169" s="420"/>
      <c r="BO169" s="420"/>
      <c r="BP169" s="420"/>
      <c r="BQ169" s="420"/>
      <c r="BR169" s="420"/>
      <c r="BS169" s="420"/>
      <c r="BT169" s="420"/>
      <c r="BU169" s="420"/>
      <c r="BV169" s="420"/>
      <c r="BW169" s="420"/>
      <c r="BX169" s="420"/>
      <c r="BY169" s="420"/>
      <c r="BZ169" s="420"/>
      <c r="CA169" s="420"/>
      <c r="CB169" s="420"/>
      <c r="CC169" s="420"/>
      <c r="CD169" s="420"/>
      <c r="CE169" s="420"/>
      <c r="CF169" s="420"/>
      <c r="CG169" s="420"/>
      <c r="CH169" s="420"/>
      <c r="CI169" s="420"/>
      <c r="CJ169" s="420"/>
      <c r="CK169" s="420"/>
      <c r="CL169" s="420"/>
      <c r="CM169" s="420"/>
      <c r="CN169" s="420"/>
      <c r="CO169" s="420"/>
      <c r="CP169" s="420"/>
      <c r="CQ169" s="420"/>
      <c r="CR169" s="420"/>
      <c r="CS169" s="420"/>
      <c r="CT169" s="420"/>
      <c r="CU169" s="420"/>
      <c r="CV169" s="420"/>
      <c r="CW169" s="420"/>
      <c r="CX169" s="420"/>
      <c r="CY169" s="420"/>
      <c r="CZ169" s="420"/>
      <c r="DA169" s="420"/>
      <c r="DB169" s="420"/>
      <c r="DC169" s="420"/>
      <c r="DD169" s="420"/>
      <c r="DE169" s="420"/>
      <c r="DF169" s="420"/>
      <c r="DG169" s="420"/>
      <c r="DH169" s="420"/>
      <c r="DI169" s="420"/>
      <c r="DJ169" s="420"/>
      <c r="DK169" s="420"/>
      <c r="DL169" s="420"/>
      <c r="DM169" s="420"/>
      <c r="DN169" s="420"/>
      <c r="DO169" s="420"/>
      <c r="DP169" s="420"/>
      <c r="DQ169" s="420"/>
      <c r="DR169" s="420"/>
      <c r="DS169" s="420"/>
      <c r="DT169" s="420"/>
      <c r="DU169" s="420"/>
      <c r="DV169" s="420"/>
      <c r="DW169" s="420"/>
      <c r="DX169" s="420"/>
      <c r="DY169" s="420"/>
      <c r="DZ169" s="420"/>
      <c r="EA169" s="420"/>
      <c r="EB169" s="420"/>
      <c r="EC169" s="420"/>
      <c r="ED169" s="420"/>
      <c r="EE169" s="420"/>
      <c r="EF169" s="420"/>
      <c r="EG169" s="420"/>
      <c r="EH169" s="420"/>
      <c r="EI169" s="420"/>
      <c r="EJ169" s="420"/>
      <c r="EK169" s="420"/>
      <c r="EL169" s="420"/>
      <c r="EM169" s="420"/>
      <c r="EN169" s="420"/>
      <c r="EO169" s="420"/>
      <c r="EP169" s="420"/>
      <c r="EQ169" s="420"/>
      <c r="ER169" s="420"/>
      <c r="ES169" s="420"/>
      <c r="ET169" s="420"/>
      <c r="EU169" s="420"/>
      <c r="EV169" s="420"/>
      <c r="EW169" s="420"/>
      <c r="EX169" s="420"/>
      <c r="EY169" s="420"/>
      <c r="EZ169" s="420"/>
      <c r="FA169" s="420"/>
      <c r="FB169" s="420"/>
      <c r="FC169" s="420"/>
      <c r="FD169" s="420"/>
      <c r="FE169" s="420"/>
      <c r="FF169" s="420"/>
      <c r="FG169" s="420"/>
      <c r="FH169" s="420"/>
      <c r="FI169" s="420"/>
      <c r="FJ169" s="420"/>
      <c r="FK169" s="420"/>
      <c r="FL169" s="420"/>
      <c r="FM169" s="420"/>
      <c r="FN169" s="420"/>
      <c r="FO169" s="420"/>
      <c r="FP169" s="420"/>
      <c r="FQ169" s="420"/>
      <c r="FR169" s="420"/>
      <c r="FS169" s="420"/>
      <c r="FT169" s="420"/>
      <c r="FU169" s="420"/>
      <c r="FV169" s="420"/>
      <c r="FW169" s="420"/>
      <c r="FX169" s="420"/>
      <c r="FY169" s="420"/>
      <c r="FZ169" s="420"/>
      <c r="GA169" s="420"/>
      <c r="GB169" s="420"/>
      <c r="GC169" s="420"/>
      <c r="GD169" s="420"/>
      <c r="GE169" s="420"/>
      <c r="GF169" s="420"/>
      <c r="GG169" s="420"/>
      <c r="GH169" s="420"/>
      <c r="GI169" s="420"/>
      <c r="GJ169" s="420"/>
      <c r="GK169" s="420"/>
      <c r="GL169" s="420"/>
      <c r="GM169" s="420"/>
      <c r="GN169" s="420"/>
      <c r="GO169" s="420"/>
      <c r="GP169" s="420"/>
      <c r="GQ169" s="420"/>
      <c r="GR169" s="420"/>
      <c r="GS169" s="420"/>
      <c r="GT169" s="420"/>
      <c r="GU169" s="420"/>
      <c r="GV169" s="420"/>
      <c r="GW169" s="420"/>
      <c r="GX169" s="420"/>
      <c r="GY169" s="420"/>
      <c r="GZ169" s="420"/>
      <c r="HA169" s="420"/>
      <c r="HB169" s="420"/>
      <c r="HC169" s="420"/>
      <c r="HD169" s="420"/>
      <c r="HE169" s="420"/>
      <c r="HF169" s="420"/>
      <c r="HG169" s="420"/>
      <c r="HH169" s="420"/>
      <c r="HI169" s="420"/>
      <c r="HJ169" s="420"/>
      <c r="HK169" s="420"/>
      <c r="HL169" s="420"/>
      <c r="HM169" s="420"/>
      <c r="HN169" s="420"/>
      <c r="HO169" s="420"/>
      <c r="HP169" s="420"/>
      <c r="HQ169" s="420"/>
      <c r="HR169" s="420"/>
      <c r="HS169" s="420"/>
      <c r="HT169" s="420"/>
      <c r="HU169" s="420"/>
      <c r="HV169" s="420"/>
      <c r="HW169" s="420"/>
      <c r="HX169" s="420"/>
      <c r="HY169" s="420"/>
      <c r="HZ169" s="420"/>
      <c r="IA169" s="420"/>
      <c r="IB169" s="420"/>
      <c r="IC169" s="420"/>
      <c r="ID169" s="420"/>
      <c r="IE169" s="420"/>
      <c r="IF169" s="420"/>
      <c r="IG169" s="420"/>
      <c r="IH169" s="420"/>
      <c r="II169" s="420"/>
      <c r="IJ169" s="420"/>
      <c r="IK169" s="420"/>
      <c r="IL169" s="420"/>
      <c r="IM169" s="420"/>
      <c r="IN169" s="420"/>
      <c r="IO169" s="420"/>
      <c r="IP169" s="420"/>
      <c r="IQ169" s="420"/>
      <c r="IR169" s="420"/>
      <c r="IS169" s="420"/>
      <c r="IT169" s="420"/>
      <c r="IU169" s="420"/>
      <c r="IV169" s="420"/>
      <c r="IW169" s="420"/>
      <c r="IX169" s="420"/>
      <c r="IY169" s="420"/>
      <c r="IZ169" s="420"/>
      <c r="JA169" s="420"/>
      <c r="JB169" s="420"/>
    </row>
    <row r="170" spans="1:262" ht="18" customHeight="1" x14ac:dyDescent="0.35">
      <c r="A170" s="783">
        <v>160</v>
      </c>
      <c r="B170" s="625"/>
      <c r="C170" s="466"/>
      <c r="D170" s="1002" t="s">
        <v>311</v>
      </c>
      <c r="E170" s="432"/>
      <c r="F170" s="772"/>
      <c r="G170" s="433"/>
      <c r="H170" s="1009"/>
      <c r="I170" s="1005"/>
      <c r="J170" s="769"/>
      <c r="K170" s="769"/>
      <c r="L170" s="769"/>
      <c r="M170" s="999">
        <f>1896745-152400+108305+20250+6804+78300+10000</f>
        <v>1968004</v>
      </c>
      <c r="N170" s="769"/>
      <c r="O170" s="769"/>
      <c r="P170" s="992">
        <f>SUM(I170:O170)</f>
        <v>1968004</v>
      </c>
      <c r="Q170" s="773"/>
    </row>
    <row r="171" spans="1:262" ht="18" customHeight="1" x14ac:dyDescent="0.35">
      <c r="A171" s="783">
        <v>161</v>
      </c>
      <c r="B171" s="625"/>
      <c r="C171" s="466"/>
      <c r="D171" s="583" t="s">
        <v>1072</v>
      </c>
      <c r="E171" s="432"/>
      <c r="F171" s="772"/>
      <c r="G171" s="433"/>
      <c r="H171" s="1009"/>
      <c r="I171" s="1005"/>
      <c r="J171" s="769"/>
      <c r="K171" s="769"/>
      <c r="L171" s="769"/>
      <c r="M171" s="1548">
        <v>0</v>
      </c>
      <c r="N171" s="769"/>
      <c r="O171" s="769"/>
      <c r="P171" s="777">
        <f>SUM(I171:O171)</f>
        <v>0</v>
      </c>
      <c r="Q171" s="773"/>
    </row>
    <row r="172" spans="1:262" ht="18" customHeight="1" x14ac:dyDescent="0.35">
      <c r="A172" s="783">
        <v>162</v>
      </c>
      <c r="B172" s="625"/>
      <c r="C172" s="466"/>
      <c r="D172" s="1338" t="s">
        <v>963</v>
      </c>
      <c r="E172" s="432"/>
      <c r="F172" s="772"/>
      <c r="G172" s="433"/>
      <c r="H172" s="1009"/>
      <c r="I172" s="1005"/>
      <c r="J172" s="769"/>
      <c r="K172" s="769"/>
      <c r="L172" s="769"/>
      <c r="M172" s="769"/>
      <c r="N172" s="769"/>
      <c r="O172" s="769"/>
      <c r="P172" s="777">
        <f t="shared" ref="P172:P173" si="20">SUM(I172:O172)</f>
        <v>0</v>
      </c>
      <c r="Q172" s="773"/>
    </row>
    <row r="173" spans="1:262" ht="18" customHeight="1" x14ac:dyDescent="0.35">
      <c r="A173" s="783">
        <v>163</v>
      </c>
      <c r="B173" s="625"/>
      <c r="C173" s="466"/>
      <c r="D173" s="583" t="s">
        <v>1151</v>
      </c>
      <c r="E173" s="432"/>
      <c r="F173" s="772"/>
      <c r="G173" s="433"/>
      <c r="H173" s="1009"/>
      <c r="I173" s="1005"/>
      <c r="J173" s="769"/>
      <c r="K173" s="769"/>
      <c r="L173" s="769"/>
      <c r="M173" s="1548">
        <f>SUM(M171:M172)</f>
        <v>0</v>
      </c>
      <c r="N173" s="769"/>
      <c r="O173" s="769"/>
      <c r="P173" s="777">
        <f t="shared" si="20"/>
        <v>0</v>
      </c>
      <c r="Q173" s="773"/>
    </row>
    <row r="174" spans="1:262" ht="22.5" customHeight="1" x14ac:dyDescent="0.35">
      <c r="A174" s="783">
        <v>164</v>
      </c>
      <c r="B174" s="625"/>
      <c r="C174" s="466"/>
      <c r="D174" s="423" t="s">
        <v>783</v>
      </c>
      <c r="E174" s="432"/>
      <c r="F174" s="772"/>
      <c r="G174" s="433"/>
      <c r="H174" s="1009"/>
      <c r="I174" s="1005"/>
      <c r="J174" s="769"/>
      <c r="K174" s="769"/>
      <c r="L174" s="769"/>
      <c r="M174" s="1023"/>
      <c r="N174" s="769"/>
      <c r="O174" s="769"/>
      <c r="P174" s="992"/>
      <c r="Q174" s="773"/>
    </row>
    <row r="175" spans="1:262" ht="18" customHeight="1" x14ac:dyDescent="0.35">
      <c r="A175" s="783">
        <v>165</v>
      </c>
      <c r="B175" s="625"/>
      <c r="C175" s="1078"/>
      <c r="D175" s="1880" t="s">
        <v>311</v>
      </c>
      <c r="E175" s="1086"/>
      <c r="F175" s="1087"/>
      <c r="G175" s="1088"/>
      <c r="H175" s="1089"/>
      <c r="I175" s="1090"/>
      <c r="J175" s="1091"/>
      <c r="K175" s="1091"/>
      <c r="L175" s="1091"/>
      <c r="M175" s="1082">
        <v>152400</v>
      </c>
      <c r="N175" s="1091"/>
      <c r="O175" s="1091"/>
      <c r="P175" s="1083">
        <f>SUM(I175:O175)</f>
        <v>152400</v>
      </c>
      <c r="Q175" s="1077"/>
    </row>
    <row r="176" spans="1:262" ht="18" customHeight="1" x14ac:dyDescent="0.35">
      <c r="A176" s="783">
        <v>166</v>
      </c>
      <c r="B176" s="625"/>
      <c r="C176" s="1863"/>
      <c r="D176" s="583" t="s">
        <v>1072</v>
      </c>
      <c r="E176" s="1086"/>
      <c r="F176" s="1087"/>
      <c r="G176" s="1088"/>
      <c r="H176" s="1089"/>
      <c r="I176" s="1090"/>
      <c r="J176" s="1090"/>
      <c r="K176" s="1090"/>
      <c r="L176" s="1090"/>
      <c r="M176" s="1862">
        <v>0</v>
      </c>
      <c r="N176" s="1862"/>
      <c r="O176" s="1862"/>
      <c r="P176" s="1571">
        <f>SUM(I176:O176)</f>
        <v>0</v>
      </c>
      <c r="Q176" s="1077"/>
    </row>
    <row r="177" spans="1:262" ht="18" customHeight="1" x14ac:dyDescent="0.35">
      <c r="A177" s="783">
        <v>167</v>
      </c>
      <c r="B177" s="625"/>
      <c r="C177" s="1570"/>
      <c r="D177" s="442" t="s">
        <v>963</v>
      </c>
      <c r="E177" s="432"/>
      <c r="F177" s="772"/>
      <c r="G177" s="433"/>
      <c r="H177" s="1009"/>
      <c r="I177" s="1005"/>
      <c r="J177" s="1005"/>
      <c r="K177" s="1005"/>
      <c r="L177" s="1005"/>
      <c r="M177" s="1005"/>
      <c r="N177" s="1005"/>
      <c r="O177" s="1005"/>
      <c r="P177" s="1571">
        <f t="shared" ref="P177:P178" si="21">SUM(I177:O177)</f>
        <v>0</v>
      </c>
      <c r="Q177" s="773"/>
    </row>
    <row r="178" spans="1:262" ht="18" customHeight="1" thickBot="1" x14ac:dyDescent="0.4">
      <c r="A178" s="783">
        <v>168</v>
      </c>
      <c r="B178" s="625"/>
      <c r="C178" s="1542"/>
      <c r="D178" s="583" t="s">
        <v>1151</v>
      </c>
      <c r="E178" s="1543"/>
      <c r="F178" s="1552"/>
      <c r="G178" s="1545"/>
      <c r="H178" s="1520"/>
      <c r="I178" s="1551"/>
      <c r="J178" s="1551"/>
      <c r="K178" s="1551"/>
      <c r="L178" s="1551"/>
      <c r="M178" s="1550">
        <f>SUM(M176:M177)</f>
        <v>0</v>
      </c>
      <c r="N178" s="1551"/>
      <c r="O178" s="1551"/>
      <c r="P178" s="1571">
        <f t="shared" si="21"/>
        <v>0</v>
      </c>
      <c r="Q178" s="1521"/>
    </row>
    <row r="179" spans="1:262" s="768" customFormat="1" ht="21.95" customHeight="1" thickTop="1" thickBot="1" x14ac:dyDescent="0.4">
      <c r="A179" s="783">
        <v>169</v>
      </c>
      <c r="B179" s="776"/>
      <c r="C179" s="1092"/>
      <c r="D179" s="1569" t="s">
        <v>834</v>
      </c>
      <c r="E179" s="1093">
        <f>E104+E100+E96+E92+E88+E83</f>
        <v>212406</v>
      </c>
      <c r="F179" s="1093">
        <f t="shared" ref="F179:G179" si="22">F104+F100+F96+F92+F88+F83</f>
        <v>0</v>
      </c>
      <c r="G179" s="1093">
        <f t="shared" si="22"/>
        <v>0</v>
      </c>
      <c r="H179" s="1094"/>
      <c r="I179" s="1098"/>
      <c r="J179" s="1098"/>
      <c r="K179" s="1098"/>
      <c r="L179" s="1098"/>
      <c r="M179" s="1098"/>
      <c r="N179" s="1098"/>
      <c r="O179" s="1098"/>
      <c r="P179" s="1098"/>
      <c r="Q179" s="1095"/>
      <c r="R179" s="420"/>
      <c r="S179" s="420"/>
      <c r="T179" s="420"/>
      <c r="U179" s="420"/>
      <c r="V179" s="420"/>
      <c r="W179" s="420"/>
      <c r="X179" s="420"/>
      <c r="Y179" s="420"/>
      <c r="Z179" s="420"/>
      <c r="AA179" s="420"/>
      <c r="AB179" s="420"/>
      <c r="AC179" s="420"/>
      <c r="AD179" s="420"/>
      <c r="AE179" s="420"/>
      <c r="AF179" s="420"/>
      <c r="AG179" s="420"/>
      <c r="AH179" s="420"/>
      <c r="AI179" s="420"/>
      <c r="AJ179" s="420"/>
      <c r="AK179" s="420"/>
      <c r="AL179" s="420"/>
      <c r="AM179" s="420"/>
      <c r="AN179" s="420"/>
      <c r="AO179" s="420"/>
      <c r="AP179" s="420"/>
      <c r="AQ179" s="420"/>
      <c r="AR179" s="420"/>
      <c r="AS179" s="420"/>
      <c r="AT179" s="420"/>
      <c r="AU179" s="420"/>
      <c r="AV179" s="420"/>
      <c r="AW179" s="420"/>
      <c r="AX179" s="420"/>
      <c r="AY179" s="420"/>
      <c r="AZ179" s="420"/>
      <c r="BA179" s="420"/>
      <c r="BB179" s="420"/>
      <c r="BC179" s="420"/>
      <c r="BD179" s="420"/>
      <c r="BE179" s="420"/>
      <c r="BF179" s="420"/>
      <c r="BG179" s="420"/>
      <c r="BH179" s="420"/>
      <c r="BI179" s="420"/>
      <c r="BJ179" s="420"/>
      <c r="BK179" s="420"/>
      <c r="BL179" s="420"/>
      <c r="BM179" s="420"/>
      <c r="BN179" s="420"/>
      <c r="BO179" s="420"/>
      <c r="BP179" s="420"/>
      <c r="BQ179" s="420"/>
      <c r="BR179" s="420"/>
      <c r="BS179" s="420"/>
      <c r="BT179" s="420"/>
      <c r="BU179" s="420"/>
      <c r="BV179" s="420"/>
      <c r="BW179" s="420"/>
      <c r="BX179" s="420"/>
      <c r="BY179" s="420"/>
      <c r="BZ179" s="420"/>
      <c r="CA179" s="420"/>
      <c r="CB179" s="420"/>
      <c r="CC179" s="420"/>
      <c r="CD179" s="420"/>
      <c r="CE179" s="420"/>
      <c r="CF179" s="420"/>
      <c r="CG179" s="420"/>
      <c r="CH179" s="420"/>
      <c r="CI179" s="420"/>
      <c r="CJ179" s="420"/>
      <c r="CK179" s="420"/>
      <c r="CL179" s="420"/>
      <c r="CM179" s="420"/>
      <c r="CN179" s="420"/>
      <c r="CO179" s="420"/>
      <c r="CP179" s="420"/>
      <c r="CQ179" s="420"/>
      <c r="CR179" s="420"/>
      <c r="CS179" s="420"/>
      <c r="CT179" s="420"/>
      <c r="CU179" s="420"/>
      <c r="CV179" s="420"/>
      <c r="CW179" s="420"/>
      <c r="CX179" s="420"/>
      <c r="CY179" s="420"/>
      <c r="CZ179" s="420"/>
      <c r="DA179" s="420"/>
      <c r="DB179" s="420"/>
      <c r="DC179" s="420"/>
      <c r="DD179" s="420"/>
      <c r="DE179" s="420"/>
      <c r="DF179" s="420"/>
      <c r="DG179" s="420"/>
      <c r="DH179" s="420"/>
      <c r="DI179" s="420"/>
      <c r="DJ179" s="420"/>
      <c r="DK179" s="420"/>
      <c r="DL179" s="420"/>
      <c r="DM179" s="420"/>
      <c r="DN179" s="420"/>
      <c r="DO179" s="420"/>
      <c r="DP179" s="420"/>
      <c r="DQ179" s="420"/>
      <c r="DR179" s="420"/>
      <c r="DS179" s="420"/>
      <c r="DT179" s="420"/>
      <c r="DU179" s="420"/>
      <c r="DV179" s="420"/>
      <c r="DW179" s="420"/>
      <c r="DX179" s="420"/>
      <c r="DY179" s="420"/>
      <c r="DZ179" s="420"/>
      <c r="EA179" s="420"/>
      <c r="EB179" s="420"/>
      <c r="EC179" s="420"/>
      <c r="ED179" s="420"/>
      <c r="EE179" s="420"/>
      <c r="EF179" s="420"/>
      <c r="EG179" s="420"/>
      <c r="EH179" s="420"/>
      <c r="EI179" s="420"/>
      <c r="EJ179" s="420"/>
      <c r="EK179" s="420"/>
      <c r="EL179" s="420"/>
      <c r="EM179" s="420"/>
      <c r="EN179" s="420"/>
      <c r="EO179" s="420"/>
      <c r="EP179" s="420"/>
      <c r="EQ179" s="420"/>
      <c r="ER179" s="420"/>
      <c r="ES179" s="420"/>
      <c r="ET179" s="420"/>
      <c r="EU179" s="420"/>
      <c r="EV179" s="420"/>
      <c r="EW179" s="420"/>
      <c r="EX179" s="420"/>
      <c r="EY179" s="420"/>
      <c r="EZ179" s="420"/>
      <c r="FA179" s="420"/>
      <c r="FB179" s="420"/>
      <c r="FC179" s="420"/>
      <c r="FD179" s="420"/>
      <c r="FE179" s="420"/>
      <c r="FF179" s="420"/>
      <c r="FG179" s="420"/>
      <c r="FH179" s="420"/>
      <c r="FI179" s="420"/>
      <c r="FJ179" s="420"/>
      <c r="FK179" s="420"/>
      <c r="FL179" s="420"/>
      <c r="FM179" s="420"/>
      <c r="FN179" s="420"/>
      <c r="FO179" s="420"/>
      <c r="FP179" s="420"/>
      <c r="FQ179" s="420"/>
      <c r="FR179" s="420"/>
      <c r="FS179" s="420"/>
      <c r="FT179" s="420"/>
      <c r="FU179" s="420"/>
      <c r="FV179" s="420"/>
      <c r="FW179" s="420"/>
      <c r="FX179" s="420"/>
      <c r="FY179" s="420"/>
      <c r="FZ179" s="420"/>
      <c r="GA179" s="420"/>
      <c r="GB179" s="420"/>
      <c r="GC179" s="420"/>
      <c r="GD179" s="420"/>
      <c r="GE179" s="420"/>
      <c r="GF179" s="420"/>
      <c r="GG179" s="420"/>
      <c r="GH179" s="420"/>
      <c r="GI179" s="420"/>
      <c r="GJ179" s="420"/>
      <c r="GK179" s="420"/>
      <c r="GL179" s="420"/>
      <c r="GM179" s="420"/>
      <c r="GN179" s="420"/>
      <c r="GO179" s="420"/>
      <c r="GP179" s="420"/>
      <c r="GQ179" s="420"/>
      <c r="GR179" s="420"/>
      <c r="GS179" s="420"/>
      <c r="GT179" s="420"/>
      <c r="GU179" s="420"/>
      <c r="GV179" s="420"/>
      <c r="GW179" s="420"/>
      <c r="GX179" s="420"/>
      <c r="GY179" s="420"/>
      <c r="GZ179" s="420"/>
      <c r="HA179" s="420"/>
      <c r="HB179" s="420"/>
      <c r="HC179" s="420"/>
      <c r="HD179" s="420"/>
      <c r="HE179" s="420"/>
      <c r="HF179" s="420"/>
      <c r="HG179" s="420"/>
      <c r="HH179" s="420"/>
      <c r="HI179" s="420"/>
      <c r="HJ179" s="420"/>
      <c r="HK179" s="420"/>
      <c r="HL179" s="420"/>
      <c r="HM179" s="420"/>
      <c r="HN179" s="420"/>
      <c r="HO179" s="420"/>
      <c r="HP179" s="420"/>
      <c r="HQ179" s="420"/>
      <c r="HR179" s="420"/>
      <c r="HS179" s="420"/>
      <c r="HT179" s="420"/>
      <c r="HU179" s="420"/>
      <c r="HV179" s="420"/>
      <c r="HW179" s="420"/>
      <c r="HX179" s="420"/>
      <c r="HY179" s="420"/>
      <c r="HZ179" s="420"/>
      <c r="IA179" s="420"/>
      <c r="IB179" s="420"/>
      <c r="IC179" s="420"/>
      <c r="ID179" s="420"/>
      <c r="IE179" s="420"/>
      <c r="IF179" s="420"/>
      <c r="IG179" s="420"/>
      <c r="IH179" s="420"/>
      <c r="II179" s="420"/>
      <c r="IJ179" s="420"/>
      <c r="IK179" s="420"/>
      <c r="IL179" s="420"/>
      <c r="IM179" s="420"/>
      <c r="IN179" s="420"/>
      <c r="IO179" s="420"/>
      <c r="IP179" s="420"/>
      <c r="IQ179" s="420"/>
      <c r="IR179" s="420"/>
      <c r="IS179" s="420"/>
      <c r="IT179" s="420"/>
      <c r="IU179" s="420"/>
      <c r="IV179" s="420"/>
      <c r="IW179" s="420"/>
      <c r="IX179" s="420"/>
      <c r="IY179" s="420"/>
      <c r="IZ179" s="420"/>
      <c r="JA179" s="420"/>
      <c r="JB179" s="420"/>
    </row>
    <row r="180" spans="1:262" s="768" customFormat="1" ht="21.95" customHeight="1" x14ac:dyDescent="0.35">
      <c r="A180" s="783">
        <v>170</v>
      </c>
      <c r="B180" s="766"/>
      <c r="C180" s="1572"/>
      <c r="D180" s="1469" t="s">
        <v>311</v>
      </c>
      <c r="E180" s="429"/>
      <c r="F180" s="429"/>
      <c r="G180" s="428"/>
      <c r="H180" s="1574"/>
      <c r="I180" s="1588">
        <f t="shared" ref="I180:P180" si="23">I175+I170+I165+I160+I155+I150+I145+I140+I135+I130+I125+I120+I115+I109+I84</f>
        <v>0</v>
      </c>
      <c r="J180" s="1588">
        <f t="shared" si="23"/>
        <v>0</v>
      </c>
      <c r="K180" s="1588">
        <f t="shared" si="23"/>
        <v>197850</v>
      </c>
      <c r="L180" s="1588">
        <f t="shared" si="23"/>
        <v>165075</v>
      </c>
      <c r="M180" s="1588">
        <f t="shared" si="23"/>
        <v>2664544</v>
      </c>
      <c r="N180" s="1588">
        <f t="shared" si="23"/>
        <v>0</v>
      </c>
      <c r="O180" s="1588">
        <f t="shared" si="23"/>
        <v>0</v>
      </c>
      <c r="P180" s="1589">
        <f t="shared" si="23"/>
        <v>3027469</v>
      </c>
      <c r="Q180" s="1575"/>
      <c r="R180" s="420"/>
      <c r="S180" s="420"/>
      <c r="T180" s="420"/>
      <c r="U180" s="420"/>
      <c r="V180" s="420"/>
      <c r="W180" s="420"/>
      <c r="X180" s="420"/>
      <c r="Y180" s="420"/>
      <c r="Z180" s="420"/>
      <c r="AA180" s="420"/>
      <c r="AB180" s="420"/>
      <c r="AC180" s="420"/>
      <c r="AD180" s="420"/>
      <c r="AE180" s="420"/>
      <c r="AF180" s="420"/>
      <c r="AG180" s="420"/>
      <c r="AH180" s="420"/>
      <c r="AI180" s="420"/>
      <c r="AJ180" s="420"/>
      <c r="AK180" s="420"/>
      <c r="AL180" s="420"/>
      <c r="AM180" s="420"/>
      <c r="AN180" s="420"/>
      <c r="AO180" s="420"/>
      <c r="AP180" s="420"/>
      <c r="AQ180" s="420"/>
      <c r="AR180" s="420"/>
      <c r="AS180" s="420"/>
      <c r="AT180" s="420"/>
      <c r="AU180" s="420"/>
      <c r="AV180" s="420"/>
      <c r="AW180" s="420"/>
      <c r="AX180" s="420"/>
      <c r="AY180" s="420"/>
      <c r="AZ180" s="420"/>
      <c r="BA180" s="420"/>
      <c r="BB180" s="420"/>
      <c r="BC180" s="420"/>
      <c r="BD180" s="420"/>
      <c r="BE180" s="420"/>
      <c r="BF180" s="420"/>
      <c r="BG180" s="420"/>
      <c r="BH180" s="420"/>
      <c r="BI180" s="420"/>
      <c r="BJ180" s="420"/>
      <c r="BK180" s="420"/>
      <c r="BL180" s="420"/>
      <c r="BM180" s="420"/>
      <c r="BN180" s="420"/>
      <c r="BO180" s="420"/>
      <c r="BP180" s="420"/>
      <c r="BQ180" s="420"/>
      <c r="BR180" s="420"/>
      <c r="BS180" s="420"/>
      <c r="BT180" s="420"/>
      <c r="BU180" s="420"/>
      <c r="BV180" s="420"/>
      <c r="BW180" s="420"/>
      <c r="BX180" s="420"/>
      <c r="BY180" s="420"/>
      <c r="BZ180" s="420"/>
      <c r="CA180" s="420"/>
      <c r="CB180" s="420"/>
      <c r="CC180" s="420"/>
      <c r="CD180" s="420"/>
      <c r="CE180" s="420"/>
      <c r="CF180" s="420"/>
      <c r="CG180" s="420"/>
      <c r="CH180" s="420"/>
      <c r="CI180" s="420"/>
      <c r="CJ180" s="420"/>
      <c r="CK180" s="420"/>
      <c r="CL180" s="420"/>
      <c r="CM180" s="420"/>
      <c r="CN180" s="420"/>
      <c r="CO180" s="420"/>
      <c r="CP180" s="420"/>
      <c r="CQ180" s="420"/>
      <c r="CR180" s="420"/>
      <c r="CS180" s="420"/>
      <c r="CT180" s="420"/>
      <c r="CU180" s="420"/>
      <c r="CV180" s="420"/>
      <c r="CW180" s="420"/>
      <c r="CX180" s="420"/>
      <c r="CY180" s="420"/>
      <c r="CZ180" s="420"/>
      <c r="DA180" s="420"/>
      <c r="DB180" s="420"/>
      <c r="DC180" s="420"/>
      <c r="DD180" s="420"/>
      <c r="DE180" s="420"/>
      <c r="DF180" s="420"/>
      <c r="DG180" s="420"/>
      <c r="DH180" s="420"/>
      <c r="DI180" s="420"/>
      <c r="DJ180" s="420"/>
      <c r="DK180" s="420"/>
      <c r="DL180" s="420"/>
      <c r="DM180" s="420"/>
      <c r="DN180" s="420"/>
      <c r="DO180" s="420"/>
      <c r="DP180" s="420"/>
      <c r="DQ180" s="420"/>
      <c r="DR180" s="420"/>
      <c r="DS180" s="420"/>
      <c r="DT180" s="420"/>
      <c r="DU180" s="420"/>
      <c r="DV180" s="420"/>
      <c r="DW180" s="420"/>
      <c r="DX180" s="420"/>
      <c r="DY180" s="420"/>
      <c r="DZ180" s="420"/>
      <c r="EA180" s="420"/>
      <c r="EB180" s="420"/>
      <c r="EC180" s="420"/>
      <c r="ED180" s="420"/>
      <c r="EE180" s="420"/>
      <c r="EF180" s="420"/>
      <c r="EG180" s="420"/>
      <c r="EH180" s="420"/>
      <c r="EI180" s="420"/>
      <c r="EJ180" s="420"/>
      <c r="EK180" s="420"/>
      <c r="EL180" s="420"/>
      <c r="EM180" s="420"/>
      <c r="EN180" s="420"/>
      <c r="EO180" s="420"/>
      <c r="EP180" s="420"/>
      <c r="EQ180" s="420"/>
      <c r="ER180" s="420"/>
      <c r="ES180" s="420"/>
      <c r="ET180" s="420"/>
      <c r="EU180" s="420"/>
      <c r="EV180" s="420"/>
      <c r="EW180" s="420"/>
      <c r="EX180" s="420"/>
      <c r="EY180" s="420"/>
      <c r="EZ180" s="420"/>
      <c r="FA180" s="420"/>
      <c r="FB180" s="420"/>
      <c r="FC180" s="420"/>
      <c r="FD180" s="420"/>
      <c r="FE180" s="420"/>
      <c r="FF180" s="420"/>
      <c r="FG180" s="420"/>
      <c r="FH180" s="420"/>
      <c r="FI180" s="420"/>
      <c r="FJ180" s="420"/>
      <c r="FK180" s="420"/>
      <c r="FL180" s="420"/>
      <c r="FM180" s="420"/>
      <c r="FN180" s="420"/>
      <c r="FO180" s="420"/>
      <c r="FP180" s="420"/>
      <c r="FQ180" s="420"/>
      <c r="FR180" s="420"/>
      <c r="FS180" s="420"/>
      <c r="FT180" s="420"/>
      <c r="FU180" s="420"/>
      <c r="FV180" s="420"/>
      <c r="FW180" s="420"/>
      <c r="FX180" s="420"/>
      <c r="FY180" s="420"/>
      <c r="FZ180" s="420"/>
      <c r="GA180" s="420"/>
      <c r="GB180" s="420"/>
      <c r="GC180" s="420"/>
      <c r="GD180" s="420"/>
      <c r="GE180" s="420"/>
      <c r="GF180" s="420"/>
      <c r="GG180" s="420"/>
      <c r="GH180" s="420"/>
      <c r="GI180" s="420"/>
      <c r="GJ180" s="420"/>
      <c r="GK180" s="420"/>
      <c r="GL180" s="420"/>
      <c r="GM180" s="420"/>
      <c r="GN180" s="420"/>
      <c r="GO180" s="420"/>
      <c r="GP180" s="420"/>
      <c r="GQ180" s="420"/>
      <c r="GR180" s="420"/>
      <c r="GS180" s="420"/>
      <c r="GT180" s="420"/>
      <c r="GU180" s="420"/>
      <c r="GV180" s="420"/>
      <c r="GW180" s="420"/>
      <c r="GX180" s="420"/>
      <c r="GY180" s="420"/>
      <c r="GZ180" s="420"/>
      <c r="HA180" s="420"/>
      <c r="HB180" s="420"/>
      <c r="HC180" s="420"/>
      <c r="HD180" s="420"/>
      <c r="HE180" s="420"/>
      <c r="HF180" s="420"/>
      <c r="HG180" s="420"/>
      <c r="HH180" s="420"/>
      <c r="HI180" s="420"/>
      <c r="HJ180" s="420"/>
      <c r="HK180" s="420"/>
      <c r="HL180" s="420"/>
      <c r="HM180" s="420"/>
      <c r="HN180" s="420"/>
      <c r="HO180" s="420"/>
      <c r="HP180" s="420"/>
      <c r="HQ180" s="420"/>
      <c r="HR180" s="420"/>
      <c r="HS180" s="420"/>
      <c r="HT180" s="420"/>
      <c r="HU180" s="420"/>
      <c r="HV180" s="420"/>
      <c r="HW180" s="420"/>
      <c r="HX180" s="420"/>
      <c r="HY180" s="420"/>
      <c r="HZ180" s="420"/>
      <c r="IA180" s="420"/>
      <c r="IB180" s="420"/>
      <c r="IC180" s="420"/>
      <c r="ID180" s="420"/>
      <c r="IE180" s="420"/>
      <c r="IF180" s="420"/>
      <c r="IG180" s="420"/>
      <c r="IH180" s="420"/>
      <c r="II180" s="420"/>
      <c r="IJ180" s="420"/>
      <c r="IK180" s="420"/>
      <c r="IL180" s="420"/>
      <c r="IM180" s="420"/>
      <c r="IN180" s="420"/>
      <c r="IO180" s="420"/>
      <c r="IP180" s="420"/>
      <c r="IQ180" s="420"/>
      <c r="IR180" s="420"/>
      <c r="IS180" s="420"/>
      <c r="IT180" s="420"/>
      <c r="IU180" s="420"/>
      <c r="IV180" s="420"/>
      <c r="IW180" s="420"/>
      <c r="IX180" s="420"/>
      <c r="IY180" s="420"/>
      <c r="IZ180" s="420"/>
      <c r="JA180" s="420"/>
      <c r="JB180" s="420"/>
    </row>
    <row r="181" spans="1:262" s="768" customFormat="1" ht="21.95" customHeight="1" x14ac:dyDescent="0.35">
      <c r="A181" s="783">
        <v>171</v>
      </c>
      <c r="B181" s="766"/>
      <c r="C181" s="1572"/>
      <c r="D181" s="583" t="s">
        <v>1072</v>
      </c>
      <c r="E181" s="429"/>
      <c r="F181" s="429"/>
      <c r="G181" s="428"/>
      <c r="H181" s="1008"/>
      <c r="I181" s="1870">
        <f t="shared" ref="I181:O181" si="24">I176+I171+I166+I161+I156+I151+I146+I141+I136+I131+I126+I121+I116+I110+I85+I105+I101+I97+I93+I89</f>
        <v>0</v>
      </c>
      <c r="J181" s="1870">
        <f t="shared" si="24"/>
        <v>0</v>
      </c>
      <c r="K181" s="1870">
        <f t="shared" si="24"/>
        <v>2450</v>
      </c>
      <c r="L181" s="1870">
        <f t="shared" si="24"/>
        <v>0</v>
      </c>
      <c r="M181" s="1870">
        <f t="shared" si="24"/>
        <v>0</v>
      </c>
      <c r="N181" s="1870">
        <f t="shared" si="24"/>
        <v>209956</v>
      </c>
      <c r="O181" s="1870">
        <f t="shared" si="24"/>
        <v>0</v>
      </c>
      <c r="P181" s="777">
        <f>SUM(I181:O181)</f>
        <v>212406</v>
      </c>
      <c r="Q181" s="1575"/>
      <c r="R181" s="420"/>
      <c r="S181" s="420"/>
      <c r="T181" s="420"/>
      <c r="U181" s="420"/>
      <c r="V181" s="420"/>
      <c r="W181" s="420"/>
      <c r="X181" s="420"/>
      <c r="Y181" s="420"/>
      <c r="Z181" s="420"/>
      <c r="AA181" s="420"/>
      <c r="AB181" s="420"/>
      <c r="AC181" s="420"/>
      <c r="AD181" s="420"/>
      <c r="AE181" s="420"/>
      <c r="AF181" s="420"/>
      <c r="AG181" s="420"/>
      <c r="AH181" s="420"/>
      <c r="AI181" s="420"/>
      <c r="AJ181" s="420"/>
      <c r="AK181" s="420"/>
      <c r="AL181" s="420"/>
      <c r="AM181" s="420"/>
      <c r="AN181" s="420"/>
      <c r="AO181" s="420"/>
      <c r="AP181" s="420"/>
      <c r="AQ181" s="420"/>
      <c r="AR181" s="420"/>
      <c r="AS181" s="420"/>
      <c r="AT181" s="420"/>
      <c r="AU181" s="420"/>
      <c r="AV181" s="420"/>
      <c r="AW181" s="420"/>
      <c r="AX181" s="420"/>
      <c r="AY181" s="420"/>
      <c r="AZ181" s="420"/>
      <c r="BA181" s="420"/>
      <c r="BB181" s="420"/>
      <c r="BC181" s="420"/>
      <c r="BD181" s="420"/>
      <c r="BE181" s="420"/>
      <c r="BF181" s="420"/>
      <c r="BG181" s="420"/>
      <c r="BH181" s="420"/>
      <c r="BI181" s="420"/>
      <c r="BJ181" s="420"/>
      <c r="BK181" s="420"/>
      <c r="BL181" s="420"/>
      <c r="BM181" s="420"/>
      <c r="BN181" s="420"/>
      <c r="BO181" s="420"/>
      <c r="BP181" s="420"/>
      <c r="BQ181" s="420"/>
      <c r="BR181" s="420"/>
      <c r="BS181" s="420"/>
      <c r="BT181" s="420"/>
      <c r="BU181" s="420"/>
      <c r="BV181" s="420"/>
      <c r="BW181" s="420"/>
      <c r="BX181" s="420"/>
      <c r="BY181" s="420"/>
      <c r="BZ181" s="420"/>
      <c r="CA181" s="420"/>
      <c r="CB181" s="420"/>
      <c r="CC181" s="420"/>
      <c r="CD181" s="420"/>
      <c r="CE181" s="420"/>
      <c r="CF181" s="420"/>
      <c r="CG181" s="420"/>
      <c r="CH181" s="420"/>
      <c r="CI181" s="420"/>
      <c r="CJ181" s="420"/>
      <c r="CK181" s="420"/>
      <c r="CL181" s="420"/>
      <c r="CM181" s="420"/>
      <c r="CN181" s="420"/>
      <c r="CO181" s="420"/>
      <c r="CP181" s="420"/>
      <c r="CQ181" s="420"/>
      <c r="CR181" s="420"/>
      <c r="CS181" s="420"/>
      <c r="CT181" s="420"/>
      <c r="CU181" s="420"/>
      <c r="CV181" s="420"/>
      <c r="CW181" s="420"/>
      <c r="CX181" s="420"/>
      <c r="CY181" s="420"/>
      <c r="CZ181" s="420"/>
      <c r="DA181" s="420"/>
      <c r="DB181" s="420"/>
      <c r="DC181" s="420"/>
      <c r="DD181" s="420"/>
      <c r="DE181" s="420"/>
      <c r="DF181" s="420"/>
      <c r="DG181" s="420"/>
      <c r="DH181" s="420"/>
      <c r="DI181" s="420"/>
      <c r="DJ181" s="420"/>
      <c r="DK181" s="420"/>
      <c r="DL181" s="420"/>
      <c r="DM181" s="420"/>
      <c r="DN181" s="420"/>
      <c r="DO181" s="420"/>
      <c r="DP181" s="420"/>
      <c r="DQ181" s="420"/>
      <c r="DR181" s="420"/>
      <c r="DS181" s="420"/>
      <c r="DT181" s="420"/>
      <c r="DU181" s="420"/>
      <c r="DV181" s="420"/>
      <c r="DW181" s="420"/>
      <c r="DX181" s="420"/>
      <c r="DY181" s="420"/>
      <c r="DZ181" s="420"/>
      <c r="EA181" s="420"/>
      <c r="EB181" s="420"/>
      <c r="EC181" s="420"/>
      <c r="ED181" s="420"/>
      <c r="EE181" s="420"/>
      <c r="EF181" s="420"/>
      <c r="EG181" s="420"/>
      <c r="EH181" s="420"/>
      <c r="EI181" s="420"/>
      <c r="EJ181" s="420"/>
      <c r="EK181" s="420"/>
      <c r="EL181" s="420"/>
      <c r="EM181" s="420"/>
      <c r="EN181" s="420"/>
      <c r="EO181" s="420"/>
      <c r="EP181" s="420"/>
      <c r="EQ181" s="420"/>
      <c r="ER181" s="420"/>
      <c r="ES181" s="420"/>
      <c r="ET181" s="420"/>
      <c r="EU181" s="420"/>
      <c r="EV181" s="420"/>
      <c r="EW181" s="420"/>
      <c r="EX181" s="420"/>
      <c r="EY181" s="420"/>
      <c r="EZ181" s="420"/>
      <c r="FA181" s="420"/>
      <c r="FB181" s="420"/>
      <c r="FC181" s="420"/>
      <c r="FD181" s="420"/>
      <c r="FE181" s="420"/>
      <c r="FF181" s="420"/>
      <c r="FG181" s="420"/>
      <c r="FH181" s="420"/>
      <c r="FI181" s="420"/>
      <c r="FJ181" s="420"/>
      <c r="FK181" s="420"/>
      <c r="FL181" s="420"/>
      <c r="FM181" s="420"/>
      <c r="FN181" s="420"/>
      <c r="FO181" s="420"/>
      <c r="FP181" s="420"/>
      <c r="FQ181" s="420"/>
      <c r="FR181" s="420"/>
      <c r="FS181" s="420"/>
      <c r="FT181" s="420"/>
      <c r="FU181" s="420"/>
      <c r="FV181" s="420"/>
      <c r="FW181" s="420"/>
      <c r="FX181" s="420"/>
      <c r="FY181" s="420"/>
      <c r="FZ181" s="420"/>
      <c r="GA181" s="420"/>
      <c r="GB181" s="420"/>
      <c r="GC181" s="420"/>
      <c r="GD181" s="420"/>
      <c r="GE181" s="420"/>
      <c r="GF181" s="420"/>
      <c r="GG181" s="420"/>
      <c r="GH181" s="420"/>
      <c r="GI181" s="420"/>
      <c r="GJ181" s="420"/>
      <c r="GK181" s="420"/>
      <c r="GL181" s="420"/>
      <c r="GM181" s="420"/>
      <c r="GN181" s="420"/>
      <c r="GO181" s="420"/>
      <c r="GP181" s="420"/>
      <c r="GQ181" s="420"/>
      <c r="GR181" s="420"/>
      <c r="GS181" s="420"/>
      <c r="GT181" s="420"/>
      <c r="GU181" s="420"/>
      <c r="GV181" s="420"/>
      <c r="GW181" s="420"/>
      <c r="GX181" s="420"/>
      <c r="GY181" s="420"/>
      <c r="GZ181" s="420"/>
      <c r="HA181" s="420"/>
      <c r="HB181" s="420"/>
      <c r="HC181" s="420"/>
      <c r="HD181" s="420"/>
      <c r="HE181" s="420"/>
      <c r="HF181" s="420"/>
      <c r="HG181" s="420"/>
      <c r="HH181" s="420"/>
      <c r="HI181" s="420"/>
      <c r="HJ181" s="420"/>
      <c r="HK181" s="420"/>
      <c r="HL181" s="420"/>
      <c r="HM181" s="420"/>
      <c r="HN181" s="420"/>
      <c r="HO181" s="420"/>
      <c r="HP181" s="420"/>
      <c r="HQ181" s="420"/>
      <c r="HR181" s="420"/>
      <c r="HS181" s="420"/>
      <c r="HT181" s="420"/>
      <c r="HU181" s="420"/>
      <c r="HV181" s="420"/>
      <c r="HW181" s="420"/>
      <c r="HX181" s="420"/>
      <c r="HY181" s="420"/>
      <c r="HZ181" s="420"/>
      <c r="IA181" s="420"/>
      <c r="IB181" s="420"/>
      <c r="IC181" s="420"/>
      <c r="ID181" s="420"/>
      <c r="IE181" s="420"/>
      <c r="IF181" s="420"/>
      <c r="IG181" s="420"/>
      <c r="IH181" s="420"/>
      <c r="II181" s="420"/>
      <c r="IJ181" s="420"/>
      <c r="IK181" s="420"/>
      <c r="IL181" s="420"/>
      <c r="IM181" s="420"/>
      <c r="IN181" s="420"/>
      <c r="IO181" s="420"/>
      <c r="IP181" s="420"/>
      <c r="IQ181" s="420"/>
      <c r="IR181" s="420"/>
      <c r="IS181" s="420"/>
      <c r="IT181" s="420"/>
      <c r="IU181" s="420"/>
      <c r="IV181" s="420"/>
      <c r="IW181" s="420"/>
      <c r="IX181" s="420"/>
      <c r="IY181" s="420"/>
      <c r="IZ181" s="420"/>
      <c r="JA181" s="420"/>
      <c r="JB181" s="420"/>
    </row>
    <row r="182" spans="1:262" s="768" customFormat="1" ht="21.95" customHeight="1" x14ac:dyDescent="0.35">
      <c r="A182" s="783">
        <v>172</v>
      </c>
      <c r="B182" s="776"/>
      <c r="C182" s="422"/>
      <c r="D182" s="1480" t="s">
        <v>963</v>
      </c>
      <c r="E182" s="432"/>
      <c r="F182" s="432"/>
      <c r="G182" s="433"/>
      <c r="H182" s="1009"/>
      <c r="I182" s="1587">
        <f>I177+I172+I167+I162+I157+I152+I147+I142+I137+I132+I127+I122+I117+I111+I86+I106+I102+I98+I94+I90</f>
        <v>0</v>
      </c>
      <c r="J182" s="1587">
        <f t="shared" ref="J182:O182" si="25">J177+J172+J167+J162+J157+J152+J147+J142+J137+J132+J127+J122+J117+J111+J86+J106+J102+J98+J94+J90</f>
        <v>0</v>
      </c>
      <c r="K182" s="1587">
        <f t="shared" si="25"/>
        <v>0</v>
      </c>
      <c r="L182" s="1587">
        <f t="shared" si="25"/>
        <v>0</v>
      </c>
      <c r="M182" s="1587">
        <f t="shared" si="25"/>
        <v>0</v>
      </c>
      <c r="N182" s="1587">
        <f t="shared" si="25"/>
        <v>0</v>
      </c>
      <c r="O182" s="1587">
        <f t="shared" si="25"/>
        <v>0</v>
      </c>
      <c r="P182" s="1988">
        <f>SUM(I182:O182)</f>
        <v>0</v>
      </c>
      <c r="Q182" s="1576"/>
      <c r="R182" s="420"/>
      <c r="S182" s="420"/>
      <c r="T182" s="420"/>
      <c r="U182" s="420"/>
      <c r="V182" s="420"/>
      <c r="W182" s="420"/>
      <c r="X182" s="420"/>
      <c r="Y182" s="420"/>
      <c r="Z182" s="420"/>
      <c r="AA182" s="420"/>
      <c r="AB182" s="420"/>
      <c r="AC182" s="420"/>
      <c r="AD182" s="420"/>
      <c r="AE182" s="420"/>
      <c r="AF182" s="420"/>
      <c r="AG182" s="420"/>
      <c r="AH182" s="420"/>
      <c r="AI182" s="420"/>
      <c r="AJ182" s="420"/>
      <c r="AK182" s="420"/>
      <c r="AL182" s="420"/>
      <c r="AM182" s="420"/>
      <c r="AN182" s="420"/>
      <c r="AO182" s="420"/>
      <c r="AP182" s="420"/>
      <c r="AQ182" s="420"/>
      <c r="AR182" s="420"/>
      <c r="AS182" s="420"/>
      <c r="AT182" s="420"/>
      <c r="AU182" s="420"/>
      <c r="AV182" s="420"/>
      <c r="AW182" s="420"/>
      <c r="AX182" s="420"/>
      <c r="AY182" s="420"/>
      <c r="AZ182" s="420"/>
      <c r="BA182" s="420"/>
      <c r="BB182" s="420"/>
      <c r="BC182" s="420"/>
      <c r="BD182" s="420"/>
      <c r="BE182" s="420"/>
      <c r="BF182" s="420"/>
      <c r="BG182" s="420"/>
      <c r="BH182" s="420"/>
      <c r="BI182" s="420"/>
      <c r="BJ182" s="420"/>
      <c r="BK182" s="420"/>
      <c r="BL182" s="420"/>
      <c r="BM182" s="420"/>
      <c r="BN182" s="420"/>
      <c r="BO182" s="420"/>
      <c r="BP182" s="420"/>
      <c r="BQ182" s="420"/>
      <c r="BR182" s="420"/>
      <c r="BS182" s="420"/>
      <c r="BT182" s="420"/>
      <c r="BU182" s="420"/>
      <c r="BV182" s="420"/>
      <c r="BW182" s="420"/>
      <c r="BX182" s="420"/>
      <c r="BY182" s="420"/>
      <c r="BZ182" s="420"/>
      <c r="CA182" s="420"/>
      <c r="CB182" s="420"/>
      <c r="CC182" s="420"/>
      <c r="CD182" s="420"/>
      <c r="CE182" s="420"/>
      <c r="CF182" s="420"/>
      <c r="CG182" s="420"/>
      <c r="CH182" s="420"/>
      <c r="CI182" s="420"/>
      <c r="CJ182" s="420"/>
      <c r="CK182" s="420"/>
      <c r="CL182" s="420"/>
      <c r="CM182" s="420"/>
      <c r="CN182" s="420"/>
      <c r="CO182" s="420"/>
      <c r="CP182" s="420"/>
      <c r="CQ182" s="420"/>
      <c r="CR182" s="420"/>
      <c r="CS182" s="420"/>
      <c r="CT182" s="420"/>
      <c r="CU182" s="420"/>
      <c r="CV182" s="420"/>
      <c r="CW182" s="420"/>
      <c r="CX182" s="420"/>
      <c r="CY182" s="420"/>
      <c r="CZ182" s="420"/>
      <c r="DA182" s="420"/>
      <c r="DB182" s="420"/>
      <c r="DC182" s="420"/>
      <c r="DD182" s="420"/>
      <c r="DE182" s="420"/>
      <c r="DF182" s="420"/>
      <c r="DG182" s="420"/>
      <c r="DH182" s="420"/>
      <c r="DI182" s="420"/>
      <c r="DJ182" s="420"/>
      <c r="DK182" s="420"/>
      <c r="DL182" s="420"/>
      <c r="DM182" s="420"/>
      <c r="DN182" s="420"/>
      <c r="DO182" s="420"/>
      <c r="DP182" s="420"/>
      <c r="DQ182" s="420"/>
      <c r="DR182" s="420"/>
      <c r="DS182" s="420"/>
      <c r="DT182" s="420"/>
      <c r="DU182" s="420"/>
      <c r="DV182" s="420"/>
      <c r="DW182" s="420"/>
      <c r="DX182" s="420"/>
      <c r="DY182" s="420"/>
      <c r="DZ182" s="420"/>
      <c r="EA182" s="420"/>
      <c r="EB182" s="420"/>
      <c r="EC182" s="420"/>
      <c r="ED182" s="420"/>
      <c r="EE182" s="420"/>
      <c r="EF182" s="420"/>
      <c r="EG182" s="420"/>
      <c r="EH182" s="420"/>
      <c r="EI182" s="420"/>
      <c r="EJ182" s="420"/>
      <c r="EK182" s="420"/>
      <c r="EL182" s="420"/>
      <c r="EM182" s="420"/>
      <c r="EN182" s="420"/>
      <c r="EO182" s="420"/>
      <c r="EP182" s="420"/>
      <c r="EQ182" s="420"/>
      <c r="ER182" s="420"/>
      <c r="ES182" s="420"/>
      <c r="ET182" s="420"/>
      <c r="EU182" s="420"/>
      <c r="EV182" s="420"/>
      <c r="EW182" s="420"/>
      <c r="EX182" s="420"/>
      <c r="EY182" s="420"/>
      <c r="EZ182" s="420"/>
      <c r="FA182" s="420"/>
      <c r="FB182" s="420"/>
      <c r="FC182" s="420"/>
      <c r="FD182" s="420"/>
      <c r="FE182" s="420"/>
      <c r="FF182" s="420"/>
      <c r="FG182" s="420"/>
      <c r="FH182" s="420"/>
      <c r="FI182" s="420"/>
      <c r="FJ182" s="420"/>
      <c r="FK182" s="420"/>
      <c r="FL182" s="420"/>
      <c r="FM182" s="420"/>
      <c r="FN182" s="420"/>
      <c r="FO182" s="420"/>
      <c r="FP182" s="420"/>
      <c r="FQ182" s="420"/>
      <c r="FR182" s="420"/>
      <c r="FS182" s="420"/>
      <c r="FT182" s="420"/>
      <c r="FU182" s="420"/>
      <c r="FV182" s="420"/>
      <c r="FW182" s="420"/>
      <c r="FX182" s="420"/>
      <c r="FY182" s="420"/>
      <c r="FZ182" s="420"/>
      <c r="GA182" s="420"/>
      <c r="GB182" s="420"/>
      <c r="GC182" s="420"/>
      <c r="GD182" s="420"/>
      <c r="GE182" s="420"/>
      <c r="GF182" s="420"/>
      <c r="GG182" s="420"/>
      <c r="GH182" s="420"/>
      <c r="GI182" s="420"/>
      <c r="GJ182" s="420"/>
      <c r="GK182" s="420"/>
      <c r="GL182" s="420"/>
      <c r="GM182" s="420"/>
      <c r="GN182" s="420"/>
      <c r="GO182" s="420"/>
      <c r="GP182" s="420"/>
      <c r="GQ182" s="420"/>
      <c r="GR182" s="420"/>
      <c r="GS182" s="420"/>
      <c r="GT182" s="420"/>
      <c r="GU182" s="420"/>
      <c r="GV182" s="420"/>
      <c r="GW182" s="420"/>
      <c r="GX182" s="420"/>
      <c r="GY182" s="420"/>
      <c r="GZ182" s="420"/>
      <c r="HA182" s="420"/>
      <c r="HB182" s="420"/>
      <c r="HC182" s="420"/>
      <c r="HD182" s="420"/>
      <c r="HE182" s="420"/>
      <c r="HF182" s="420"/>
      <c r="HG182" s="420"/>
      <c r="HH182" s="420"/>
      <c r="HI182" s="420"/>
      <c r="HJ182" s="420"/>
      <c r="HK182" s="420"/>
      <c r="HL182" s="420"/>
      <c r="HM182" s="420"/>
      <c r="HN182" s="420"/>
      <c r="HO182" s="420"/>
      <c r="HP182" s="420"/>
      <c r="HQ182" s="420"/>
      <c r="HR182" s="420"/>
      <c r="HS182" s="420"/>
      <c r="HT182" s="420"/>
      <c r="HU182" s="420"/>
      <c r="HV182" s="420"/>
      <c r="HW182" s="420"/>
      <c r="HX182" s="420"/>
      <c r="HY182" s="420"/>
      <c r="HZ182" s="420"/>
      <c r="IA182" s="420"/>
      <c r="IB182" s="420"/>
      <c r="IC182" s="420"/>
      <c r="ID182" s="420"/>
      <c r="IE182" s="420"/>
      <c r="IF182" s="420"/>
      <c r="IG182" s="420"/>
      <c r="IH182" s="420"/>
      <c r="II182" s="420"/>
      <c r="IJ182" s="420"/>
      <c r="IK182" s="420"/>
      <c r="IL182" s="420"/>
      <c r="IM182" s="420"/>
      <c r="IN182" s="420"/>
      <c r="IO182" s="420"/>
      <c r="IP182" s="420"/>
      <c r="IQ182" s="420"/>
      <c r="IR182" s="420"/>
      <c r="IS182" s="420"/>
      <c r="IT182" s="420"/>
      <c r="IU182" s="420"/>
      <c r="IV182" s="420"/>
      <c r="IW182" s="420"/>
      <c r="IX182" s="420"/>
      <c r="IY182" s="420"/>
      <c r="IZ182" s="420"/>
      <c r="JA182" s="420"/>
      <c r="JB182" s="420"/>
    </row>
    <row r="183" spans="1:262" s="768" customFormat="1" ht="21.95" customHeight="1" thickBot="1" x14ac:dyDescent="0.4">
      <c r="A183" s="783">
        <v>173</v>
      </c>
      <c r="B183" s="1522"/>
      <c r="C183" s="1523"/>
      <c r="D183" s="1509" t="s">
        <v>1151</v>
      </c>
      <c r="E183" s="1524"/>
      <c r="F183" s="1524"/>
      <c r="G183" s="1526"/>
      <c r="H183" s="1527"/>
      <c r="I183" s="1573">
        <f>SUM(I181:I182)</f>
        <v>0</v>
      </c>
      <c r="J183" s="1573">
        <f t="shared" ref="J183:O183" si="26">SUM(J181:J182)</f>
        <v>0</v>
      </c>
      <c r="K183" s="1573">
        <f t="shared" si="26"/>
        <v>2450</v>
      </c>
      <c r="L183" s="1573">
        <f t="shared" si="26"/>
        <v>0</v>
      </c>
      <c r="M183" s="1573">
        <f t="shared" si="26"/>
        <v>0</v>
      </c>
      <c r="N183" s="1573">
        <f t="shared" si="26"/>
        <v>209956</v>
      </c>
      <c r="O183" s="1573">
        <f t="shared" si="26"/>
        <v>0</v>
      </c>
      <c r="P183" s="1578">
        <f>SUM(P181:P182)</f>
        <v>212406</v>
      </c>
      <c r="Q183" s="1577"/>
      <c r="R183" s="420"/>
      <c r="S183" s="420"/>
      <c r="T183" s="420"/>
      <c r="U183" s="420"/>
      <c r="V183" s="420"/>
      <c r="W183" s="420"/>
      <c r="X183" s="420"/>
      <c r="Y183" s="420"/>
      <c r="Z183" s="420"/>
      <c r="AA183" s="420"/>
      <c r="AB183" s="420"/>
      <c r="AC183" s="420"/>
      <c r="AD183" s="420"/>
      <c r="AE183" s="420"/>
      <c r="AF183" s="420"/>
      <c r="AG183" s="420"/>
      <c r="AH183" s="420"/>
      <c r="AI183" s="420"/>
      <c r="AJ183" s="420"/>
      <c r="AK183" s="420"/>
      <c r="AL183" s="420"/>
      <c r="AM183" s="420"/>
      <c r="AN183" s="420"/>
      <c r="AO183" s="420"/>
      <c r="AP183" s="420"/>
      <c r="AQ183" s="420"/>
      <c r="AR183" s="420"/>
      <c r="AS183" s="420"/>
      <c r="AT183" s="420"/>
      <c r="AU183" s="420"/>
      <c r="AV183" s="420"/>
      <c r="AW183" s="420"/>
      <c r="AX183" s="420"/>
      <c r="AY183" s="420"/>
      <c r="AZ183" s="420"/>
      <c r="BA183" s="420"/>
      <c r="BB183" s="420"/>
      <c r="BC183" s="420"/>
      <c r="BD183" s="420"/>
      <c r="BE183" s="420"/>
      <c r="BF183" s="420"/>
      <c r="BG183" s="420"/>
      <c r="BH183" s="420"/>
      <c r="BI183" s="420"/>
      <c r="BJ183" s="420"/>
      <c r="BK183" s="420"/>
      <c r="BL183" s="420"/>
      <c r="BM183" s="420"/>
      <c r="BN183" s="420"/>
      <c r="BO183" s="420"/>
      <c r="BP183" s="420"/>
      <c r="BQ183" s="420"/>
      <c r="BR183" s="420"/>
      <c r="BS183" s="420"/>
      <c r="BT183" s="420"/>
      <c r="BU183" s="420"/>
      <c r="BV183" s="420"/>
      <c r="BW183" s="420"/>
      <c r="BX183" s="420"/>
      <c r="BY183" s="420"/>
      <c r="BZ183" s="420"/>
      <c r="CA183" s="420"/>
      <c r="CB183" s="420"/>
      <c r="CC183" s="420"/>
      <c r="CD183" s="420"/>
      <c r="CE183" s="420"/>
      <c r="CF183" s="420"/>
      <c r="CG183" s="420"/>
      <c r="CH183" s="420"/>
      <c r="CI183" s="420"/>
      <c r="CJ183" s="420"/>
      <c r="CK183" s="420"/>
      <c r="CL183" s="420"/>
      <c r="CM183" s="420"/>
      <c r="CN183" s="420"/>
      <c r="CO183" s="420"/>
      <c r="CP183" s="420"/>
      <c r="CQ183" s="420"/>
      <c r="CR183" s="420"/>
      <c r="CS183" s="420"/>
      <c r="CT183" s="420"/>
      <c r="CU183" s="420"/>
      <c r="CV183" s="420"/>
      <c r="CW183" s="420"/>
      <c r="CX183" s="420"/>
      <c r="CY183" s="420"/>
      <c r="CZ183" s="420"/>
      <c r="DA183" s="420"/>
      <c r="DB183" s="420"/>
      <c r="DC183" s="420"/>
      <c r="DD183" s="420"/>
      <c r="DE183" s="420"/>
      <c r="DF183" s="420"/>
      <c r="DG183" s="420"/>
      <c r="DH183" s="420"/>
      <c r="DI183" s="420"/>
      <c r="DJ183" s="420"/>
      <c r="DK183" s="420"/>
      <c r="DL183" s="420"/>
      <c r="DM183" s="420"/>
      <c r="DN183" s="420"/>
      <c r="DO183" s="420"/>
      <c r="DP183" s="420"/>
      <c r="DQ183" s="420"/>
      <c r="DR183" s="420"/>
      <c r="DS183" s="420"/>
      <c r="DT183" s="420"/>
      <c r="DU183" s="420"/>
      <c r="DV183" s="420"/>
      <c r="DW183" s="420"/>
      <c r="DX183" s="420"/>
      <c r="DY183" s="420"/>
      <c r="DZ183" s="420"/>
      <c r="EA183" s="420"/>
      <c r="EB183" s="420"/>
      <c r="EC183" s="420"/>
      <c r="ED183" s="420"/>
      <c r="EE183" s="420"/>
      <c r="EF183" s="420"/>
      <c r="EG183" s="420"/>
      <c r="EH183" s="420"/>
      <c r="EI183" s="420"/>
      <c r="EJ183" s="420"/>
      <c r="EK183" s="420"/>
      <c r="EL183" s="420"/>
      <c r="EM183" s="420"/>
      <c r="EN183" s="420"/>
      <c r="EO183" s="420"/>
      <c r="EP183" s="420"/>
      <c r="EQ183" s="420"/>
      <c r="ER183" s="420"/>
      <c r="ES183" s="420"/>
      <c r="ET183" s="420"/>
      <c r="EU183" s="420"/>
      <c r="EV183" s="420"/>
      <c r="EW183" s="420"/>
      <c r="EX183" s="420"/>
      <c r="EY183" s="420"/>
      <c r="EZ183" s="420"/>
      <c r="FA183" s="420"/>
      <c r="FB183" s="420"/>
      <c r="FC183" s="420"/>
      <c r="FD183" s="420"/>
      <c r="FE183" s="420"/>
      <c r="FF183" s="420"/>
      <c r="FG183" s="420"/>
      <c r="FH183" s="420"/>
      <c r="FI183" s="420"/>
      <c r="FJ183" s="420"/>
      <c r="FK183" s="420"/>
      <c r="FL183" s="420"/>
      <c r="FM183" s="420"/>
      <c r="FN183" s="420"/>
      <c r="FO183" s="420"/>
      <c r="FP183" s="420"/>
      <c r="FQ183" s="420"/>
      <c r="FR183" s="420"/>
      <c r="FS183" s="420"/>
      <c r="FT183" s="420"/>
      <c r="FU183" s="420"/>
      <c r="FV183" s="420"/>
      <c r="FW183" s="420"/>
      <c r="FX183" s="420"/>
      <c r="FY183" s="420"/>
      <c r="FZ183" s="420"/>
      <c r="GA183" s="420"/>
      <c r="GB183" s="420"/>
      <c r="GC183" s="420"/>
      <c r="GD183" s="420"/>
      <c r="GE183" s="420"/>
      <c r="GF183" s="420"/>
      <c r="GG183" s="420"/>
      <c r="GH183" s="420"/>
      <c r="GI183" s="420"/>
      <c r="GJ183" s="420"/>
      <c r="GK183" s="420"/>
      <c r="GL183" s="420"/>
      <c r="GM183" s="420"/>
      <c r="GN183" s="420"/>
      <c r="GO183" s="420"/>
      <c r="GP183" s="420"/>
      <c r="GQ183" s="420"/>
      <c r="GR183" s="420"/>
      <c r="GS183" s="420"/>
      <c r="GT183" s="420"/>
      <c r="GU183" s="420"/>
      <c r="GV183" s="420"/>
      <c r="GW183" s="420"/>
      <c r="GX183" s="420"/>
      <c r="GY183" s="420"/>
      <c r="GZ183" s="420"/>
      <c r="HA183" s="420"/>
      <c r="HB183" s="420"/>
      <c r="HC183" s="420"/>
      <c r="HD183" s="420"/>
      <c r="HE183" s="420"/>
      <c r="HF183" s="420"/>
      <c r="HG183" s="420"/>
      <c r="HH183" s="420"/>
      <c r="HI183" s="420"/>
      <c r="HJ183" s="420"/>
      <c r="HK183" s="420"/>
      <c r="HL183" s="420"/>
      <c r="HM183" s="420"/>
      <c r="HN183" s="420"/>
      <c r="HO183" s="420"/>
      <c r="HP183" s="420"/>
      <c r="HQ183" s="420"/>
      <c r="HR183" s="420"/>
      <c r="HS183" s="420"/>
      <c r="HT183" s="420"/>
      <c r="HU183" s="420"/>
      <c r="HV183" s="420"/>
      <c r="HW183" s="420"/>
      <c r="HX183" s="420"/>
      <c r="HY183" s="420"/>
      <c r="HZ183" s="420"/>
      <c r="IA183" s="420"/>
      <c r="IB183" s="420"/>
      <c r="IC183" s="420"/>
      <c r="ID183" s="420"/>
      <c r="IE183" s="420"/>
      <c r="IF183" s="420"/>
      <c r="IG183" s="420"/>
      <c r="IH183" s="420"/>
      <c r="II183" s="420"/>
      <c r="IJ183" s="420"/>
      <c r="IK183" s="420"/>
      <c r="IL183" s="420"/>
      <c r="IM183" s="420"/>
      <c r="IN183" s="420"/>
      <c r="IO183" s="420"/>
      <c r="IP183" s="420"/>
      <c r="IQ183" s="420"/>
      <c r="IR183" s="420"/>
      <c r="IS183" s="420"/>
      <c r="IT183" s="420"/>
      <c r="IU183" s="420"/>
      <c r="IV183" s="420"/>
      <c r="IW183" s="420"/>
      <c r="IX183" s="420"/>
      <c r="IY183" s="420"/>
      <c r="IZ183" s="420"/>
      <c r="JA183" s="420"/>
      <c r="JB183" s="420"/>
    </row>
    <row r="184" spans="1:262" s="425" customFormat="1" ht="20.100000000000001" customHeight="1" x14ac:dyDescent="0.2">
      <c r="A184" s="783">
        <v>174</v>
      </c>
      <c r="B184" s="2311" t="s">
        <v>13</v>
      </c>
      <c r="C184" s="2312"/>
      <c r="D184" s="2312"/>
      <c r="E184" s="2312"/>
      <c r="F184" s="2312"/>
      <c r="G184" s="2313"/>
      <c r="H184" s="1580"/>
      <c r="I184" s="1971"/>
      <c r="J184" s="1971"/>
      <c r="K184" s="1971"/>
      <c r="L184" s="1971"/>
      <c r="M184" s="1971"/>
      <c r="N184" s="1971"/>
      <c r="O184" s="1971"/>
      <c r="P184" s="1971"/>
      <c r="Q184" s="1582"/>
    </row>
    <row r="185" spans="1:262" s="425" customFormat="1" ht="20.100000000000001" customHeight="1" x14ac:dyDescent="0.3">
      <c r="A185" s="783">
        <v>175</v>
      </c>
      <c r="B185" s="1864"/>
      <c r="C185" s="1865"/>
      <c r="D185" s="1973" t="s">
        <v>311</v>
      </c>
      <c r="E185" s="1865"/>
      <c r="F185" s="1865"/>
      <c r="G185" s="1866"/>
      <c r="H185" s="1867"/>
      <c r="I185" s="1969">
        <f t="shared" ref="I185:P185" si="27">I180+I78</f>
        <v>1000</v>
      </c>
      <c r="J185" s="1969">
        <f t="shared" si="27"/>
        <v>500</v>
      </c>
      <c r="K185" s="1969">
        <f t="shared" si="27"/>
        <v>516546</v>
      </c>
      <c r="L185" s="1969">
        <f t="shared" si="27"/>
        <v>165075</v>
      </c>
      <c r="M185" s="1969">
        <f t="shared" si="27"/>
        <v>2703044</v>
      </c>
      <c r="N185" s="1969">
        <f t="shared" si="27"/>
        <v>68500</v>
      </c>
      <c r="O185" s="1969">
        <f t="shared" si="27"/>
        <v>0</v>
      </c>
      <c r="P185" s="1972">
        <f t="shared" si="27"/>
        <v>3454665</v>
      </c>
      <c r="Q185" s="1868"/>
    </row>
    <row r="186" spans="1:262" s="425" customFormat="1" ht="20.100000000000001" customHeight="1" x14ac:dyDescent="0.35">
      <c r="A186" s="783">
        <v>176</v>
      </c>
      <c r="B186" s="1864"/>
      <c r="C186" s="1865"/>
      <c r="D186" s="583" t="s">
        <v>1072</v>
      </c>
      <c r="E186" s="1865"/>
      <c r="F186" s="1865"/>
      <c r="G186" s="1866"/>
      <c r="H186" s="1867"/>
      <c r="I186" s="1871">
        <f t="shared" ref="I186:O187" si="28">I181+I79</f>
        <v>1000</v>
      </c>
      <c r="J186" s="1871">
        <f t="shared" si="28"/>
        <v>500</v>
      </c>
      <c r="K186" s="1871">
        <f t="shared" si="28"/>
        <v>265530</v>
      </c>
      <c r="L186" s="1871">
        <f t="shared" si="28"/>
        <v>0</v>
      </c>
      <c r="M186" s="1871">
        <f t="shared" si="28"/>
        <v>162616</v>
      </c>
      <c r="N186" s="1871">
        <f t="shared" si="28"/>
        <v>209956</v>
      </c>
      <c r="O186" s="1871">
        <f t="shared" si="28"/>
        <v>0</v>
      </c>
      <c r="P186" s="777">
        <f>SUM(I186:O186)</f>
        <v>639602</v>
      </c>
      <c r="Q186" s="1868"/>
    </row>
    <row r="187" spans="1:262" s="425" customFormat="1" ht="20.100000000000001" customHeight="1" x14ac:dyDescent="0.3">
      <c r="A187" s="783">
        <v>177</v>
      </c>
      <c r="B187" s="1534"/>
      <c r="C187" s="1535"/>
      <c r="D187" s="1480" t="s">
        <v>963</v>
      </c>
      <c r="E187" s="1535"/>
      <c r="F187" s="1535"/>
      <c r="G187" s="1579"/>
      <c r="H187" s="1581"/>
      <c r="I187" s="1590">
        <f t="shared" si="28"/>
        <v>-1000</v>
      </c>
      <c r="J187" s="1590">
        <f t="shared" si="28"/>
        <v>-500</v>
      </c>
      <c r="K187" s="1590">
        <f t="shared" si="28"/>
        <v>1222</v>
      </c>
      <c r="L187" s="1590">
        <f t="shared" si="28"/>
        <v>350</v>
      </c>
      <c r="M187" s="1590">
        <f t="shared" si="28"/>
        <v>-1222</v>
      </c>
      <c r="N187" s="1590">
        <f t="shared" si="28"/>
        <v>0</v>
      </c>
      <c r="O187" s="1590">
        <f t="shared" si="28"/>
        <v>1150</v>
      </c>
      <c r="P187" s="1540">
        <f>I187+J187+K187+L187+M187+N187+O187</f>
        <v>0</v>
      </c>
      <c r="Q187" s="1583"/>
    </row>
    <row r="188" spans="1:262" s="425" customFormat="1" ht="20.100000000000001" customHeight="1" thickBot="1" x14ac:dyDescent="0.35">
      <c r="A188" s="783">
        <v>178</v>
      </c>
      <c r="B188" s="1536"/>
      <c r="C188" s="1537"/>
      <c r="D188" s="1509" t="s">
        <v>1151</v>
      </c>
      <c r="E188" s="1537"/>
      <c r="F188" s="1537"/>
      <c r="G188" s="1584"/>
      <c r="H188" s="1585"/>
      <c r="I188" s="1533">
        <f>SUM(I186:I187)</f>
        <v>0</v>
      </c>
      <c r="J188" s="1533">
        <f t="shared" ref="J188:O188" si="29">SUM(J186:J187)</f>
        <v>0</v>
      </c>
      <c r="K188" s="1533">
        <f t="shared" si="29"/>
        <v>266752</v>
      </c>
      <c r="L188" s="1533">
        <f t="shared" si="29"/>
        <v>350</v>
      </c>
      <c r="M188" s="1533">
        <f t="shared" si="29"/>
        <v>161394</v>
      </c>
      <c r="N188" s="1533">
        <f t="shared" si="29"/>
        <v>209956</v>
      </c>
      <c r="O188" s="1533">
        <f t="shared" si="29"/>
        <v>1150</v>
      </c>
      <c r="P188" s="1533">
        <f>SUM(P186:P187)</f>
        <v>639602</v>
      </c>
      <c r="Q188" s="1586"/>
    </row>
    <row r="189" spans="1:262" ht="18" customHeight="1" x14ac:dyDescent="0.35">
      <c r="B189" s="774" t="s">
        <v>27</v>
      </c>
      <c r="C189" s="775"/>
      <c r="D189" s="774"/>
      <c r="E189" s="434"/>
      <c r="F189" s="435"/>
      <c r="G189" s="434"/>
      <c r="H189" s="761"/>
      <c r="I189" s="434"/>
      <c r="J189" s="434"/>
      <c r="K189" s="434"/>
      <c r="L189" s="434"/>
      <c r="M189" s="434"/>
      <c r="N189" s="434"/>
      <c r="O189" s="434"/>
      <c r="P189" s="785"/>
    </row>
    <row r="190" spans="1:262" ht="18" customHeight="1" x14ac:dyDescent="0.35">
      <c r="B190" s="774" t="s">
        <v>28</v>
      </c>
      <c r="C190" s="775"/>
      <c r="D190" s="774"/>
      <c r="E190" s="643"/>
      <c r="F190" s="435"/>
      <c r="G190" s="434"/>
      <c r="H190" s="761"/>
      <c r="I190" s="434"/>
      <c r="J190" s="434"/>
      <c r="K190" s="434"/>
      <c r="L190" s="434"/>
      <c r="M190" s="434"/>
      <c r="N190" s="434"/>
      <c r="O190" s="434"/>
      <c r="P190" s="785"/>
    </row>
    <row r="191" spans="1:262" ht="18" customHeight="1" x14ac:dyDescent="0.35">
      <c r="B191" s="774" t="s">
        <v>29</v>
      </c>
      <c r="C191" s="775"/>
      <c r="D191" s="774"/>
      <c r="E191" s="643"/>
      <c r="F191" s="435"/>
      <c r="G191" s="434"/>
      <c r="H191" s="761"/>
      <c r="I191" s="434"/>
      <c r="J191" s="434"/>
      <c r="K191" s="434"/>
      <c r="L191" s="434"/>
      <c r="M191" s="434"/>
      <c r="N191" s="434"/>
      <c r="O191" s="434"/>
      <c r="P191" s="785"/>
    </row>
    <row r="192" spans="1:262" x14ac:dyDescent="0.35">
      <c r="B192" s="431" t="s">
        <v>961</v>
      </c>
      <c r="C192" s="431"/>
    </row>
  </sheetData>
  <mergeCells count="18">
    <mergeCell ref="B1:Q1"/>
    <mergeCell ref="B2:Q2"/>
    <mergeCell ref="A4:Q4"/>
    <mergeCell ref="A5:Q5"/>
    <mergeCell ref="B8:B10"/>
    <mergeCell ref="C8:C10"/>
    <mergeCell ref="D8:D10"/>
    <mergeCell ref="E8:E10"/>
    <mergeCell ref="F8:F10"/>
    <mergeCell ref="G8:G10"/>
    <mergeCell ref="H8:H10"/>
    <mergeCell ref="I8:P8"/>
    <mergeCell ref="Q8:Q10"/>
    <mergeCell ref="R8:S8"/>
    <mergeCell ref="I9:L9"/>
    <mergeCell ref="M9:O9"/>
    <mergeCell ref="P9:P10"/>
    <mergeCell ref="B184:G184"/>
  </mergeCells>
  <printOptions horizontalCentered="1"/>
  <pageMargins left="0.19685039370078741" right="0.19685039370078741" top="0.59055118110236227" bottom="0.59055118110236227" header="0.31496062992125984" footer="0.31496062992125984"/>
  <pageSetup paperSize="9" scale="58" fitToHeight="0" orientation="landscape" r:id="rId1"/>
  <headerFooter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1"/>
  <sheetViews>
    <sheetView view="pageBreakPreview" topLeftCell="C1" zoomScaleNormal="75" zoomScaleSheetLayoutView="100" workbookViewId="0">
      <selection activeCell="C1" sqref="C1:J1"/>
    </sheetView>
  </sheetViews>
  <sheetFormatPr defaultColWidth="9.140625" defaultRowHeight="16.5" x14ac:dyDescent="0.3"/>
  <cols>
    <col min="1" max="1" width="5.7109375" style="146" customWidth="1"/>
    <col min="2" max="2" width="4.7109375" style="436" customWidth="1"/>
    <col min="3" max="3" width="63.7109375" style="148" customWidth="1"/>
    <col min="4" max="5" width="15.7109375" style="2" customWidth="1"/>
    <col min="6" max="6" width="5.7109375" style="436" customWidth="1"/>
    <col min="7" max="7" width="63.7109375" style="148" customWidth="1"/>
    <col min="8" max="9" width="15.7109375" style="2" customWidth="1"/>
    <col min="10" max="16384" width="9.140625" style="148"/>
  </cols>
  <sheetData>
    <row r="1" spans="1:10" ht="17.25" x14ac:dyDescent="0.35">
      <c r="B1" s="250"/>
      <c r="C1" s="2342" t="s">
        <v>1315</v>
      </c>
      <c r="D1" s="2342"/>
      <c r="E1" s="2342"/>
      <c r="F1" s="2342"/>
      <c r="G1" s="2342"/>
      <c r="H1" s="2342"/>
      <c r="I1" s="2342"/>
      <c r="J1" s="2342"/>
    </row>
    <row r="2" spans="1:10" s="1" customFormat="1" ht="18" customHeight="1" x14ac:dyDescent="0.3">
      <c r="A2" s="250"/>
      <c r="B2" s="250"/>
      <c r="C2" s="2343" t="s">
        <v>1298</v>
      </c>
      <c r="D2" s="2343"/>
      <c r="E2" s="2343"/>
      <c r="F2" s="2343"/>
      <c r="G2" s="2343"/>
      <c r="H2" s="2343"/>
      <c r="I2" s="2343"/>
      <c r="J2" s="2343"/>
    </row>
    <row r="3" spans="1:10" s="1" customFormat="1" ht="9.75" customHeight="1" x14ac:dyDescent="0.3">
      <c r="A3" s="250"/>
      <c r="B3" s="250"/>
      <c r="C3" s="2065"/>
      <c r="D3" s="2065"/>
      <c r="E3" s="2065"/>
      <c r="F3" s="2065"/>
      <c r="G3" s="2065"/>
      <c r="H3" s="2065"/>
      <c r="I3" s="2065"/>
      <c r="J3" s="2065"/>
    </row>
    <row r="4" spans="1:10" s="1" customFormat="1" ht="24.75" customHeight="1" x14ac:dyDescent="0.2">
      <c r="A4" s="250"/>
      <c r="B4" s="2075" t="s">
        <v>218</v>
      </c>
      <c r="C4" s="2075"/>
      <c r="D4" s="2075"/>
      <c r="E4" s="2075"/>
      <c r="F4" s="2075"/>
      <c r="G4" s="2075"/>
      <c r="H4" s="2075"/>
      <c r="I4" s="2075"/>
    </row>
    <row r="5" spans="1:10" s="1" customFormat="1" ht="24.75" customHeight="1" x14ac:dyDescent="0.2">
      <c r="A5" s="250"/>
      <c r="B5" s="2075" t="s">
        <v>1287</v>
      </c>
      <c r="C5" s="2075"/>
      <c r="D5" s="2075"/>
      <c r="E5" s="2075"/>
      <c r="F5" s="2075"/>
      <c r="G5" s="2075"/>
      <c r="H5" s="2075"/>
      <c r="I5" s="2075"/>
    </row>
    <row r="6" spans="1:10" s="1014" customFormat="1" ht="18" customHeight="1" x14ac:dyDescent="0.2">
      <c r="A6" s="1012"/>
      <c r="B6" s="1013"/>
      <c r="C6" s="1013"/>
      <c r="D6" s="1013"/>
      <c r="E6" s="1013"/>
      <c r="F6" s="1013"/>
      <c r="G6" s="1013"/>
      <c r="H6" s="155"/>
      <c r="I6" s="155" t="s">
        <v>0</v>
      </c>
    </row>
    <row r="7" spans="1:10" s="1011" customFormat="1" ht="18" customHeight="1" thickBot="1" x14ac:dyDescent="0.25">
      <c r="B7" s="1011" t="s">
        <v>1</v>
      </c>
      <c r="C7" s="1011" t="s">
        <v>419</v>
      </c>
      <c r="D7" s="1011" t="s">
        <v>2</v>
      </c>
      <c r="E7" s="1011" t="s">
        <v>4</v>
      </c>
      <c r="F7" s="1011" t="s">
        <v>5</v>
      </c>
      <c r="G7" s="1011" t="s">
        <v>15</v>
      </c>
      <c r="H7" s="130" t="s">
        <v>16</v>
      </c>
      <c r="I7" s="130" t="s">
        <v>17</v>
      </c>
    </row>
    <row r="8" spans="1:10" ht="51.75" x14ac:dyDescent="0.35">
      <c r="A8" s="146">
        <v>1</v>
      </c>
      <c r="B8" s="473"/>
      <c r="C8" s="474" t="s">
        <v>219</v>
      </c>
      <c r="D8" s="475" t="s">
        <v>962</v>
      </c>
      <c r="E8" s="475" t="s">
        <v>1150</v>
      </c>
      <c r="F8" s="476"/>
      <c r="G8" s="477" t="s">
        <v>220</v>
      </c>
      <c r="H8" s="475" t="s">
        <v>962</v>
      </c>
      <c r="I8" s="478" t="s">
        <v>1150</v>
      </c>
    </row>
    <row r="9" spans="1:10" ht="15" customHeight="1" x14ac:dyDescent="0.3">
      <c r="A9" s="146">
        <v>2</v>
      </c>
      <c r="B9" s="125" t="s">
        <v>130</v>
      </c>
      <c r="C9" s="148" t="s">
        <v>221</v>
      </c>
      <c r="D9" s="479">
        <f>'1.Onbe'!J10+'1.Onbe'!J16</f>
        <v>4640257</v>
      </c>
      <c r="E9" s="479">
        <f>'1.Onbe'!M10+'1.Onbe'!M16</f>
        <v>4575524</v>
      </c>
      <c r="F9" s="480" t="s">
        <v>130</v>
      </c>
      <c r="G9" s="148" t="s">
        <v>40</v>
      </c>
      <c r="H9" s="1605">
        <f>'4.Inki'!K332+'6.Önk.műk.'!J980+'8.Projekt'!I207+'10.MVP és hazai'!I76+'9.EKF'!I185</f>
        <v>4606337</v>
      </c>
      <c r="I9" s="1297">
        <f>'4.Inki'!K335+'6.Önk.műk.'!J983+'8.Projekt'!I210+'10.MVP és hazai'!I79+'9.EKF'!I188</f>
        <v>5046200</v>
      </c>
    </row>
    <row r="10" spans="1:10" ht="15" customHeight="1" x14ac:dyDescent="0.3">
      <c r="A10" s="146">
        <v>3</v>
      </c>
      <c r="B10" s="125" t="s">
        <v>137</v>
      </c>
      <c r="C10" s="148" t="s">
        <v>179</v>
      </c>
      <c r="D10" s="479">
        <f>'1.Onbe'!J17</f>
        <v>7945120</v>
      </c>
      <c r="E10" s="479">
        <f>'1.Onbe'!M17</f>
        <v>7380120</v>
      </c>
      <c r="F10" s="480" t="s">
        <v>137</v>
      </c>
      <c r="G10" s="148" t="s">
        <v>222</v>
      </c>
      <c r="H10" s="1605">
        <f>'4.Inki'!L332+'6.Önk.műk.'!K980+'8.Projekt'!J207+'10.MVP és hazai'!J76+'9.EKF'!J185</f>
        <v>881200</v>
      </c>
      <c r="I10" s="1297">
        <f>'4.Inki'!L335+'6.Önk.műk.'!K983+'8.Projekt'!J210+'10.MVP és hazai'!J79+'9.EKF'!J188</f>
        <v>977466</v>
      </c>
    </row>
    <row r="11" spans="1:10" x14ac:dyDescent="0.3">
      <c r="A11" s="146">
        <v>4</v>
      </c>
      <c r="B11" s="125" t="s">
        <v>138</v>
      </c>
      <c r="C11" s="481" t="s">
        <v>146</v>
      </c>
      <c r="D11" s="479">
        <f>'1.Onbe'!J27+'1.Onbe'!J32</f>
        <v>2529882</v>
      </c>
      <c r="E11" s="479">
        <f>'1.Onbe'!M27+'1.Onbe'!M32</f>
        <v>2022909</v>
      </c>
      <c r="F11" s="480" t="s">
        <v>138</v>
      </c>
      <c r="G11" s="148" t="s">
        <v>42</v>
      </c>
      <c r="H11" s="1605">
        <f>'4.Inki'!M332+'6.Önk.műk.'!L980+'7.Beruh.'!I329+'8.Felúj.'!I135+'8.Projekt'!K207+'10.MVP és hazai'!K76+'9.EKF'!K185</f>
        <v>5506893</v>
      </c>
      <c r="I11" s="1297">
        <f>'4.Inki'!M335+'6.Önk.műk.'!L983+'7.Beruh.'!I332+'8.Felúj.'!I138+'8.Projekt'!K210+'10.MVP és hazai'!K79+'9.EKF'!K188</f>
        <v>5358929</v>
      </c>
    </row>
    <row r="12" spans="1:10" x14ac:dyDescent="0.3">
      <c r="A12" s="146">
        <v>5</v>
      </c>
      <c r="B12" s="125" t="s">
        <v>139</v>
      </c>
      <c r="C12" s="148" t="s">
        <v>184</v>
      </c>
      <c r="D12" s="479">
        <f>'1.Onbe'!J33</f>
        <v>0</v>
      </c>
      <c r="E12" s="479">
        <f>'1.Onbe'!M33+'1.Onbe'!M35</f>
        <v>11626</v>
      </c>
      <c r="F12" s="482" t="s">
        <v>139</v>
      </c>
      <c r="G12" s="148" t="s">
        <v>223</v>
      </c>
      <c r="H12" s="1605">
        <f>'4.Inki'!N332+'6.Önk.műk.'!M980</f>
        <v>23248</v>
      </c>
      <c r="I12" s="1297">
        <f>'4.Inki'!N335+'6.Önk.műk.'!M983</f>
        <v>32198</v>
      </c>
    </row>
    <row r="13" spans="1:10" x14ac:dyDescent="0.3">
      <c r="A13" s="146">
        <v>6</v>
      </c>
      <c r="B13" s="125"/>
      <c r="C13" s="481"/>
      <c r="D13" s="479"/>
      <c r="E13" s="479"/>
      <c r="F13" s="482" t="s">
        <v>140</v>
      </c>
      <c r="G13" s="150" t="s">
        <v>224</v>
      </c>
      <c r="H13" s="1605">
        <f>'4.Inki'!O332+'6.Önk.műk.'!N980+'8.Projekt'!L207+'10.MVP és hazai'!L76+'9.EKF'!L185</f>
        <v>3609806</v>
      </c>
      <c r="I13" s="1297">
        <f>'4.Inki'!O335+'6.Önk.műk.'!N983+'8.Projekt'!L210+'10.MVP és hazai'!L79+'9.EKF'!L188</f>
        <v>3692121</v>
      </c>
    </row>
    <row r="14" spans="1:10" x14ac:dyDescent="0.3">
      <c r="A14" s="146">
        <v>7</v>
      </c>
      <c r="B14" s="125"/>
      <c r="C14" s="481"/>
      <c r="D14" s="479"/>
      <c r="E14" s="479"/>
      <c r="F14" s="482" t="s">
        <v>225</v>
      </c>
      <c r="G14" s="150" t="s">
        <v>598</v>
      </c>
      <c r="H14" s="1605">
        <f>'2.Onki'!J17+'2.Onki'!J27</f>
        <v>313087</v>
      </c>
      <c r="I14" s="1297">
        <f>'2.Onki'!M17+'2.Onki'!M27</f>
        <v>20991</v>
      </c>
    </row>
    <row r="15" spans="1:10" s="1" customFormat="1" ht="24.95" customHeight="1" x14ac:dyDescent="0.3">
      <c r="A15" s="146">
        <v>8</v>
      </c>
      <c r="B15" s="483"/>
      <c r="C15" s="484" t="s">
        <v>226</v>
      </c>
      <c r="D15" s="485">
        <f>SUM(D9:D14)</f>
        <v>15115259</v>
      </c>
      <c r="E15" s="485">
        <f>SUM(E9:E14)</f>
        <v>13990179</v>
      </c>
      <c r="F15" s="486"/>
      <c r="G15" s="484" t="s">
        <v>227</v>
      </c>
      <c r="H15" s="1606">
        <f>SUM(H9:H14)</f>
        <v>14940571</v>
      </c>
      <c r="I15" s="1298">
        <f>SUM(I9:I14)</f>
        <v>15127905</v>
      </c>
    </row>
    <row r="16" spans="1:10" ht="24.75" customHeight="1" x14ac:dyDescent="0.35">
      <c r="A16" s="146">
        <v>9</v>
      </c>
      <c r="B16" s="487"/>
      <c r="C16" s="188" t="s">
        <v>228</v>
      </c>
      <c r="D16" s="521"/>
      <c r="E16" s="521"/>
      <c r="F16" s="488"/>
      <c r="G16" s="188" t="s">
        <v>229</v>
      </c>
      <c r="H16" s="1607"/>
      <c r="I16" s="1608"/>
    </row>
    <row r="17" spans="1:38" x14ac:dyDescent="0.3">
      <c r="A17" s="146">
        <v>10</v>
      </c>
      <c r="B17" s="122" t="s">
        <v>130</v>
      </c>
      <c r="C17" s="489" t="s">
        <v>230</v>
      </c>
      <c r="D17" s="490">
        <f>'1.Onbe'!J37+'1.Onbe'!J40</f>
        <v>8166069</v>
      </c>
      <c r="E17" s="490">
        <f>'1.Onbe'!M37+'1.Onbe'!M40</f>
        <v>10311786</v>
      </c>
      <c r="F17" s="491" t="s">
        <v>130</v>
      </c>
      <c r="G17" s="489" t="s">
        <v>231</v>
      </c>
      <c r="H17" s="1605">
        <f>'2.Onki'!J29+'2.Onki'!J12</f>
        <v>21289183</v>
      </c>
      <c r="I17" s="1297">
        <f>'2.Onki'!M12+'2.Onki'!M29</f>
        <v>20790364</v>
      </c>
      <c r="J17" s="2"/>
    </row>
    <row r="18" spans="1:38" x14ac:dyDescent="0.3">
      <c r="A18" s="146">
        <v>11</v>
      </c>
      <c r="B18" s="122" t="s">
        <v>137</v>
      </c>
      <c r="C18" s="489" t="s">
        <v>190</v>
      </c>
      <c r="D18" s="490">
        <f>'1.Onbe'!J41+'1.Onbe'!J43</f>
        <v>197543</v>
      </c>
      <c r="E18" s="490">
        <f>'1.Onbe'!M41+'1.Onbe'!M43</f>
        <v>195350</v>
      </c>
      <c r="F18" s="491" t="s">
        <v>137</v>
      </c>
      <c r="G18" s="489" t="s">
        <v>164</v>
      </c>
      <c r="H18" s="1605">
        <f>'2.Onki'!J30</f>
        <v>549493</v>
      </c>
      <c r="I18" s="1297">
        <f>'2.Onki'!M30</f>
        <v>2967533</v>
      </c>
      <c r="J18" s="2"/>
    </row>
    <row r="19" spans="1:38" x14ac:dyDescent="0.3">
      <c r="A19" s="146">
        <v>12</v>
      </c>
      <c r="B19" s="122" t="s">
        <v>138</v>
      </c>
      <c r="C19" s="148" t="s">
        <v>193</v>
      </c>
      <c r="D19" s="490">
        <f>'1.Onbe'!K44+'1.Onbe'!K45+'1.Onbe'!K46</f>
        <v>0</v>
      </c>
      <c r="E19" s="490">
        <f>'1.Onbe'!M44+'1.Onbe'!M45+'1.Onbe'!M46</f>
        <v>0</v>
      </c>
      <c r="F19" s="491" t="s">
        <v>138</v>
      </c>
      <c r="G19" s="489" t="s">
        <v>232</v>
      </c>
      <c r="H19" s="1605">
        <f>'2.Onki'!J31+'2.Onki'!J13</f>
        <v>388439</v>
      </c>
      <c r="I19" s="1297">
        <f>'2.Onki'!M31+'2.Onki'!M13</f>
        <v>373192</v>
      </c>
      <c r="J19" s="2"/>
    </row>
    <row r="20" spans="1:38" x14ac:dyDescent="0.3">
      <c r="A20" s="146">
        <v>13</v>
      </c>
      <c r="B20" s="122"/>
      <c r="D20" s="490"/>
      <c r="E20" s="490"/>
      <c r="F20" s="491" t="s">
        <v>139</v>
      </c>
      <c r="G20" s="489" t="s">
        <v>599</v>
      </c>
      <c r="H20" s="1605">
        <f>'2.Onki'!J23</f>
        <v>384588</v>
      </c>
      <c r="I20" s="1297">
        <f>'2.Onki'!M23</f>
        <v>493588</v>
      </c>
    </row>
    <row r="21" spans="1:38" s="1" customFormat="1" ht="24.95" customHeight="1" thickBot="1" x14ac:dyDescent="0.35">
      <c r="A21" s="146">
        <v>14</v>
      </c>
      <c r="B21" s="492"/>
      <c r="C21" s="493" t="s">
        <v>233</v>
      </c>
      <c r="D21" s="522">
        <f>SUM(D17:D20)</f>
        <v>8363612</v>
      </c>
      <c r="E21" s="522">
        <f>SUM(E17:E20)</f>
        <v>10507136</v>
      </c>
      <c r="F21" s="494"/>
      <c r="G21" s="493" t="s">
        <v>234</v>
      </c>
      <c r="H21" s="1609">
        <f>SUM(H17:H20)</f>
        <v>22611703</v>
      </c>
      <c r="I21" s="1610">
        <f>SUM(I17:I20)</f>
        <v>24624677</v>
      </c>
    </row>
    <row r="22" spans="1:38" s="1" customFormat="1" ht="24.75" customHeight="1" thickTop="1" thickBot="1" x14ac:dyDescent="0.35">
      <c r="A22" s="146">
        <v>15</v>
      </c>
      <c r="B22" s="495"/>
      <c r="C22" s="496" t="s">
        <v>196</v>
      </c>
      <c r="D22" s="523">
        <f>SUM(D15,D21)</f>
        <v>23478871</v>
      </c>
      <c r="E22" s="523">
        <f>SUM(E15,E21)</f>
        <v>24497315</v>
      </c>
      <c r="F22" s="497"/>
      <c r="G22" s="496" t="s">
        <v>211</v>
      </c>
      <c r="H22" s="1611">
        <f>SUM(H15,H21)</f>
        <v>37552274</v>
      </c>
      <c r="I22" s="1612">
        <f>SUM(I15,I21)</f>
        <v>39752582</v>
      </c>
    </row>
    <row r="23" spans="1:38" s="1" customFormat="1" ht="24.95" customHeight="1" thickTop="1" x14ac:dyDescent="0.35">
      <c r="A23" s="146">
        <v>16</v>
      </c>
      <c r="B23" s="498"/>
      <c r="C23" s="188" t="s">
        <v>235</v>
      </c>
      <c r="D23" s="524"/>
      <c r="E23" s="524"/>
      <c r="F23" s="499"/>
      <c r="G23" s="188" t="s">
        <v>236</v>
      </c>
      <c r="H23" s="1613"/>
      <c r="I23" s="1614"/>
    </row>
    <row r="24" spans="1:38" s="1" customFormat="1" x14ac:dyDescent="0.3">
      <c r="A24" s="146">
        <v>17</v>
      </c>
      <c r="B24" s="27" t="s">
        <v>130</v>
      </c>
      <c r="C24" s="1" t="s">
        <v>237</v>
      </c>
      <c r="D24" s="524"/>
      <c r="E24" s="524"/>
      <c r="F24" s="499" t="s">
        <v>130</v>
      </c>
      <c r="G24" s="1" t="s">
        <v>238</v>
      </c>
      <c r="H24" s="1613"/>
      <c r="I24" s="1614"/>
    </row>
    <row r="25" spans="1:38" s="1" customFormat="1" x14ac:dyDescent="0.3">
      <c r="A25" s="146">
        <v>18</v>
      </c>
      <c r="B25" s="27" t="s">
        <v>137</v>
      </c>
      <c r="C25" s="1" t="s">
        <v>310</v>
      </c>
      <c r="D25" s="524">
        <f>'1.Onbe'!J53</f>
        <v>1081085</v>
      </c>
      <c r="E25" s="524">
        <f>'1.Onbe'!M53</f>
        <v>2384006</v>
      </c>
      <c r="F25" s="499" t="s">
        <v>137</v>
      </c>
      <c r="G25" s="1" t="s">
        <v>266</v>
      </c>
      <c r="H25" s="1613">
        <f>'2.Onki'!J38</f>
        <v>111267</v>
      </c>
      <c r="I25" s="1614">
        <f>'2.Onki'!M38</f>
        <v>111267</v>
      </c>
    </row>
    <row r="26" spans="1:38" s="1" customFormat="1" x14ac:dyDescent="0.3">
      <c r="A26" s="146">
        <v>19</v>
      </c>
      <c r="B26" s="27" t="s">
        <v>138</v>
      </c>
      <c r="C26" s="1" t="s">
        <v>265</v>
      </c>
      <c r="D26" s="524">
        <f>'1.Onbe'!J51</f>
        <v>0</v>
      </c>
      <c r="E26" s="524">
        <f>'1.Onbe'!M51</f>
        <v>0</v>
      </c>
      <c r="F26" s="499"/>
      <c r="H26" s="1613"/>
      <c r="I26" s="1614"/>
    </row>
    <row r="27" spans="1:38" s="1" customFormat="1" ht="24" customHeight="1" x14ac:dyDescent="0.35">
      <c r="A27" s="146">
        <v>20</v>
      </c>
      <c r="B27" s="498"/>
      <c r="C27" s="188" t="s">
        <v>239</v>
      </c>
      <c r="D27" s="524"/>
      <c r="E27" s="524"/>
      <c r="F27" s="499"/>
      <c r="G27" s="188" t="s">
        <v>240</v>
      </c>
      <c r="H27" s="1613"/>
      <c r="I27" s="1614"/>
    </row>
    <row r="28" spans="1:38" s="1" customFormat="1" x14ac:dyDescent="0.3">
      <c r="A28" s="146">
        <v>21</v>
      </c>
      <c r="B28" s="27" t="s">
        <v>139</v>
      </c>
      <c r="C28" s="1" t="s">
        <v>241</v>
      </c>
      <c r="D28" s="524">
        <f>'1.Onbe'!J61</f>
        <v>1409800</v>
      </c>
      <c r="E28" s="524">
        <f>'1.Onbe'!M63+'1.Onbe'!M64</f>
        <v>1260000</v>
      </c>
      <c r="F28" s="499" t="s">
        <v>138</v>
      </c>
      <c r="G28" s="1" t="s">
        <v>242</v>
      </c>
      <c r="H28" s="1613">
        <f>'2.Onki'!J40</f>
        <v>108504</v>
      </c>
      <c r="I28" s="1614">
        <f>'2.Onki'!M40</f>
        <v>108504</v>
      </c>
    </row>
    <row r="29" spans="1:38" s="1" customFormat="1" x14ac:dyDescent="0.3">
      <c r="A29" s="146">
        <v>22</v>
      </c>
      <c r="B29" s="27" t="s">
        <v>140</v>
      </c>
      <c r="C29" s="1" t="s">
        <v>237</v>
      </c>
      <c r="D29" s="524"/>
      <c r="E29" s="524"/>
      <c r="F29" s="499" t="s">
        <v>139</v>
      </c>
      <c r="G29" s="1" t="s">
        <v>238</v>
      </c>
      <c r="H29" s="1613"/>
      <c r="I29" s="1614"/>
    </row>
    <row r="30" spans="1:38" s="1" customFormat="1" x14ac:dyDescent="0.3">
      <c r="A30" s="146">
        <v>23</v>
      </c>
      <c r="B30" s="27" t="s">
        <v>225</v>
      </c>
      <c r="C30" s="1" t="s">
        <v>310</v>
      </c>
      <c r="D30" s="524">
        <f>'1.Onbe'!J57</f>
        <v>11802289</v>
      </c>
      <c r="E30" s="524">
        <f>'1.Onbe'!M57</f>
        <v>11831032</v>
      </c>
      <c r="F30" s="499"/>
      <c r="H30" s="1613"/>
      <c r="I30" s="1614"/>
    </row>
    <row r="31" spans="1:38" s="501" customFormat="1" ht="24.75" customHeight="1" thickBot="1" x14ac:dyDescent="0.35">
      <c r="A31" s="146">
        <v>24</v>
      </c>
      <c r="B31" s="386"/>
      <c r="C31" s="272" t="s">
        <v>243</v>
      </c>
      <c r="D31" s="525">
        <f>SUM(D23:D30)</f>
        <v>14293174</v>
      </c>
      <c r="E31" s="525">
        <f>SUM(E23:E30)</f>
        <v>15475038</v>
      </c>
      <c r="F31" s="500"/>
      <c r="G31" s="272" t="s">
        <v>244</v>
      </c>
      <c r="H31" s="1615">
        <f>SUM(H23:H30)</f>
        <v>219771</v>
      </c>
      <c r="I31" s="1616">
        <f>SUM(I23:I30)</f>
        <v>219771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s="1" customFormat="1" ht="30" customHeight="1" thickTop="1" thickBot="1" x14ac:dyDescent="0.35">
      <c r="A32" s="146">
        <v>25</v>
      </c>
      <c r="B32" s="502"/>
      <c r="C32" s="272" t="s">
        <v>245</v>
      </c>
      <c r="D32" s="522">
        <f>SUM(D22,D31)</f>
        <v>37772045</v>
      </c>
      <c r="E32" s="522">
        <f>SUM(E22,E31)</f>
        <v>39972353</v>
      </c>
      <c r="F32" s="503"/>
      <c r="G32" s="272" t="s">
        <v>246</v>
      </c>
      <c r="H32" s="1609">
        <f>SUM(H22,H31)</f>
        <v>37772045</v>
      </c>
      <c r="I32" s="1610">
        <f>SUM(I22,I31)</f>
        <v>39972353</v>
      </c>
    </row>
    <row r="33" spans="1:9" s="1" customFormat="1" ht="18" thickTop="1" x14ac:dyDescent="0.3">
      <c r="A33" s="146">
        <v>26</v>
      </c>
      <c r="B33" s="504"/>
      <c r="C33" s="505" t="s">
        <v>197</v>
      </c>
      <c r="D33" s="526">
        <f>+D22-H22</f>
        <v>-14073403</v>
      </c>
      <c r="E33" s="526">
        <f>+E22-I22</f>
        <v>-15255267</v>
      </c>
      <c r="F33" s="506"/>
      <c r="G33" s="507"/>
      <c r="H33" s="1613"/>
      <c r="I33" s="1614"/>
    </row>
    <row r="34" spans="1:9" s="1" customFormat="1" ht="17.25" x14ac:dyDescent="0.3">
      <c r="A34" s="146">
        <v>27</v>
      </c>
      <c r="B34" s="508"/>
      <c r="C34" s="509" t="s">
        <v>247</v>
      </c>
      <c r="D34" s="527">
        <f>+D15-H15</f>
        <v>174688</v>
      </c>
      <c r="E34" s="527">
        <f>+E15-I15</f>
        <v>-1137726</v>
      </c>
      <c r="F34" s="506"/>
      <c r="G34" s="507"/>
      <c r="H34" s="1613"/>
      <c r="I34" s="1614"/>
    </row>
    <row r="35" spans="1:9" s="1" customFormat="1" ht="17.25" x14ac:dyDescent="0.3">
      <c r="A35" s="146">
        <v>28</v>
      </c>
      <c r="B35" s="508"/>
      <c r="C35" s="509" t="s">
        <v>248</v>
      </c>
      <c r="D35" s="527">
        <f>+D21-H21</f>
        <v>-14248091</v>
      </c>
      <c r="E35" s="527">
        <f>+E21-I21</f>
        <v>-14117541</v>
      </c>
      <c r="F35" s="506"/>
      <c r="G35" s="507"/>
      <c r="H35" s="1613"/>
      <c r="I35" s="1614"/>
    </row>
    <row r="36" spans="1:9" s="1" customFormat="1" ht="17.25" x14ac:dyDescent="0.3">
      <c r="A36" s="146">
        <v>29</v>
      </c>
      <c r="B36" s="508"/>
      <c r="C36" s="510" t="s">
        <v>249</v>
      </c>
      <c r="D36" s="527">
        <f>+D33-H31</f>
        <v>-14293174</v>
      </c>
      <c r="E36" s="527">
        <f>+E33-I31</f>
        <v>-15475038</v>
      </c>
      <c r="F36" s="506"/>
      <c r="G36" s="507"/>
      <c r="H36" s="1613"/>
      <c r="I36" s="1614"/>
    </row>
    <row r="37" spans="1:9" s="1" customFormat="1" ht="32.25" customHeight="1" x14ac:dyDescent="0.3">
      <c r="A37" s="146">
        <v>30</v>
      </c>
      <c r="B37" s="508"/>
      <c r="C37" s="511" t="s">
        <v>464</v>
      </c>
      <c r="D37" s="527">
        <f>D30+D25</f>
        <v>12883374</v>
      </c>
      <c r="E37" s="527">
        <f>E30+E25</f>
        <v>14215038</v>
      </c>
      <c r="F37" s="506"/>
      <c r="G37" s="507"/>
      <c r="H37" s="1613"/>
      <c r="I37" s="1614"/>
    </row>
    <row r="38" spans="1:9" s="1" customFormat="1" ht="33.75" customHeight="1" x14ac:dyDescent="0.3">
      <c r="A38" s="146">
        <v>31</v>
      </c>
      <c r="B38" s="512"/>
      <c r="C38" s="513" t="s">
        <v>465</v>
      </c>
      <c r="D38" s="528">
        <f>D28</f>
        <v>1409800</v>
      </c>
      <c r="E38" s="528">
        <f>E28</f>
        <v>1260000</v>
      </c>
      <c r="F38" s="514"/>
      <c r="G38" s="515"/>
      <c r="H38" s="1617"/>
      <c r="I38" s="1618"/>
    </row>
    <row r="39" spans="1:9" ht="20.100000000000001" customHeight="1" x14ac:dyDescent="0.3">
      <c r="A39" s="146">
        <v>32</v>
      </c>
      <c r="B39" s="516"/>
      <c r="C39" s="148" t="s">
        <v>250</v>
      </c>
      <c r="D39" s="529">
        <f>(D15+D24+D25+D26)/D32</f>
        <v>0.42879182210018019</v>
      </c>
      <c r="E39" s="529">
        <f>(E15+E24+E25+E26)/E32</f>
        <v>0.40963775637626337</v>
      </c>
      <c r="F39" s="517"/>
      <c r="G39" s="148" t="s">
        <v>251</v>
      </c>
      <c r="H39" s="1619">
        <f>(H15+H24+H25)/H32</f>
        <v>0.39849147696398224</v>
      </c>
      <c r="I39" s="1620">
        <f>(I15+I24+I25)/I32</f>
        <v>0.38124280549608874</v>
      </c>
    </row>
    <row r="40" spans="1:9" ht="20.100000000000001" customHeight="1" thickBot="1" x14ac:dyDescent="0.35">
      <c r="A40" s="146">
        <v>33</v>
      </c>
      <c r="B40" s="518"/>
      <c r="C40" s="519" t="s">
        <v>252</v>
      </c>
      <c r="D40" s="530">
        <f>(D21+D28+D29+D30)/D32</f>
        <v>0.57120817789981981</v>
      </c>
      <c r="E40" s="530">
        <f>(E21+E28+E29+E30)/E32</f>
        <v>0.59036224362373668</v>
      </c>
      <c r="F40" s="520"/>
      <c r="G40" s="519" t="s">
        <v>253</v>
      </c>
      <c r="H40" s="1621">
        <f>(H21+H28+H29)/H32</f>
        <v>0.60150852303601776</v>
      </c>
      <c r="I40" s="1622">
        <f>(I21+I28+I29)/I32</f>
        <v>0.6187571945039112</v>
      </c>
    </row>
    <row r="41" spans="1:9" x14ac:dyDescent="0.3">
      <c r="G41" s="148" t="s">
        <v>254</v>
      </c>
    </row>
  </sheetData>
  <mergeCells count="4">
    <mergeCell ref="B4:I4"/>
    <mergeCell ref="B5:I5"/>
    <mergeCell ref="C1:J1"/>
    <mergeCell ref="C2:J2"/>
  </mergeCells>
  <printOptions horizontalCentered="1" verticalCentered="1"/>
  <pageMargins left="0.19685039370078741" right="0.19685039370078741" top="0.19685039370078741" bottom="0.31496062992125984" header="0.11811023622047245" footer="0.11811023622047245"/>
  <pageSetup paperSize="9" scale="70" orientation="landscape" r:id="rId1"/>
  <headerFooter alignWithMargins="0">
    <oddFooter>&amp;C- &amp;P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83"/>
  <sheetViews>
    <sheetView view="pageBreakPreview" zoomScaleNormal="100" zoomScaleSheetLayoutView="100" workbookViewId="0">
      <selection activeCell="F8" sqref="F8"/>
    </sheetView>
  </sheetViews>
  <sheetFormatPr defaultColWidth="31.28515625" defaultRowHeight="16.5" x14ac:dyDescent="0.3"/>
  <cols>
    <col min="1" max="1" width="3.7109375" style="132" customWidth="1"/>
    <col min="2" max="2" width="4.7109375" style="19" customWidth="1"/>
    <col min="3" max="3" width="50.7109375" style="39" customWidth="1"/>
    <col min="4" max="6" width="13.7109375" style="21" customWidth="1"/>
    <col min="7" max="7" width="30.7109375" style="22" customWidth="1"/>
    <col min="8" max="8" width="12.140625" style="23" customWidth="1"/>
    <col min="9" max="9" width="12.85546875" style="23" customWidth="1"/>
    <col min="10" max="16384" width="31.28515625" style="23"/>
  </cols>
  <sheetData>
    <row r="1" spans="1:7" x14ac:dyDescent="0.3">
      <c r="A1" s="284"/>
      <c r="B1" s="2344" t="s">
        <v>672</v>
      </c>
      <c r="C1" s="2344"/>
      <c r="D1" s="2344"/>
      <c r="E1" s="20"/>
      <c r="G1" s="1015"/>
    </row>
    <row r="2" spans="1:7" ht="24.95" customHeight="1" x14ac:dyDescent="0.3">
      <c r="A2" s="284"/>
      <c r="C2" s="2074" t="s">
        <v>122</v>
      </c>
      <c r="D2" s="2074"/>
      <c r="E2" s="2074"/>
      <c r="F2" s="2074"/>
      <c r="G2" s="2074"/>
    </row>
    <row r="3" spans="1:7" ht="24.95" customHeight="1" x14ac:dyDescent="0.3">
      <c r="A3" s="284"/>
      <c r="B3" s="2074" t="s">
        <v>1073</v>
      </c>
      <c r="C3" s="2074"/>
      <c r="D3" s="2074"/>
      <c r="E3" s="2074"/>
      <c r="F3" s="2074"/>
      <c r="G3" s="2074"/>
    </row>
    <row r="4" spans="1:7" s="134" customFormat="1" ht="18" customHeight="1" thickBot="1" x14ac:dyDescent="0.35">
      <c r="A4" s="132"/>
      <c r="B4" s="131" t="s">
        <v>1</v>
      </c>
      <c r="C4" s="133" t="s">
        <v>3</v>
      </c>
      <c r="D4" s="22" t="s">
        <v>2</v>
      </c>
      <c r="E4" s="22" t="s">
        <v>4</v>
      </c>
      <c r="F4" s="22" t="s">
        <v>5</v>
      </c>
      <c r="G4" s="22" t="s">
        <v>15</v>
      </c>
    </row>
    <row r="5" spans="1:7" ht="72" customHeight="1" thickBot="1" x14ac:dyDescent="0.35">
      <c r="B5" s="24" t="s">
        <v>18</v>
      </c>
      <c r="C5" s="25" t="s">
        <v>6</v>
      </c>
      <c r="D5" s="467" t="s">
        <v>673</v>
      </c>
      <c r="E5" s="467" t="s">
        <v>123</v>
      </c>
      <c r="F5" s="467" t="s">
        <v>673</v>
      </c>
      <c r="G5" s="26" t="s">
        <v>124</v>
      </c>
    </row>
    <row r="6" spans="1:7" s="124" customFormat="1" ht="21.75" customHeight="1" thickTop="1" x14ac:dyDescent="0.3">
      <c r="A6" s="131">
        <v>1</v>
      </c>
      <c r="B6" s="125">
        <v>1</v>
      </c>
      <c r="C6" s="569" t="s">
        <v>314</v>
      </c>
      <c r="D6" s="468">
        <v>38</v>
      </c>
      <c r="E6" s="468"/>
      <c r="F6" s="468">
        <f t="shared" ref="F6:F25" si="0">SUM(D6:E6)</f>
        <v>38</v>
      </c>
      <c r="G6" s="136"/>
    </row>
    <row r="7" spans="1:7" s="124" customFormat="1" ht="21.75" customHeight="1" x14ac:dyDescent="0.3">
      <c r="A7" s="131">
        <v>2</v>
      </c>
      <c r="B7" s="125">
        <v>2</v>
      </c>
      <c r="C7" s="569" t="s">
        <v>313</v>
      </c>
      <c r="D7" s="468">
        <v>70</v>
      </c>
      <c r="E7" s="468"/>
      <c r="F7" s="468">
        <f t="shared" si="0"/>
        <v>70</v>
      </c>
      <c r="G7" s="136"/>
    </row>
    <row r="8" spans="1:7" s="124" customFormat="1" ht="21.75" customHeight="1" x14ac:dyDescent="0.3">
      <c r="A8" s="131">
        <v>3</v>
      </c>
      <c r="B8" s="125">
        <v>3</v>
      </c>
      <c r="C8" s="569" t="s">
        <v>267</v>
      </c>
      <c r="D8" s="468">
        <v>83.5</v>
      </c>
      <c r="E8" s="468"/>
      <c r="F8" s="468">
        <f t="shared" si="0"/>
        <v>83.5</v>
      </c>
      <c r="G8" s="136"/>
    </row>
    <row r="9" spans="1:7" s="124" customFormat="1" ht="21.75" customHeight="1" x14ac:dyDescent="0.3">
      <c r="A9" s="131">
        <v>4</v>
      </c>
      <c r="B9" s="125">
        <v>4</v>
      </c>
      <c r="C9" s="569" t="s">
        <v>268</v>
      </c>
      <c r="D9" s="468">
        <v>60</v>
      </c>
      <c r="E9" s="468"/>
      <c r="F9" s="468">
        <f t="shared" si="0"/>
        <v>60</v>
      </c>
      <c r="G9" s="136"/>
    </row>
    <row r="10" spans="1:7" s="124" customFormat="1" ht="21.75" customHeight="1" x14ac:dyDescent="0.3">
      <c r="A10" s="131">
        <v>5</v>
      </c>
      <c r="B10" s="125">
        <v>5</v>
      </c>
      <c r="C10" s="569" t="s">
        <v>269</v>
      </c>
      <c r="D10" s="468">
        <v>61.5</v>
      </c>
      <c r="E10" s="468"/>
      <c r="F10" s="468">
        <f t="shared" si="0"/>
        <v>61.5</v>
      </c>
      <c r="G10" s="136"/>
    </row>
    <row r="11" spans="1:7" s="124" customFormat="1" ht="27" customHeight="1" x14ac:dyDescent="0.3">
      <c r="A11" s="131">
        <v>6</v>
      </c>
      <c r="B11" s="125">
        <v>6</v>
      </c>
      <c r="C11" s="569" t="s">
        <v>270</v>
      </c>
      <c r="D11" s="468">
        <v>36</v>
      </c>
      <c r="E11" s="468"/>
      <c r="F11" s="468">
        <f t="shared" si="0"/>
        <v>36</v>
      </c>
      <c r="G11" s="1935" t="s">
        <v>1049</v>
      </c>
    </row>
    <row r="12" spans="1:7" s="126" customFormat="1" ht="21.75" customHeight="1" x14ac:dyDescent="0.2">
      <c r="A12" s="131">
        <v>7</v>
      </c>
      <c r="B12" s="125"/>
      <c r="C12" s="127" t="s">
        <v>255</v>
      </c>
      <c r="D12" s="469">
        <v>2</v>
      </c>
      <c r="E12" s="469"/>
      <c r="F12" s="469">
        <f t="shared" si="0"/>
        <v>2</v>
      </c>
      <c r="G12" s="137"/>
    </row>
    <row r="13" spans="1:7" s="124" customFormat="1" ht="33" x14ac:dyDescent="0.3">
      <c r="A13" s="131">
        <v>8</v>
      </c>
      <c r="B13" s="125">
        <v>7</v>
      </c>
      <c r="C13" s="571" t="s">
        <v>389</v>
      </c>
      <c r="D13" s="468">
        <v>200</v>
      </c>
      <c r="E13" s="468"/>
      <c r="F13" s="468">
        <f t="shared" si="0"/>
        <v>200</v>
      </c>
      <c r="G13" s="624"/>
    </row>
    <row r="14" spans="1:7" ht="33" customHeight="1" x14ac:dyDescent="0.3">
      <c r="A14" s="131">
        <v>9</v>
      </c>
      <c r="B14" s="125">
        <v>8</v>
      </c>
      <c r="C14" s="570" t="s">
        <v>125</v>
      </c>
      <c r="D14" s="468">
        <v>13.25</v>
      </c>
      <c r="E14" s="468"/>
      <c r="F14" s="468">
        <f t="shared" si="0"/>
        <v>13.25</v>
      </c>
      <c r="G14" s="138"/>
    </row>
    <row r="15" spans="1:7" ht="33" customHeight="1" x14ac:dyDescent="0.3">
      <c r="A15" s="131">
        <v>10</v>
      </c>
      <c r="B15" s="125">
        <v>9</v>
      </c>
      <c r="C15" s="570" t="s">
        <v>544</v>
      </c>
      <c r="D15" s="468">
        <v>63</v>
      </c>
      <c r="E15" s="468"/>
      <c r="F15" s="468">
        <f t="shared" si="0"/>
        <v>63</v>
      </c>
      <c r="G15" s="138"/>
    </row>
    <row r="16" spans="1:7" s="126" customFormat="1" ht="21.75" customHeight="1" x14ac:dyDescent="0.2">
      <c r="A16" s="131">
        <v>11</v>
      </c>
      <c r="B16" s="125"/>
      <c r="C16" s="127" t="s">
        <v>255</v>
      </c>
      <c r="D16" s="469">
        <v>0</v>
      </c>
      <c r="E16" s="469"/>
      <c r="F16" s="469">
        <f t="shared" si="0"/>
        <v>0</v>
      </c>
      <c r="G16" s="137"/>
    </row>
    <row r="17" spans="1:7" ht="21.75" customHeight="1" x14ac:dyDescent="0.3">
      <c r="A17" s="131">
        <v>12</v>
      </c>
      <c r="B17" s="122">
        <v>10</v>
      </c>
      <c r="C17" s="567" t="s">
        <v>545</v>
      </c>
      <c r="D17" s="28">
        <v>24.25</v>
      </c>
      <c r="E17" s="28"/>
      <c r="F17" s="28">
        <f t="shared" si="0"/>
        <v>24.25</v>
      </c>
      <c r="G17" s="138"/>
    </row>
    <row r="18" spans="1:7" ht="33" customHeight="1" x14ac:dyDescent="0.2">
      <c r="A18" s="131">
        <v>13</v>
      </c>
      <c r="B18" s="125">
        <v>11</v>
      </c>
      <c r="C18" s="570" t="s">
        <v>528</v>
      </c>
      <c r="D18" s="28">
        <v>22</v>
      </c>
      <c r="E18" s="28"/>
      <c r="F18" s="28">
        <f t="shared" si="0"/>
        <v>22</v>
      </c>
      <c r="G18" s="138"/>
    </row>
    <row r="19" spans="1:7" s="124" customFormat="1" ht="21.75" customHeight="1" x14ac:dyDescent="0.3">
      <c r="A19" s="131">
        <v>14</v>
      </c>
      <c r="B19" s="122">
        <v>12</v>
      </c>
      <c r="C19" s="123" t="s">
        <v>25</v>
      </c>
      <c r="D19" s="468">
        <v>51.5</v>
      </c>
      <c r="E19" s="468"/>
      <c r="F19" s="468">
        <f t="shared" si="0"/>
        <v>51.5</v>
      </c>
      <c r="G19" s="136"/>
    </row>
    <row r="20" spans="1:7" s="124" customFormat="1" ht="27.75" customHeight="1" x14ac:dyDescent="0.3">
      <c r="A20" s="131">
        <v>15</v>
      </c>
      <c r="B20" s="122">
        <v>13</v>
      </c>
      <c r="C20" s="123" t="s">
        <v>34</v>
      </c>
      <c r="D20" s="468">
        <v>53</v>
      </c>
      <c r="E20" s="468"/>
      <c r="F20" s="468">
        <f t="shared" si="0"/>
        <v>53</v>
      </c>
      <c r="G20" s="141"/>
    </row>
    <row r="21" spans="1:7" s="126" customFormat="1" ht="34.5" x14ac:dyDescent="0.2">
      <c r="A21" s="131">
        <v>16</v>
      </c>
      <c r="B21" s="125"/>
      <c r="C21" s="127" t="s">
        <v>953</v>
      </c>
      <c r="D21" s="469">
        <v>6</v>
      </c>
      <c r="E21" s="469"/>
      <c r="F21" s="469">
        <f t="shared" si="0"/>
        <v>6</v>
      </c>
      <c r="G21" s="1827" t="s">
        <v>952</v>
      </c>
    </row>
    <row r="22" spans="1:7" ht="31.5" customHeight="1" x14ac:dyDescent="0.3">
      <c r="A22" s="131">
        <v>17</v>
      </c>
      <c r="B22" s="122">
        <v>14</v>
      </c>
      <c r="C22" s="567" t="s">
        <v>533</v>
      </c>
      <c r="D22" s="468">
        <v>22</v>
      </c>
      <c r="E22" s="468"/>
      <c r="F22" s="468">
        <f t="shared" si="0"/>
        <v>22</v>
      </c>
      <c r="G22" s="1827" t="s">
        <v>1074</v>
      </c>
    </row>
    <row r="23" spans="1:7" s="126" customFormat="1" ht="21.75" customHeight="1" x14ac:dyDescent="0.2">
      <c r="A23" s="131">
        <v>18</v>
      </c>
      <c r="B23" s="125"/>
      <c r="C23" s="127" t="s">
        <v>255</v>
      </c>
      <c r="D23" s="469">
        <v>1</v>
      </c>
      <c r="E23" s="469"/>
      <c r="F23" s="469">
        <f t="shared" si="0"/>
        <v>1</v>
      </c>
      <c r="G23" s="137"/>
    </row>
    <row r="24" spans="1:7" s="124" customFormat="1" ht="21.75" customHeight="1" x14ac:dyDescent="0.3">
      <c r="A24" s="131">
        <v>19</v>
      </c>
      <c r="B24" s="122">
        <v>15</v>
      </c>
      <c r="C24" s="123" t="s">
        <v>157</v>
      </c>
      <c r="D24" s="468">
        <v>102</v>
      </c>
      <c r="E24" s="468"/>
      <c r="F24" s="468">
        <f t="shared" si="0"/>
        <v>102</v>
      </c>
      <c r="G24" s="136"/>
    </row>
    <row r="25" spans="1:7" ht="21.75" customHeight="1" thickBot="1" x14ac:dyDescent="0.35">
      <c r="A25" s="131">
        <v>20</v>
      </c>
      <c r="B25" s="568">
        <v>16</v>
      </c>
      <c r="C25" s="655" t="s">
        <v>271</v>
      </c>
      <c r="D25" s="656">
        <v>53.25</v>
      </c>
      <c r="E25" s="656"/>
      <c r="F25" s="656">
        <f t="shared" si="0"/>
        <v>53.25</v>
      </c>
      <c r="G25" s="657"/>
    </row>
    <row r="26" spans="1:7" ht="30" customHeight="1" thickTop="1" thickBot="1" x14ac:dyDescent="0.25">
      <c r="A26" s="131">
        <v>21</v>
      </c>
      <c r="B26" s="31"/>
      <c r="C26" s="32" t="s">
        <v>126</v>
      </c>
      <c r="D26" s="470">
        <f>SUM(D6:D25)</f>
        <v>962.25</v>
      </c>
      <c r="E26" s="470">
        <f>SUM(E6:E25)</f>
        <v>0</v>
      </c>
      <c r="F26" s="470">
        <f>SUM(F6:F25)</f>
        <v>962.25</v>
      </c>
      <c r="G26" s="139"/>
    </row>
    <row r="27" spans="1:7" ht="21.75" customHeight="1" x14ac:dyDescent="0.3">
      <c r="A27" s="131">
        <v>22</v>
      </c>
      <c r="B27" s="122">
        <v>17</v>
      </c>
      <c r="C27" s="567" t="s">
        <v>26</v>
      </c>
      <c r="D27" s="28">
        <v>200</v>
      </c>
      <c r="E27" s="28"/>
      <c r="F27" s="28">
        <f>SUM(D27:E27)</f>
        <v>200</v>
      </c>
      <c r="G27" s="138"/>
    </row>
    <row r="28" spans="1:7" ht="21.75" customHeight="1" x14ac:dyDescent="0.3">
      <c r="A28" s="131">
        <v>23</v>
      </c>
      <c r="B28" s="122">
        <v>18</v>
      </c>
      <c r="C28" s="567" t="s">
        <v>127</v>
      </c>
      <c r="D28" s="1"/>
      <c r="E28" s="1"/>
      <c r="F28" s="1">
        <f>SUM(D28:E28)</f>
        <v>0</v>
      </c>
      <c r="G28" s="140" t="s">
        <v>254</v>
      </c>
    </row>
    <row r="29" spans="1:7" ht="21.75" customHeight="1" x14ac:dyDescent="0.2">
      <c r="A29" s="131">
        <v>24</v>
      </c>
      <c r="B29" s="27"/>
      <c r="C29" s="202" t="s">
        <v>326</v>
      </c>
      <c r="D29" s="28">
        <v>3</v>
      </c>
      <c r="E29" s="28"/>
      <c r="F29" s="28">
        <f>SUM(D29:E29)</f>
        <v>3</v>
      </c>
      <c r="G29" s="140"/>
    </row>
    <row r="30" spans="1:7" s="126" customFormat="1" ht="21.75" customHeight="1" thickBot="1" x14ac:dyDescent="0.25">
      <c r="A30" s="131">
        <v>25</v>
      </c>
      <c r="B30" s="125"/>
      <c r="C30" s="127" t="s">
        <v>293</v>
      </c>
      <c r="D30" s="469">
        <v>9.8800000000000008</v>
      </c>
      <c r="E30" s="469"/>
      <c r="F30" s="469">
        <f>SUM(D30:E30)</f>
        <v>9.8800000000000008</v>
      </c>
      <c r="G30" s="141"/>
    </row>
    <row r="31" spans="1:7" ht="30" customHeight="1" x14ac:dyDescent="0.2">
      <c r="A31" s="131">
        <v>26</v>
      </c>
      <c r="B31" s="563"/>
      <c r="C31" s="564" t="s">
        <v>13</v>
      </c>
      <c r="D31" s="565">
        <f>SUM(D26:D30)</f>
        <v>1175.1300000000001</v>
      </c>
      <c r="E31" s="565">
        <f>SUM(E26:E30)</f>
        <v>0</v>
      </c>
      <c r="F31" s="565">
        <f>SUM(F26:F30)</f>
        <v>1175.1300000000001</v>
      </c>
      <c r="G31" s="566"/>
    </row>
    <row r="32" spans="1:7" ht="16.5" customHeight="1" x14ac:dyDescent="0.2">
      <c r="A32" s="131">
        <v>27</v>
      </c>
      <c r="B32" s="27"/>
      <c r="C32" s="29" t="s">
        <v>128</v>
      </c>
      <c r="D32" s="28"/>
      <c r="E32" s="28"/>
      <c r="F32" s="28"/>
      <c r="G32" s="138"/>
    </row>
    <row r="33" spans="1:7" ht="16.5" customHeight="1" thickBot="1" x14ac:dyDescent="0.25">
      <c r="A33" s="131">
        <v>28</v>
      </c>
      <c r="B33" s="31"/>
      <c r="C33" s="128" t="s">
        <v>293</v>
      </c>
      <c r="D33" s="471">
        <f>SUM(D12,D16,D23,D30)</f>
        <v>12.88</v>
      </c>
      <c r="E33" s="471">
        <f>SUM(E12,E16,E23,E30)</f>
        <v>0</v>
      </c>
      <c r="F33" s="471">
        <f>SUM(F12,F16,F23,F30)</f>
        <v>12.88</v>
      </c>
      <c r="G33" s="142"/>
    </row>
    <row r="35" spans="1:7" x14ac:dyDescent="0.3">
      <c r="C35" s="33"/>
      <c r="D35" s="28"/>
      <c r="E35" s="28"/>
      <c r="F35" s="28"/>
      <c r="G35" s="143"/>
    </row>
    <row r="36" spans="1:7" x14ac:dyDescent="0.3">
      <c r="C36" s="34"/>
      <c r="D36" s="35"/>
      <c r="E36" s="35"/>
      <c r="F36" s="35"/>
      <c r="G36" s="143"/>
    </row>
    <row r="37" spans="1:7" x14ac:dyDescent="0.3">
      <c r="C37" s="34"/>
      <c r="D37" s="35"/>
      <c r="E37" s="35"/>
      <c r="F37" s="35"/>
      <c r="G37" s="143"/>
    </row>
    <row r="38" spans="1:7" x14ac:dyDescent="0.3">
      <c r="C38" s="34"/>
      <c r="D38" s="35"/>
      <c r="E38" s="35"/>
      <c r="F38" s="35"/>
      <c r="G38" s="143"/>
    </row>
    <row r="39" spans="1:7" x14ac:dyDescent="0.3">
      <c r="C39" s="33"/>
      <c r="D39" s="28"/>
      <c r="E39" s="28"/>
      <c r="F39" s="28"/>
      <c r="G39" s="143"/>
    </row>
    <row r="40" spans="1:7" x14ac:dyDescent="0.3">
      <c r="C40" s="33"/>
      <c r="D40" s="28"/>
      <c r="E40" s="28"/>
      <c r="F40" s="28"/>
      <c r="G40" s="143"/>
    </row>
    <row r="41" spans="1:7" x14ac:dyDescent="0.3">
      <c r="C41" s="33"/>
      <c r="D41" s="28"/>
      <c r="E41" s="28"/>
      <c r="F41" s="28"/>
      <c r="G41" s="143"/>
    </row>
    <row r="44" spans="1:7" s="30" customFormat="1" ht="17.25" x14ac:dyDescent="0.3">
      <c r="A44" s="372"/>
      <c r="B44" s="1048"/>
      <c r="C44" s="36"/>
      <c r="D44" s="37"/>
      <c r="E44" s="37"/>
      <c r="F44" s="37"/>
      <c r="G44" s="144"/>
    </row>
    <row r="46" spans="1:7" s="30" customFormat="1" ht="17.25" x14ac:dyDescent="0.3">
      <c r="A46" s="372"/>
      <c r="B46" s="1048"/>
      <c r="C46" s="36"/>
      <c r="D46" s="37"/>
      <c r="E46" s="37"/>
      <c r="F46" s="37"/>
      <c r="G46" s="144"/>
    </row>
    <row r="49" spans="1:7" s="30" customFormat="1" ht="17.25" x14ac:dyDescent="0.3">
      <c r="A49" s="372"/>
      <c r="B49" s="1048"/>
      <c r="C49" s="36"/>
      <c r="D49" s="37"/>
      <c r="E49" s="37"/>
      <c r="F49" s="37"/>
      <c r="G49" s="144"/>
    </row>
    <row r="67" spans="1:7" s="30" customFormat="1" ht="17.25" x14ac:dyDescent="0.3">
      <c r="A67" s="372"/>
      <c r="B67" s="1048"/>
      <c r="C67" s="36"/>
      <c r="D67" s="37"/>
      <c r="E67" s="37"/>
      <c r="F67" s="37"/>
      <c r="G67" s="144"/>
    </row>
    <row r="76" spans="1:7" x14ac:dyDescent="0.3">
      <c r="D76" s="38"/>
    </row>
    <row r="77" spans="1:7" x14ac:dyDescent="0.3">
      <c r="D77" s="38"/>
    </row>
    <row r="78" spans="1:7" x14ac:dyDescent="0.3">
      <c r="D78" s="38"/>
    </row>
    <row r="79" spans="1:7" x14ac:dyDescent="0.3">
      <c r="D79" s="38"/>
    </row>
    <row r="80" spans="1:7" x14ac:dyDescent="0.3">
      <c r="D80" s="38"/>
    </row>
    <row r="81" spans="4:4" x14ac:dyDescent="0.3">
      <c r="D81" s="38"/>
    </row>
    <row r="82" spans="4:4" x14ac:dyDescent="0.3">
      <c r="D82" s="38"/>
    </row>
    <row r="83" spans="4:4" x14ac:dyDescent="0.3">
      <c r="D83" s="38"/>
    </row>
  </sheetData>
  <mergeCells count="3">
    <mergeCell ref="B1:D1"/>
    <mergeCell ref="C2:G2"/>
    <mergeCell ref="B3:G3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77" orientation="portrait" r:id="rId1"/>
  <headerFooter alignWithMargins="0">
    <oddFooter>&amp;C- &amp;P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0"/>
  <sheetViews>
    <sheetView view="pageBreakPreview" zoomScaleNormal="100" zoomScaleSheetLayoutView="100" workbookViewId="0">
      <selection activeCell="C73" sqref="C73"/>
    </sheetView>
  </sheetViews>
  <sheetFormatPr defaultColWidth="9.140625" defaultRowHeight="16.5" x14ac:dyDescent="0.2"/>
  <cols>
    <col min="1" max="1" width="4.42578125" style="419" customWidth="1"/>
    <col min="2" max="2" width="65.7109375" style="604" customWidth="1"/>
    <col min="3" max="6" width="15.28515625" style="592" customWidth="1"/>
    <col min="7" max="7" width="15.28515625" style="592" hidden="1" customWidth="1"/>
    <col min="8" max="249" width="9.140625" style="425"/>
    <col min="250" max="250" width="3.7109375" style="425" customWidth="1"/>
    <col min="251" max="251" width="58.7109375" style="425" customWidth="1"/>
    <col min="252" max="255" width="15.28515625" style="425" customWidth="1"/>
    <col min="256" max="16384" width="9.140625" style="425"/>
  </cols>
  <sheetData>
    <row r="1" spans="1:7" ht="17.25" x14ac:dyDescent="0.2">
      <c r="A1" s="1268"/>
      <c r="B1" s="2353" t="s">
        <v>940</v>
      </c>
      <c r="C1" s="2353"/>
      <c r="D1" s="425"/>
      <c r="E1" s="425"/>
      <c r="F1" s="425"/>
      <c r="G1" s="425"/>
    </row>
    <row r="2" spans="1:7" x14ac:dyDescent="0.3">
      <c r="A2" s="1269"/>
      <c r="B2" s="99"/>
      <c r="C2" s="1270"/>
      <c r="D2" s="1270"/>
      <c r="E2" s="1270"/>
      <c r="F2" s="1270"/>
      <c r="G2" s="1270"/>
    </row>
    <row r="3" spans="1:7" ht="17.25" x14ac:dyDescent="0.2">
      <c r="A3" s="2354" t="s">
        <v>629</v>
      </c>
      <c r="B3" s="2354"/>
      <c r="C3" s="2354"/>
      <c r="D3" s="2354"/>
      <c r="E3" s="2354"/>
      <c r="F3" s="2354"/>
      <c r="G3" s="425"/>
    </row>
    <row r="4" spans="1:7" ht="17.25" x14ac:dyDescent="0.2">
      <c r="A4" s="2355" t="s">
        <v>348</v>
      </c>
      <c r="B4" s="2355"/>
      <c r="C4" s="2355"/>
      <c r="D4" s="2355"/>
      <c r="E4" s="2355"/>
      <c r="F4" s="2355"/>
      <c r="G4" s="425"/>
    </row>
    <row r="5" spans="1:7" ht="17.25" x14ac:dyDescent="0.2">
      <c r="B5" s="1267"/>
      <c r="E5" s="593"/>
      <c r="F5" s="593" t="s">
        <v>0</v>
      </c>
    </row>
    <row r="6" spans="1:7" s="419" customFormat="1" ht="17.25" thickBot="1" x14ac:dyDescent="0.25">
      <c r="A6" s="594"/>
      <c r="B6" s="594" t="s">
        <v>1</v>
      </c>
      <c r="C6" s="419" t="s">
        <v>3</v>
      </c>
      <c r="D6" s="419" t="s">
        <v>2</v>
      </c>
      <c r="E6" s="419" t="s">
        <v>4</v>
      </c>
      <c r="F6" s="419" t="s">
        <v>5</v>
      </c>
      <c r="G6" s="419" t="s">
        <v>4</v>
      </c>
    </row>
    <row r="7" spans="1:7" s="595" customFormat="1" ht="35.1" customHeight="1" x14ac:dyDescent="0.2">
      <c r="A7" s="2356" t="s">
        <v>349</v>
      </c>
      <c r="B7" s="2358" t="s">
        <v>6</v>
      </c>
      <c r="C7" s="2360" t="s">
        <v>626</v>
      </c>
      <c r="D7" s="2360" t="s">
        <v>627</v>
      </c>
      <c r="E7" s="2362" t="s">
        <v>628</v>
      </c>
      <c r="F7" s="2364" t="s">
        <v>853</v>
      </c>
      <c r="G7" s="2351" t="s">
        <v>612</v>
      </c>
    </row>
    <row r="8" spans="1:7" s="595" customFormat="1" ht="35.1" customHeight="1" thickBot="1" x14ac:dyDescent="0.25">
      <c r="A8" s="2357"/>
      <c r="B8" s="2359"/>
      <c r="C8" s="2361"/>
      <c r="D8" s="2361"/>
      <c r="E8" s="2363"/>
      <c r="F8" s="2365"/>
      <c r="G8" s="2352"/>
    </row>
    <row r="9" spans="1:7" s="597" customFormat="1" ht="33" x14ac:dyDescent="0.2">
      <c r="A9" s="421">
        <v>1</v>
      </c>
      <c r="B9" s="596" t="s">
        <v>350</v>
      </c>
      <c r="C9" s="647">
        <v>5000</v>
      </c>
      <c r="D9" s="648"/>
      <c r="E9" s="649"/>
      <c r="F9" s="668"/>
      <c r="G9" s="661"/>
    </row>
    <row r="10" spans="1:7" s="597" customFormat="1" ht="33" x14ac:dyDescent="0.2">
      <c r="A10" s="421">
        <v>2</v>
      </c>
      <c r="B10" s="598" t="s">
        <v>854</v>
      </c>
      <c r="C10" s="599">
        <v>37058</v>
      </c>
      <c r="D10" s="599"/>
      <c r="E10" s="650"/>
      <c r="F10" s="669"/>
      <c r="G10" s="662"/>
    </row>
    <row r="11" spans="1:7" s="597" customFormat="1" ht="30.75" customHeight="1" x14ac:dyDescent="0.2">
      <c r="A11" s="421">
        <v>3</v>
      </c>
      <c r="B11" s="598" t="s">
        <v>855</v>
      </c>
      <c r="C11" s="599">
        <v>7068</v>
      </c>
      <c r="D11" s="599"/>
      <c r="E11" s="650"/>
      <c r="F11" s="669"/>
      <c r="G11" s="662"/>
    </row>
    <row r="12" spans="1:7" s="597" customFormat="1" ht="33" x14ac:dyDescent="0.2">
      <c r="A12" s="421">
        <v>4</v>
      </c>
      <c r="B12" s="598" t="s">
        <v>624</v>
      </c>
      <c r="C12" s="599">
        <v>186554</v>
      </c>
      <c r="D12" s="599"/>
      <c r="E12" s="650"/>
      <c r="F12" s="669"/>
      <c r="G12" s="662"/>
    </row>
    <row r="13" spans="1:7" s="597" customFormat="1" ht="35.25" customHeight="1" x14ac:dyDescent="0.2">
      <c r="A13" s="421">
        <v>5</v>
      </c>
      <c r="B13" s="688" t="s">
        <v>625</v>
      </c>
      <c r="C13" s="599">
        <v>34933</v>
      </c>
      <c r="D13" s="650"/>
      <c r="E13" s="650"/>
      <c r="F13" s="669"/>
      <c r="G13" s="662"/>
    </row>
    <row r="14" spans="1:7" s="597" customFormat="1" ht="33" x14ac:dyDescent="0.2">
      <c r="A14" s="421">
        <v>6</v>
      </c>
      <c r="B14" s="598" t="s">
        <v>856</v>
      </c>
      <c r="C14" s="599">
        <v>52777</v>
      </c>
      <c r="D14" s="650"/>
      <c r="E14" s="650"/>
      <c r="F14" s="669"/>
      <c r="G14" s="662"/>
    </row>
    <row r="15" spans="1:7" s="597" customFormat="1" ht="35.25" customHeight="1" x14ac:dyDescent="0.2">
      <c r="A15" s="421">
        <v>7</v>
      </c>
      <c r="B15" s="688" t="s">
        <v>857</v>
      </c>
      <c r="C15" s="599">
        <v>29875</v>
      </c>
      <c r="D15" s="650"/>
      <c r="E15" s="650"/>
      <c r="F15" s="669"/>
      <c r="G15" s="662"/>
    </row>
    <row r="16" spans="1:7" s="597" customFormat="1" ht="66" x14ac:dyDescent="0.2">
      <c r="A16" s="421">
        <v>8</v>
      </c>
      <c r="B16" s="598" t="s">
        <v>623</v>
      </c>
      <c r="C16" s="651">
        <v>760</v>
      </c>
      <c r="D16" s="650"/>
      <c r="E16" s="650"/>
      <c r="F16" s="669"/>
      <c r="G16" s="662"/>
    </row>
    <row r="17" spans="1:8" s="597" customFormat="1" ht="49.5" x14ac:dyDescent="0.2">
      <c r="A17" s="421">
        <v>9</v>
      </c>
      <c r="B17" s="653" t="s">
        <v>920</v>
      </c>
      <c r="C17" s="654">
        <v>294000</v>
      </c>
      <c r="D17" s="654"/>
      <c r="E17" s="652"/>
      <c r="F17" s="671"/>
      <c r="G17" s="662"/>
    </row>
    <row r="18" spans="1:8" s="597" customFormat="1" ht="48.95" customHeight="1" x14ac:dyDescent="0.3">
      <c r="A18" s="421">
        <v>10</v>
      </c>
      <c r="B18" s="646" t="s">
        <v>941</v>
      </c>
      <c r="C18" s="651">
        <v>13000</v>
      </c>
      <c r="D18" s="650">
        <v>13000</v>
      </c>
      <c r="E18" s="650">
        <v>13000</v>
      </c>
      <c r="F18" s="669"/>
      <c r="G18" s="662"/>
      <c r="H18" s="1117"/>
    </row>
    <row r="19" spans="1:8" s="597" customFormat="1" ht="50.25" customHeight="1" x14ac:dyDescent="0.3">
      <c r="A19" s="421">
        <v>11</v>
      </c>
      <c r="B19" s="423" t="s">
        <v>942</v>
      </c>
      <c r="C19" s="651">
        <v>480000</v>
      </c>
      <c r="D19" s="650"/>
      <c r="E19" s="650"/>
      <c r="F19" s="669"/>
      <c r="G19" s="662"/>
    </row>
    <row r="20" spans="1:8" ht="33.75" thickBot="1" x14ac:dyDescent="0.25">
      <c r="A20" s="1283">
        <v>12</v>
      </c>
      <c r="B20" s="653" t="s">
        <v>944</v>
      </c>
      <c r="C20" s="654">
        <f>7620/2</f>
        <v>3810</v>
      </c>
      <c r="D20" s="654"/>
      <c r="E20" s="1284"/>
      <c r="F20" s="1285"/>
      <c r="G20" s="665"/>
    </row>
    <row r="21" spans="1:8" s="597" customFormat="1" ht="30" customHeight="1" thickBot="1" x14ac:dyDescent="0.25">
      <c r="A21" s="2345" t="s">
        <v>954</v>
      </c>
      <c r="B21" s="2346"/>
      <c r="C21" s="1290">
        <f>SUM(C9:C19)</f>
        <v>1141025</v>
      </c>
      <c r="D21" s="1290">
        <f t="shared" ref="D21:F21" si="0">SUM(D9:D19)</f>
        <v>13000</v>
      </c>
      <c r="E21" s="1290">
        <f t="shared" si="0"/>
        <v>13000</v>
      </c>
      <c r="F21" s="1291">
        <f t="shared" si="0"/>
        <v>0</v>
      </c>
      <c r="G21" s="662"/>
    </row>
    <row r="22" spans="1:8" s="597" customFormat="1" ht="22.5" customHeight="1" x14ac:dyDescent="0.2">
      <c r="A22" s="1286">
        <v>13</v>
      </c>
      <c r="B22" s="1292" t="s">
        <v>613</v>
      </c>
      <c r="C22" s="1287">
        <v>17000</v>
      </c>
      <c r="D22" s="1288"/>
      <c r="E22" s="1288"/>
      <c r="F22" s="1289"/>
      <c r="G22" s="662"/>
    </row>
    <row r="23" spans="1:8" s="597" customFormat="1" ht="47.1" customHeight="1" x14ac:dyDescent="0.2">
      <c r="A23" s="421">
        <v>14</v>
      </c>
      <c r="B23" s="660" t="s">
        <v>943</v>
      </c>
      <c r="C23" s="651">
        <f>6000+3000+3000</f>
        <v>12000</v>
      </c>
      <c r="D23" s="651">
        <f>6000+3000+3000</f>
        <v>12000</v>
      </c>
      <c r="E23" s="1118"/>
      <c r="F23" s="1280"/>
      <c r="G23" s="662"/>
    </row>
    <row r="24" spans="1:8" s="597" customFormat="1" ht="33" x14ac:dyDescent="0.2">
      <c r="A24" s="421">
        <v>15</v>
      </c>
      <c r="B24" s="598" t="s">
        <v>351</v>
      </c>
      <c r="C24" s="651">
        <v>103000</v>
      </c>
      <c r="D24" s="650">
        <v>103000</v>
      </c>
      <c r="E24" s="650">
        <v>103000</v>
      </c>
      <c r="F24" s="669">
        <v>103000</v>
      </c>
      <c r="G24" s="662"/>
    </row>
    <row r="25" spans="1:8" s="597" customFormat="1" ht="22.5" customHeight="1" x14ac:dyDescent="0.2">
      <c r="A25" s="421">
        <v>16</v>
      </c>
      <c r="B25" s="598" t="s">
        <v>352</v>
      </c>
      <c r="C25" s="651">
        <v>29500</v>
      </c>
      <c r="D25" s="650">
        <v>29500</v>
      </c>
      <c r="E25" s="650">
        <v>29500</v>
      </c>
      <c r="F25" s="669">
        <v>29500</v>
      </c>
      <c r="G25" s="662"/>
    </row>
    <row r="26" spans="1:8" s="597" customFormat="1" ht="31.5" customHeight="1" x14ac:dyDescent="0.2">
      <c r="A26" s="421">
        <v>17</v>
      </c>
      <c r="B26" s="660" t="s">
        <v>858</v>
      </c>
      <c r="C26" s="651">
        <v>120000</v>
      </c>
      <c r="D26" s="650">
        <v>120000</v>
      </c>
      <c r="E26" s="650"/>
      <c r="F26" s="669"/>
      <c r="G26" s="662"/>
    </row>
    <row r="27" spans="1:8" s="597" customFormat="1" ht="22.5" customHeight="1" x14ac:dyDescent="0.2">
      <c r="A27" s="421">
        <v>18</v>
      </c>
      <c r="B27" s="598" t="s">
        <v>859</v>
      </c>
      <c r="C27" s="599">
        <v>50326</v>
      </c>
      <c r="D27" s="599">
        <v>50348</v>
      </c>
      <c r="E27" s="650"/>
      <c r="F27" s="669"/>
      <c r="G27" s="662"/>
    </row>
    <row r="28" spans="1:8" ht="22.5" customHeight="1" x14ac:dyDescent="0.2">
      <c r="A28" s="421">
        <v>19</v>
      </c>
      <c r="B28" s="426" t="s">
        <v>353</v>
      </c>
      <c r="C28" s="600">
        <v>38100</v>
      </c>
      <c r="D28" s="600">
        <v>38100</v>
      </c>
      <c r="E28" s="650"/>
      <c r="F28" s="670"/>
      <c r="G28" s="663">
        <v>38324</v>
      </c>
    </row>
    <row r="29" spans="1:8" ht="22.5" customHeight="1" x14ac:dyDescent="0.2">
      <c r="A29" s="421">
        <v>20</v>
      </c>
      <c r="B29" s="598" t="s">
        <v>557</v>
      </c>
      <c r="C29" s="600">
        <v>881516</v>
      </c>
      <c r="D29" s="600">
        <v>881516</v>
      </c>
      <c r="E29" s="642">
        <v>881516</v>
      </c>
      <c r="F29" s="670">
        <v>881516</v>
      </c>
      <c r="G29" s="663"/>
    </row>
    <row r="30" spans="1:8" ht="22.5" customHeight="1" x14ac:dyDescent="0.2">
      <c r="A30" s="421">
        <v>21</v>
      </c>
      <c r="B30" s="598" t="s">
        <v>822</v>
      </c>
      <c r="C30" s="600">
        <v>153947</v>
      </c>
      <c r="D30" s="600"/>
      <c r="E30" s="642"/>
      <c r="F30" s="670"/>
      <c r="G30" s="663"/>
    </row>
    <row r="31" spans="1:8" ht="51" customHeight="1" x14ac:dyDescent="0.2">
      <c r="A31" s="421">
        <v>22</v>
      </c>
      <c r="B31" s="598" t="s">
        <v>921</v>
      </c>
      <c r="C31" s="600">
        <f>100000-29240</f>
        <v>70760</v>
      </c>
      <c r="D31" s="600"/>
      <c r="E31" s="642"/>
      <c r="F31" s="670"/>
      <c r="G31" s="663">
        <v>38100</v>
      </c>
    </row>
    <row r="32" spans="1:8" ht="36.950000000000003" customHeight="1" x14ac:dyDescent="0.2">
      <c r="A32" s="421"/>
      <c r="B32" s="598" t="s">
        <v>956</v>
      </c>
      <c r="C32" s="600"/>
      <c r="D32" s="600"/>
      <c r="E32" s="642"/>
      <c r="F32" s="670"/>
      <c r="G32" s="663"/>
    </row>
    <row r="33" spans="1:7" ht="17.25" x14ac:dyDescent="0.2">
      <c r="A33" s="421">
        <v>23</v>
      </c>
      <c r="B33" s="1293" t="s">
        <v>8</v>
      </c>
      <c r="C33" s="600">
        <v>277100</v>
      </c>
      <c r="D33" s="600">
        <v>277100</v>
      </c>
      <c r="E33" s="642">
        <v>277100</v>
      </c>
      <c r="F33" s="670">
        <v>277100</v>
      </c>
      <c r="G33" s="663"/>
    </row>
    <row r="34" spans="1:7" ht="17.25" x14ac:dyDescent="0.2">
      <c r="A34" s="421">
        <v>24</v>
      </c>
      <c r="B34" s="1293" t="s">
        <v>9</v>
      </c>
      <c r="C34" s="600">
        <v>259250</v>
      </c>
      <c r="D34" s="600">
        <v>259250</v>
      </c>
      <c r="E34" s="642">
        <v>259250</v>
      </c>
      <c r="F34" s="670">
        <v>259250</v>
      </c>
      <c r="G34" s="663"/>
    </row>
    <row r="35" spans="1:7" ht="18" customHeight="1" x14ac:dyDescent="0.2">
      <c r="A35" s="421">
        <v>25</v>
      </c>
      <c r="B35" s="1293" t="s">
        <v>305</v>
      </c>
      <c r="C35" s="600">
        <v>45900</v>
      </c>
      <c r="D35" s="600">
        <v>45900</v>
      </c>
      <c r="E35" s="642">
        <v>45900</v>
      </c>
      <c r="F35" s="670">
        <v>45900</v>
      </c>
      <c r="G35" s="663">
        <v>270000</v>
      </c>
    </row>
    <row r="36" spans="1:7" ht="18" customHeight="1" x14ac:dyDescent="0.2">
      <c r="A36" s="421">
        <v>26</v>
      </c>
      <c r="B36" s="1293" t="s">
        <v>7</v>
      </c>
      <c r="C36" s="600">
        <v>36550</v>
      </c>
      <c r="D36" s="600">
        <v>36550</v>
      </c>
      <c r="E36" s="642">
        <v>36550</v>
      </c>
      <c r="F36" s="670">
        <v>36550</v>
      </c>
      <c r="G36" s="663">
        <v>288725</v>
      </c>
    </row>
    <row r="37" spans="1:7" ht="18" customHeight="1" x14ac:dyDescent="0.2">
      <c r="A37" s="421">
        <v>27</v>
      </c>
      <c r="B37" s="1293" t="s">
        <v>823</v>
      </c>
      <c r="C37" s="600">
        <v>42500</v>
      </c>
      <c r="D37" s="600">
        <v>42500</v>
      </c>
      <c r="E37" s="642">
        <v>42500</v>
      </c>
      <c r="F37" s="670">
        <v>42500</v>
      </c>
      <c r="G37" s="663">
        <v>21000</v>
      </c>
    </row>
    <row r="38" spans="1:7" ht="18" customHeight="1" x14ac:dyDescent="0.2">
      <c r="A38" s="421">
        <v>28</v>
      </c>
      <c r="B38" s="1293" t="s">
        <v>308</v>
      </c>
      <c r="C38" s="600">
        <v>169738</v>
      </c>
      <c r="D38" s="600">
        <v>169738</v>
      </c>
      <c r="E38" s="642">
        <v>169738</v>
      </c>
      <c r="F38" s="670">
        <v>169738</v>
      </c>
      <c r="G38" s="663">
        <v>186000</v>
      </c>
    </row>
    <row r="39" spans="1:7" ht="22.5" customHeight="1" x14ac:dyDescent="0.2">
      <c r="A39" s="421">
        <v>29</v>
      </c>
      <c r="B39" s="426" t="s">
        <v>824</v>
      </c>
      <c r="C39" s="600">
        <v>130000</v>
      </c>
      <c r="D39" s="600">
        <v>130000</v>
      </c>
      <c r="E39" s="642">
        <v>130000</v>
      </c>
      <c r="F39" s="670">
        <v>130000</v>
      </c>
      <c r="G39" s="663">
        <v>180000</v>
      </c>
    </row>
    <row r="40" spans="1:7" ht="22.5" customHeight="1" x14ac:dyDescent="0.2">
      <c r="A40" s="421">
        <v>30</v>
      </c>
      <c r="B40" s="426" t="s">
        <v>860</v>
      </c>
      <c r="C40" s="600">
        <v>150000</v>
      </c>
      <c r="D40" s="600">
        <v>150000</v>
      </c>
      <c r="E40" s="642" t="s">
        <v>254</v>
      </c>
      <c r="F40" s="670"/>
      <c r="G40" s="663">
        <v>20000</v>
      </c>
    </row>
    <row r="41" spans="1:7" ht="22.5" customHeight="1" x14ac:dyDescent="0.2">
      <c r="A41" s="421">
        <v>31</v>
      </c>
      <c r="B41" s="426" t="s">
        <v>861</v>
      </c>
      <c r="C41" s="600">
        <v>120000</v>
      </c>
      <c r="D41" s="600">
        <v>120000</v>
      </c>
      <c r="E41" s="642"/>
      <c r="F41" s="670"/>
      <c r="G41" s="663" t="s">
        <v>254</v>
      </c>
    </row>
    <row r="42" spans="1:7" ht="22.5" customHeight="1" x14ac:dyDescent="0.2">
      <c r="A42" s="421">
        <v>32</v>
      </c>
      <c r="B42" s="426" t="s">
        <v>862</v>
      </c>
      <c r="C42" s="601">
        <v>105000</v>
      </c>
      <c r="D42" s="601">
        <v>70000</v>
      </c>
      <c r="E42" s="652"/>
      <c r="F42" s="671"/>
      <c r="G42" s="664"/>
    </row>
    <row r="43" spans="1:7" ht="22.5" customHeight="1" x14ac:dyDescent="0.2">
      <c r="A43" s="421">
        <v>33</v>
      </c>
      <c r="B43" s="598" t="s">
        <v>725</v>
      </c>
      <c r="C43" s="600">
        <v>100000</v>
      </c>
      <c r="D43" s="600"/>
      <c r="E43" s="642"/>
      <c r="F43" s="670"/>
      <c r="G43" s="663"/>
    </row>
    <row r="44" spans="1:7" ht="33.950000000000003" customHeight="1" x14ac:dyDescent="0.2">
      <c r="A44" s="421">
        <v>34</v>
      </c>
      <c r="B44" s="598" t="s">
        <v>354</v>
      </c>
      <c r="C44" s="600">
        <v>239</v>
      </c>
      <c r="D44" s="600">
        <v>239</v>
      </c>
      <c r="E44" s="642">
        <v>239</v>
      </c>
      <c r="F44" s="670">
        <v>239</v>
      </c>
      <c r="G44" s="663"/>
    </row>
    <row r="45" spans="1:7" ht="33" x14ac:dyDescent="0.2">
      <c r="A45" s="421">
        <v>35</v>
      </c>
      <c r="B45" s="426" t="s">
        <v>922</v>
      </c>
      <c r="C45" s="601">
        <v>140000</v>
      </c>
      <c r="D45" s="601">
        <v>140000</v>
      </c>
      <c r="E45" s="652"/>
      <c r="F45" s="671"/>
      <c r="G45" s="664">
        <v>239</v>
      </c>
    </row>
    <row r="46" spans="1:7" ht="22.5" customHeight="1" x14ac:dyDescent="0.2">
      <c r="A46" s="421">
        <v>36</v>
      </c>
      <c r="B46" s="426" t="s">
        <v>355</v>
      </c>
      <c r="C46" s="601">
        <v>25000</v>
      </c>
      <c r="D46" s="601">
        <v>25000</v>
      </c>
      <c r="E46" s="652">
        <v>25000</v>
      </c>
      <c r="F46" s="671">
        <v>25000</v>
      </c>
      <c r="G46" s="664"/>
    </row>
    <row r="47" spans="1:7" ht="50.45" customHeight="1" x14ac:dyDescent="0.2">
      <c r="A47" s="421">
        <v>37</v>
      </c>
      <c r="B47" s="598" t="s">
        <v>356</v>
      </c>
      <c r="C47" s="600">
        <v>25000</v>
      </c>
      <c r="D47" s="600"/>
      <c r="E47" s="642"/>
      <c r="F47" s="670"/>
      <c r="G47" s="663">
        <v>25000</v>
      </c>
    </row>
    <row r="48" spans="1:7" ht="22.5" customHeight="1" x14ac:dyDescent="0.2">
      <c r="A48" s="421">
        <v>38</v>
      </c>
      <c r="B48" s="598" t="s">
        <v>863</v>
      </c>
      <c r="C48" s="600">
        <v>17000</v>
      </c>
      <c r="D48" s="600">
        <v>17000</v>
      </c>
      <c r="E48" s="642">
        <v>17000</v>
      </c>
      <c r="F48" s="670"/>
      <c r="G48" s="663"/>
    </row>
    <row r="49" spans="1:7" ht="22.5" customHeight="1" x14ac:dyDescent="0.2">
      <c r="A49" s="421">
        <v>39</v>
      </c>
      <c r="B49" s="598" t="s">
        <v>357</v>
      </c>
      <c r="C49" s="600">
        <v>30000</v>
      </c>
      <c r="D49" s="600"/>
      <c r="E49" s="642"/>
      <c r="F49" s="670"/>
      <c r="G49" s="663"/>
    </row>
    <row r="50" spans="1:7" ht="33.6" customHeight="1" x14ac:dyDescent="0.2">
      <c r="A50" s="421">
        <v>40</v>
      </c>
      <c r="B50" s="598" t="s">
        <v>517</v>
      </c>
      <c r="C50" s="600">
        <f>40000+40000</f>
        <v>80000</v>
      </c>
      <c r="D50" s="600">
        <f>40000+40000</f>
        <v>80000</v>
      </c>
      <c r="E50" s="642"/>
      <c r="F50" s="670"/>
      <c r="G50" s="663"/>
    </row>
    <row r="51" spans="1:7" ht="45.95" customHeight="1" x14ac:dyDescent="0.2">
      <c r="A51" s="421">
        <v>41</v>
      </c>
      <c r="B51" s="426" t="s">
        <v>923</v>
      </c>
      <c r="C51" s="599">
        <v>25000</v>
      </c>
      <c r="D51" s="599">
        <v>25000</v>
      </c>
      <c r="E51" s="642">
        <v>25000</v>
      </c>
      <c r="F51" s="670">
        <v>25000</v>
      </c>
      <c r="G51" s="663"/>
    </row>
    <row r="52" spans="1:7" ht="66" x14ac:dyDescent="0.2">
      <c r="A52" s="421">
        <v>42</v>
      </c>
      <c r="B52" s="426" t="s">
        <v>924</v>
      </c>
      <c r="C52" s="601">
        <v>24000</v>
      </c>
      <c r="D52" s="601"/>
      <c r="E52" s="652"/>
      <c r="F52" s="671"/>
      <c r="G52" s="664"/>
    </row>
    <row r="53" spans="1:7" ht="22.5" customHeight="1" x14ac:dyDescent="0.2">
      <c r="A53" s="421">
        <v>43</v>
      </c>
      <c r="B53" s="598" t="s">
        <v>925</v>
      </c>
      <c r="C53" s="600">
        <v>22000</v>
      </c>
      <c r="D53" s="600"/>
      <c r="E53" s="642"/>
      <c r="F53" s="670"/>
      <c r="G53" s="663"/>
    </row>
    <row r="54" spans="1:7" ht="22.5" customHeight="1" x14ac:dyDescent="0.2">
      <c r="A54" s="421">
        <v>44</v>
      </c>
      <c r="B54" s="426" t="s">
        <v>440</v>
      </c>
      <c r="C54" s="601">
        <f>46997-32000</f>
        <v>14997</v>
      </c>
      <c r="D54" s="601">
        <f t="shared" ref="D54:F54" si="1">46997-32000</f>
        <v>14997</v>
      </c>
      <c r="E54" s="652">
        <f t="shared" si="1"/>
        <v>14997</v>
      </c>
      <c r="F54" s="671">
        <f t="shared" si="1"/>
        <v>14997</v>
      </c>
      <c r="G54" s="664"/>
    </row>
    <row r="55" spans="1:7" ht="30" customHeight="1" x14ac:dyDescent="0.2">
      <c r="A55" s="421">
        <v>45</v>
      </c>
      <c r="B55" s="426" t="s">
        <v>864</v>
      </c>
      <c r="C55" s="601">
        <f>800*1.27</f>
        <v>1016</v>
      </c>
      <c r="D55" s="601"/>
      <c r="E55" s="642"/>
      <c r="F55" s="671"/>
      <c r="G55" s="664">
        <v>3840</v>
      </c>
    </row>
    <row r="56" spans="1:7" ht="29.45" customHeight="1" x14ac:dyDescent="0.2">
      <c r="A56" s="421">
        <v>46</v>
      </c>
      <c r="B56" s="426" t="s">
        <v>926</v>
      </c>
      <c r="C56" s="601">
        <v>917</v>
      </c>
      <c r="D56" s="601"/>
      <c r="E56" s="642"/>
      <c r="F56" s="671"/>
      <c r="G56" s="664">
        <v>4000</v>
      </c>
    </row>
    <row r="57" spans="1:7" ht="66" customHeight="1" x14ac:dyDescent="0.2">
      <c r="A57" s="421">
        <v>47</v>
      </c>
      <c r="B57" s="598" t="s">
        <v>927</v>
      </c>
      <c r="C57" s="600">
        <v>4583</v>
      </c>
      <c r="D57" s="600">
        <v>5500</v>
      </c>
      <c r="E57" s="642">
        <v>917</v>
      </c>
      <c r="F57" s="670"/>
      <c r="G57" s="663">
        <v>300</v>
      </c>
    </row>
    <row r="58" spans="1:7" ht="22.5" customHeight="1" x14ac:dyDescent="0.2">
      <c r="A58" s="421">
        <v>48</v>
      </c>
      <c r="B58" s="598" t="s">
        <v>518</v>
      </c>
      <c r="C58" s="600">
        <v>3264</v>
      </c>
      <c r="D58" s="600">
        <v>3264</v>
      </c>
      <c r="E58" s="642">
        <v>3264</v>
      </c>
      <c r="F58" s="670">
        <v>3264</v>
      </c>
      <c r="G58" s="663">
        <v>127</v>
      </c>
    </row>
    <row r="59" spans="1:7" ht="22.5" customHeight="1" x14ac:dyDescent="0.2">
      <c r="A59" s="421">
        <v>49</v>
      </c>
      <c r="B59" s="598" t="s">
        <v>519</v>
      </c>
      <c r="C59" s="600">
        <v>3400</v>
      </c>
      <c r="D59" s="600">
        <v>3400</v>
      </c>
      <c r="E59" s="642">
        <v>3400</v>
      </c>
      <c r="F59" s="670">
        <v>3400</v>
      </c>
      <c r="G59" s="663">
        <v>1200</v>
      </c>
    </row>
    <row r="60" spans="1:7" ht="22.5" customHeight="1" x14ac:dyDescent="0.2">
      <c r="A60" s="421">
        <v>50</v>
      </c>
      <c r="B60" s="598" t="s">
        <v>358</v>
      </c>
      <c r="C60" s="600">
        <v>300</v>
      </c>
      <c r="D60" s="600">
        <v>300</v>
      </c>
      <c r="E60" s="642">
        <v>300</v>
      </c>
      <c r="F60" s="670">
        <v>300</v>
      </c>
      <c r="G60" s="663">
        <v>300</v>
      </c>
    </row>
    <row r="61" spans="1:7" ht="22.5" customHeight="1" x14ac:dyDescent="0.2">
      <c r="A61" s="421">
        <v>51</v>
      </c>
      <c r="B61" s="598" t="s">
        <v>359</v>
      </c>
      <c r="C61" s="600">
        <v>127</v>
      </c>
      <c r="D61" s="600">
        <v>127</v>
      </c>
      <c r="E61" s="642">
        <v>127</v>
      </c>
      <c r="F61" s="670">
        <v>127</v>
      </c>
      <c r="G61" s="663">
        <v>120</v>
      </c>
    </row>
    <row r="62" spans="1:7" ht="33" x14ac:dyDescent="0.2">
      <c r="A62" s="421">
        <v>52</v>
      </c>
      <c r="B62" s="598" t="s">
        <v>928</v>
      </c>
      <c r="C62" s="600">
        <v>1200</v>
      </c>
      <c r="D62" s="600">
        <v>1200</v>
      </c>
      <c r="E62" s="642">
        <v>1200</v>
      </c>
      <c r="F62" s="670">
        <v>1200</v>
      </c>
      <c r="G62" s="663">
        <v>1700</v>
      </c>
    </row>
    <row r="63" spans="1:7" ht="22.5" customHeight="1" x14ac:dyDescent="0.2">
      <c r="A63" s="421">
        <v>53</v>
      </c>
      <c r="B63" s="598" t="s">
        <v>929</v>
      </c>
      <c r="C63" s="600">
        <v>300</v>
      </c>
      <c r="D63" s="600">
        <v>300</v>
      </c>
      <c r="E63" s="642">
        <v>300</v>
      </c>
      <c r="F63" s="670">
        <v>300</v>
      </c>
      <c r="G63" s="663">
        <v>600</v>
      </c>
    </row>
    <row r="64" spans="1:7" ht="22.5" customHeight="1" x14ac:dyDescent="0.2">
      <c r="A64" s="421">
        <v>54</v>
      </c>
      <c r="B64" s="598" t="s">
        <v>360</v>
      </c>
      <c r="C64" s="600">
        <v>120</v>
      </c>
      <c r="D64" s="600">
        <v>120</v>
      </c>
      <c r="E64" s="642">
        <v>120</v>
      </c>
      <c r="F64" s="670">
        <v>120</v>
      </c>
      <c r="G64" s="663">
        <v>12000</v>
      </c>
    </row>
    <row r="65" spans="1:7" ht="22.5" customHeight="1" x14ac:dyDescent="0.2">
      <c r="A65" s="421">
        <v>55</v>
      </c>
      <c r="B65" s="598" t="s">
        <v>361</v>
      </c>
      <c r="C65" s="600">
        <v>1700</v>
      </c>
      <c r="D65" s="600">
        <v>1700</v>
      </c>
      <c r="E65" s="642">
        <v>1700</v>
      </c>
      <c r="F65" s="670">
        <v>1700</v>
      </c>
      <c r="G65" s="663">
        <v>356958</v>
      </c>
    </row>
    <row r="66" spans="1:7" ht="33.950000000000003" customHeight="1" x14ac:dyDescent="0.2">
      <c r="A66" s="421">
        <v>56</v>
      </c>
      <c r="B66" s="598" t="s">
        <v>865</v>
      </c>
      <c r="C66" s="600">
        <v>10200</v>
      </c>
      <c r="D66" s="600">
        <v>10200</v>
      </c>
      <c r="E66" s="642">
        <v>10200</v>
      </c>
      <c r="F66" s="670">
        <v>10200</v>
      </c>
      <c r="G66" s="663">
        <v>38148</v>
      </c>
    </row>
    <row r="67" spans="1:7" ht="32.1" customHeight="1" x14ac:dyDescent="0.2">
      <c r="A67" s="421">
        <v>57</v>
      </c>
      <c r="B67" s="426" t="s">
        <v>524</v>
      </c>
      <c r="C67" s="601">
        <v>143385</v>
      </c>
      <c r="D67" s="601">
        <v>143385</v>
      </c>
      <c r="E67" s="642">
        <v>143385</v>
      </c>
      <c r="F67" s="670">
        <v>143385</v>
      </c>
      <c r="G67" s="664"/>
    </row>
    <row r="68" spans="1:7" ht="22.5" customHeight="1" x14ac:dyDescent="0.2">
      <c r="A68" s="421">
        <v>58</v>
      </c>
      <c r="B68" s="426" t="s">
        <v>362</v>
      </c>
      <c r="C68" s="601">
        <v>60000</v>
      </c>
      <c r="D68" s="601">
        <v>60000</v>
      </c>
      <c r="E68" s="642">
        <v>60000</v>
      </c>
      <c r="F68" s="671">
        <v>60000</v>
      </c>
      <c r="G68" s="664">
        <v>95000</v>
      </c>
    </row>
    <row r="69" spans="1:7" ht="36" customHeight="1" x14ac:dyDescent="0.2">
      <c r="A69" s="421">
        <v>59</v>
      </c>
      <c r="B69" s="426" t="s">
        <v>930</v>
      </c>
      <c r="C69" s="601">
        <f>7400*1.27</f>
        <v>9398</v>
      </c>
      <c r="D69" s="601"/>
      <c r="E69" s="642"/>
      <c r="F69" s="671"/>
      <c r="G69" s="664">
        <v>5600</v>
      </c>
    </row>
    <row r="70" spans="1:7" ht="49.5" x14ac:dyDescent="0.2">
      <c r="A70" s="421">
        <v>60</v>
      </c>
      <c r="B70" s="598" t="s">
        <v>931</v>
      </c>
      <c r="C70" s="600">
        <v>34150</v>
      </c>
      <c r="D70" s="600"/>
      <c r="E70" s="642"/>
      <c r="F70" s="670"/>
      <c r="G70" s="663"/>
    </row>
    <row r="71" spans="1:7" ht="22.5" customHeight="1" x14ac:dyDescent="0.2">
      <c r="A71" s="421">
        <v>61</v>
      </c>
      <c r="B71" s="598" t="s">
        <v>957</v>
      </c>
      <c r="C71" s="600">
        <v>57501</v>
      </c>
      <c r="D71" s="600">
        <v>57501</v>
      </c>
      <c r="E71" s="642">
        <v>57501</v>
      </c>
      <c r="F71" s="670">
        <v>57501</v>
      </c>
      <c r="G71" s="663"/>
    </row>
    <row r="72" spans="1:7" ht="33" x14ac:dyDescent="0.2">
      <c r="A72" s="421">
        <v>62</v>
      </c>
      <c r="B72" s="598" t="s">
        <v>932</v>
      </c>
      <c r="C72" s="600">
        <v>8800</v>
      </c>
      <c r="D72" s="600"/>
      <c r="E72" s="642"/>
      <c r="F72" s="670"/>
      <c r="G72" s="663">
        <v>53800</v>
      </c>
    </row>
    <row r="73" spans="1:7" ht="22.5" customHeight="1" x14ac:dyDescent="0.2">
      <c r="A73" s="421">
        <v>63</v>
      </c>
      <c r="B73" s="598" t="s">
        <v>11</v>
      </c>
      <c r="C73" s="600">
        <f t="shared" ref="C73:F73" si="2">30000*1.27</f>
        <v>38100</v>
      </c>
      <c r="D73" s="600">
        <f t="shared" si="2"/>
        <v>38100</v>
      </c>
      <c r="E73" s="642">
        <f t="shared" si="2"/>
        <v>38100</v>
      </c>
      <c r="F73" s="670">
        <f t="shared" si="2"/>
        <v>38100</v>
      </c>
      <c r="G73" s="663">
        <v>72000</v>
      </c>
    </row>
    <row r="74" spans="1:7" ht="22.5" customHeight="1" x14ac:dyDescent="0.2">
      <c r="A74" s="421">
        <v>64</v>
      </c>
      <c r="B74" s="598" t="s">
        <v>12</v>
      </c>
      <c r="C74" s="600">
        <v>9601</v>
      </c>
      <c r="D74" s="600">
        <v>9601</v>
      </c>
      <c r="E74" s="642">
        <v>9601</v>
      </c>
      <c r="F74" s="670">
        <v>9601</v>
      </c>
      <c r="G74" s="663"/>
    </row>
    <row r="75" spans="1:7" ht="22.5" customHeight="1" x14ac:dyDescent="0.2">
      <c r="A75" s="421">
        <v>65</v>
      </c>
      <c r="B75" s="598" t="s">
        <v>430</v>
      </c>
      <c r="C75" s="600">
        <f>14980*1.27</f>
        <v>19024.599999999999</v>
      </c>
      <c r="D75" s="600"/>
      <c r="E75" s="642"/>
      <c r="F75" s="670"/>
      <c r="G75" s="663">
        <f>30000*1.27</f>
        <v>38100</v>
      </c>
    </row>
    <row r="76" spans="1:7" ht="30.95" customHeight="1" x14ac:dyDescent="0.2">
      <c r="A76" s="421">
        <v>66</v>
      </c>
      <c r="B76" s="598" t="s">
        <v>866</v>
      </c>
      <c r="C76" s="600">
        <f>6700*1.27</f>
        <v>8509</v>
      </c>
      <c r="D76" s="600">
        <f>6700*1.27</f>
        <v>8509</v>
      </c>
      <c r="E76" s="642"/>
      <c r="F76" s="670"/>
      <c r="G76" s="663">
        <v>9653</v>
      </c>
    </row>
    <row r="77" spans="1:7" ht="30" customHeight="1" x14ac:dyDescent="0.2">
      <c r="A77" s="421">
        <v>67</v>
      </c>
      <c r="B77" s="426" t="s">
        <v>363</v>
      </c>
      <c r="C77" s="600">
        <v>80578</v>
      </c>
      <c r="D77" s="600"/>
      <c r="E77" s="642"/>
      <c r="F77" s="670"/>
      <c r="G77" s="663"/>
    </row>
    <row r="78" spans="1:7" ht="29.25" customHeight="1" x14ac:dyDescent="0.2">
      <c r="A78" s="421">
        <v>68</v>
      </c>
      <c r="B78" s="426" t="s">
        <v>867</v>
      </c>
      <c r="C78" s="600">
        <v>5100</v>
      </c>
      <c r="D78" s="600">
        <v>5100</v>
      </c>
      <c r="E78" s="642">
        <v>5100</v>
      </c>
      <c r="F78" s="670">
        <v>5100</v>
      </c>
      <c r="G78" s="663"/>
    </row>
    <row r="79" spans="1:7" ht="30" customHeight="1" x14ac:dyDescent="0.2">
      <c r="A79" s="421">
        <v>69</v>
      </c>
      <c r="B79" s="426" t="s">
        <v>933</v>
      </c>
      <c r="C79" s="601">
        <v>5200</v>
      </c>
      <c r="D79" s="601">
        <v>5200</v>
      </c>
      <c r="E79" s="652"/>
      <c r="F79" s="671"/>
      <c r="G79" s="664">
        <v>6000</v>
      </c>
    </row>
    <row r="80" spans="1:7" ht="22.5" customHeight="1" x14ac:dyDescent="0.2">
      <c r="A80" s="421">
        <v>70</v>
      </c>
      <c r="B80" s="426" t="s">
        <v>868</v>
      </c>
      <c r="C80" s="601">
        <f t="shared" ref="C80:E80" si="3">15*12</f>
        <v>180</v>
      </c>
      <c r="D80" s="601">
        <f t="shared" si="3"/>
        <v>180</v>
      </c>
      <c r="E80" s="652">
        <f t="shared" si="3"/>
        <v>180</v>
      </c>
      <c r="F80" s="671">
        <v>180</v>
      </c>
      <c r="G80" s="664"/>
    </row>
    <row r="81" spans="1:7" ht="22.5" customHeight="1" x14ac:dyDescent="0.2">
      <c r="A81" s="421">
        <v>71</v>
      </c>
      <c r="B81" s="426" t="s">
        <v>934</v>
      </c>
      <c r="C81" s="601">
        <v>417000</v>
      </c>
      <c r="D81" s="601"/>
      <c r="E81" s="652"/>
      <c r="F81" s="671"/>
      <c r="G81" s="664"/>
    </row>
    <row r="82" spans="1:7" ht="51" customHeight="1" x14ac:dyDescent="0.2">
      <c r="A82" s="421">
        <v>72</v>
      </c>
      <c r="B82" s="653" t="s">
        <v>935</v>
      </c>
      <c r="C82" s="654">
        <f>1224*1.27</f>
        <v>1554.48</v>
      </c>
      <c r="D82" s="654"/>
      <c r="E82" s="652"/>
      <c r="F82" s="671"/>
      <c r="G82" s="665">
        <f>15*12</f>
        <v>180</v>
      </c>
    </row>
    <row r="83" spans="1:7" ht="49.5" x14ac:dyDescent="0.2">
      <c r="A83" s="421">
        <v>73</v>
      </c>
      <c r="B83" s="653" t="s">
        <v>936</v>
      </c>
      <c r="C83" s="654">
        <v>2896</v>
      </c>
      <c r="D83" s="654"/>
      <c r="E83" s="652"/>
      <c r="F83" s="671"/>
      <c r="G83" s="665"/>
    </row>
    <row r="84" spans="1:7" ht="49.5" customHeight="1" thickBot="1" x14ac:dyDescent="0.25">
      <c r="A84" s="421">
        <v>74</v>
      </c>
      <c r="B84" s="653" t="s">
        <v>937</v>
      </c>
      <c r="C84" s="654">
        <v>94299</v>
      </c>
      <c r="D84" s="654"/>
      <c r="E84" s="652"/>
      <c r="F84" s="671"/>
      <c r="G84" s="665"/>
    </row>
    <row r="85" spans="1:7" s="430" customFormat="1" ht="29.25" customHeight="1" thickBot="1" x14ac:dyDescent="0.25">
      <c r="A85" s="2347" t="s">
        <v>364</v>
      </c>
      <c r="B85" s="2348"/>
      <c r="C85" s="602">
        <f>SUM(C22:C84)</f>
        <v>4337826.08</v>
      </c>
      <c r="D85" s="602">
        <f>SUM(D22:D84)</f>
        <v>3191425</v>
      </c>
      <c r="E85" s="602">
        <f>SUM(E22:E84)</f>
        <v>2392685</v>
      </c>
      <c r="F85" s="1281">
        <f>SUM(F22:F84)</f>
        <v>2374768</v>
      </c>
      <c r="G85" s="666">
        <f>SUM(G28:G84)</f>
        <v>1767014</v>
      </c>
    </row>
    <row r="86" spans="1:7" s="430" customFormat="1" ht="30" customHeight="1" thickBot="1" x14ac:dyDescent="0.25">
      <c r="A86" s="2349" t="s">
        <v>13</v>
      </c>
      <c r="B86" s="2350"/>
      <c r="C86" s="603">
        <f>SUM(C85,C21)</f>
        <v>5478851.0800000001</v>
      </c>
      <c r="D86" s="603">
        <f>SUM(D85,D21)</f>
        <v>3204425</v>
      </c>
      <c r="E86" s="603">
        <f>SUM(E85,E21)</f>
        <v>2405685</v>
      </c>
      <c r="F86" s="1282">
        <f>SUM(F85,F21)</f>
        <v>2374768</v>
      </c>
      <c r="G86" s="667" t="e">
        <f>SUM(G85,#REF!)</f>
        <v>#REF!</v>
      </c>
    </row>
    <row r="89" spans="1:7" ht="17.25" x14ac:dyDescent="0.2">
      <c r="B89" s="687"/>
    </row>
    <row r="90" spans="1:7" ht="17.25" x14ac:dyDescent="0.2">
      <c r="B90" s="687"/>
    </row>
  </sheetData>
  <mergeCells count="13">
    <mergeCell ref="A21:B21"/>
    <mergeCell ref="A85:B85"/>
    <mergeCell ref="A86:B86"/>
    <mergeCell ref="G7:G8"/>
    <mergeCell ref="B1:C1"/>
    <mergeCell ref="A3:F3"/>
    <mergeCell ref="A4:F4"/>
    <mergeCell ref="A7:A8"/>
    <mergeCell ref="B7:B8"/>
    <mergeCell ref="C7:C8"/>
    <mergeCell ref="D7:D8"/>
    <mergeCell ref="E7:E8"/>
    <mergeCell ref="F7:F8"/>
  </mergeCells>
  <printOptions horizontalCentered="1"/>
  <pageMargins left="0.19685039370078741" right="0.19685039370078741" top="0.59055118110236227" bottom="0.19685039370078741" header="0.51181102362204722" footer="0.51181102362204722"/>
  <pageSetup paperSize="9" scale="77" fitToHeight="0" orientation="portrait" r:id="rId1"/>
  <headerFooter>
    <oddFooter>&amp;C
- &amp;P -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7"/>
  <sheetViews>
    <sheetView view="pageBreakPreview" zoomScale="90" zoomScaleNormal="100" zoomScaleSheetLayoutView="90" workbookViewId="0">
      <selection activeCell="C23" sqref="C23"/>
    </sheetView>
  </sheetViews>
  <sheetFormatPr defaultColWidth="9.85546875" defaultRowHeight="16.5" x14ac:dyDescent="0.3"/>
  <cols>
    <col min="1" max="1" width="3.7109375" style="537" customWidth="1"/>
    <col min="2" max="2" width="3.7109375" style="538" customWidth="1"/>
    <col min="3" max="3" width="18.85546875" style="556" customWidth="1"/>
    <col min="4" max="4" width="19.7109375" style="538" customWidth="1"/>
    <col min="5" max="5" width="13.5703125" style="538" customWidth="1"/>
    <col min="6" max="8" width="11.7109375" style="538" customWidth="1"/>
    <col min="9" max="9" width="13.42578125" style="538" customWidth="1"/>
    <col min="10" max="11" width="12.7109375" style="538" customWidth="1"/>
    <col min="12" max="18" width="11.7109375" style="538" customWidth="1"/>
    <col min="19" max="21" width="11.7109375" style="539" customWidth="1"/>
    <col min="22" max="249" width="8" style="539" customWidth="1"/>
    <col min="250" max="250" width="2.42578125" style="539" bestFit="1" customWidth="1"/>
    <col min="251" max="251" width="28.28515625" style="539" bestFit="1" customWidth="1"/>
    <col min="252" max="252" width="14.28515625" style="539" bestFit="1" customWidth="1"/>
    <col min="253" max="253" width="13.5703125" style="539" bestFit="1" customWidth="1"/>
    <col min="254" max="254" width="10.7109375" style="539" bestFit="1" customWidth="1"/>
    <col min="255" max="255" width="9.42578125" style="539" bestFit="1" customWidth="1"/>
    <col min="256" max="256" width="9.85546875" style="539" bestFit="1"/>
    <col min="257" max="16384" width="9.85546875" style="539"/>
  </cols>
  <sheetData>
    <row r="1" spans="1:21" x14ac:dyDescent="0.3">
      <c r="B1" s="2093" t="s">
        <v>908</v>
      </c>
      <c r="C1" s="2093"/>
      <c r="D1" s="2093"/>
      <c r="E1" s="2093"/>
      <c r="F1" s="2093"/>
    </row>
    <row r="2" spans="1:21" s="540" customFormat="1" ht="17.25" x14ac:dyDescent="0.2">
      <c r="A2" s="537"/>
      <c r="B2" s="2369" t="s">
        <v>122</v>
      </c>
      <c r="C2" s="2369"/>
      <c r="D2" s="2369"/>
      <c r="E2" s="2369"/>
      <c r="F2" s="2369"/>
      <c r="G2" s="2369"/>
      <c r="H2" s="2369"/>
      <c r="I2" s="2369"/>
      <c r="J2" s="2369"/>
      <c r="K2" s="2369"/>
      <c r="L2" s="2369"/>
      <c r="M2" s="2369"/>
      <c r="N2" s="2369"/>
      <c r="O2" s="2369"/>
      <c r="P2" s="2369"/>
      <c r="Q2" s="2369"/>
      <c r="R2" s="2369"/>
      <c r="S2" s="2369"/>
      <c r="T2" s="2369"/>
      <c r="U2" s="2369"/>
    </row>
    <row r="3" spans="1:21" s="540" customFormat="1" ht="17.25" x14ac:dyDescent="0.2">
      <c r="A3" s="537"/>
      <c r="B3" s="2369" t="s">
        <v>14</v>
      </c>
      <c r="C3" s="2369"/>
      <c r="D3" s="2369"/>
      <c r="E3" s="2369"/>
      <c r="F3" s="2369"/>
      <c r="G3" s="2369"/>
      <c r="H3" s="2369"/>
      <c r="I3" s="2369"/>
      <c r="J3" s="2369"/>
      <c r="K3" s="2369"/>
      <c r="L3" s="2369"/>
      <c r="M3" s="2369"/>
      <c r="N3" s="2369"/>
      <c r="O3" s="2369"/>
      <c r="P3" s="2369"/>
      <c r="Q3" s="2369"/>
      <c r="R3" s="2369"/>
      <c r="S3" s="2369"/>
      <c r="T3" s="2369"/>
      <c r="U3" s="2369"/>
    </row>
    <row r="4" spans="1:21" s="540" customFormat="1" ht="17.25" x14ac:dyDescent="0.2">
      <c r="A4" s="537"/>
      <c r="B4" s="2369" t="s">
        <v>365</v>
      </c>
      <c r="C4" s="2369"/>
      <c r="D4" s="2369"/>
      <c r="E4" s="2369"/>
      <c r="F4" s="2369"/>
      <c r="G4" s="2369"/>
      <c r="H4" s="2369"/>
      <c r="I4" s="2369"/>
      <c r="J4" s="2369"/>
      <c r="K4" s="2369"/>
      <c r="L4" s="2369"/>
      <c r="M4" s="2369"/>
      <c r="N4" s="2369"/>
      <c r="O4" s="2369"/>
      <c r="P4" s="2369"/>
      <c r="Q4" s="2369"/>
      <c r="R4" s="2369"/>
      <c r="S4" s="2369"/>
      <c r="T4" s="2369"/>
      <c r="U4" s="2369"/>
    </row>
    <row r="5" spans="1:21" ht="17.25" x14ac:dyDescent="0.35"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  <c r="S5" s="541"/>
      <c r="T5" s="2370" t="s">
        <v>0</v>
      </c>
      <c r="U5" s="2370"/>
    </row>
    <row r="6" spans="1:21" ht="17.25" thickBot="1" x14ac:dyDescent="0.35">
      <c r="B6" s="2366" t="s">
        <v>1</v>
      </c>
      <c r="C6" s="2366"/>
      <c r="D6" s="542" t="s">
        <v>3</v>
      </c>
      <c r="E6" s="542" t="s">
        <v>2</v>
      </c>
      <c r="F6" s="542" t="s">
        <v>4</v>
      </c>
      <c r="G6" s="542" t="s">
        <v>5</v>
      </c>
      <c r="H6" s="542" t="s">
        <v>15</v>
      </c>
      <c r="I6" s="542" t="s">
        <v>16</v>
      </c>
      <c r="J6" s="542" t="s">
        <v>17</v>
      </c>
      <c r="K6" s="542" t="s">
        <v>36</v>
      </c>
      <c r="L6" s="542" t="s">
        <v>30</v>
      </c>
      <c r="M6" s="542" t="s">
        <v>23</v>
      </c>
      <c r="N6" s="542" t="s">
        <v>37</v>
      </c>
      <c r="O6" s="542" t="s">
        <v>38</v>
      </c>
      <c r="P6" s="542" t="s">
        <v>160</v>
      </c>
      <c r="Q6" s="542" t="s">
        <v>161</v>
      </c>
      <c r="R6" s="543" t="s">
        <v>162</v>
      </c>
      <c r="S6" s="543" t="s">
        <v>366</v>
      </c>
      <c r="T6" s="543" t="s">
        <v>603</v>
      </c>
      <c r="U6" s="543" t="s">
        <v>604</v>
      </c>
    </row>
    <row r="7" spans="1:21" s="537" customFormat="1" ht="99.75" customHeight="1" thickBot="1" x14ac:dyDescent="0.25">
      <c r="B7" s="2367" t="s">
        <v>367</v>
      </c>
      <c r="C7" s="2368"/>
      <c r="D7" s="412" t="s">
        <v>368</v>
      </c>
      <c r="E7" s="412" t="s">
        <v>369</v>
      </c>
      <c r="F7" s="412" t="s">
        <v>370</v>
      </c>
      <c r="G7" s="412" t="s">
        <v>371</v>
      </c>
      <c r="H7" s="412" t="s">
        <v>837</v>
      </c>
      <c r="I7" s="412" t="s">
        <v>906</v>
      </c>
      <c r="J7" s="412" t="s">
        <v>838</v>
      </c>
      <c r="K7" s="412" t="s">
        <v>839</v>
      </c>
      <c r="L7" s="412" t="s">
        <v>425</v>
      </c>
      <c r="M7" s="412" t="s">
        <v>840</v>
      </c>
      <c r="N7" s="412" t="s">
        <v>426</v>
      </c>
      <c r="O7" s="412" t="s">
        <v>521</v>
      </c>
      <c r="P7" s="412" t="s">
        <v>605</v>
      </c>
      <c r="Q7" s="412" t="s">
        <v>841</v>
      </c>
      <c r="R7" s="412" t="s">
        <v>842</v>
      </c>
      <c r="S7" s="412" t="s">
        <v>522</v>
      </c>
      <c r="T7" s="412" t="s">
        <v>606</v>
      </c>
      <c r="U7" s="681" t="s">
        <v>843</v>
      </c>
    </row>
    <row r="8" spans="1:21" ht="33" customHeight="1" thickTop="1" x14ac:dyDescent="0.3">
      <c r="A8" s="537">
        <v>1</v>
      </c>
      <c r="B8" s="544" t="s">
        <v>130</v>
      </c>
      <c r="C8" s="413" t="s">
        <v>427</v>
      </c>
      <c r="D8" s="545" t="s">
        <v>372</v>
      </c>
      <c r="E8" s="536" t="s">
        <v>844</v>
      </c>
      <c r="F8" s="414">
        <v>44104</v>
      </c>
      <c r="G8" s="415">
        <v>1500000</v>
      </c>
      <c r="H8" s="415">
        <v>0</v>
      </c>
      <c r="I8" s="415"/>
      <c r="J8" s="415">
        <v>0</v>
      </c>
      <c r="K8" s="415">
        <v>0</v>
      </c>
      <c r="L8" s="415">
        <v>0</v>
      </c>
      <c r="M8" s="415">
        <f t="shared" ref="M8:M13" si="0">H8+J8-L8+I8</f>
        <v>0</v>
      </c>
      <c r="N8" s="415">
        <f>4000+10000</f>
        <v>14000</v>
      </c>
      <c r="O8" s="415">
        <v>0</v>
      </c>
      <c r="P8" s="415"/>
      <c r="Q8" s="415"/>
      <c r="R8" s="415"/>
      <c r="S8" s="415"/>
      <c r="T8" s="415"/>
      <c r="U8" s="682"/>
    </row>
    <row r="9" spans="1:21" ht="33" x14ac:dyDescent="0.3">
      <c r="A9" s="537">
        <v>2</v>
      </c>
      <c r="B9" s="546" t="s">
        <v>137</v>
      </c>
      <c r="C9" s="547" t="s">
        <v>373</v>
      </c>
      <c r="D9" s="416" t="s">
        <v>374</v>
      </c>
      <c r="E9" s="548">
        <v>40736</v>
      </c>
      <c r="F9" s="548">
        <v>48040</v>
      </c>
      <c r="G9" s="1101">
        <v>484000</v>
      </c>
      <c r="H9" s="1101">
        <v>39625</v>
      </c>
      <c r="I9" s="1101"/>
      <c r="J9" s="1101">
        <v>0</v>
      </c>
      <c r="K9" s="1101">
        <v>0</v>
      </c>
      <c r="L9" s="1101">
        <v>12340</v>
      </c>
      <c r="M9" s="1101">
        <f t="shared" si="0"/>
        <v>27285</v>
      </c>
      <c r="N9" s="1101">
        <v>818</v>
      </c>
      <c r="O9" s="1101">
        <v>12341</v>
      </c>
      <c r="P9" s="1101">
        <v>12340</v>
      </c>
      <c r="Q9" s="1101">
        <v>2604</v>
      </c>
      <c r="R9" s="1101">
        <f>M9-O9-P9-Q9</f>
        <v>0</v>
      </c>
      <c r="S9" s="1101">
        <v>530</v>
      </c>
      <c r="T9" s="1101">
        <v>241</v>
      </c>
      <c r="U9" s="1102">
        <v>15</v>
      </c>
    </row>
    <row r="10" spans="1:21" ht="38.25" customHeight="1" x14ac:dyDescent="0.3">
      <c r="A10" s="537">
        <v>3</v>
      </c>
      <c r="B10" s="546" t="s">
        <v>138</v>
      </c>
      <c r="C10" s="547" t="s">
        <v>375</v>
      </c>
      <c r="D10" s="416" t="s">
        <v>374</v>
      </c>
      <c r="E10" s="548">
        <v>41502</v>
      </c>
      <c r="F10" s="548">
        <v>45153</v>
      </c>
      <c r="G10" s="1101">
        <v>650000</v>
      </c>
      <c r="H10" s="1101">
        <v>46681</v>
      </c>
      <c r="I10" s="1101"/>
      <c r="J10" s="1101">
        <v>0</v>
      </c>
      <c r="K10" s="1101">
        <v>0</v>
      </c>
      <c r="L10" s="1101">
        <v>46681</v>
      </c>
      <c r="M10" s="1101">
        <f t="shared" si="0"/>
        <v>0</v>
      </c>
      <c r="N10" s="1101">
        <v>686</v>
      </c>
      <c r="O10" s="1101">
        <v>0</v>
      </c>
      <c r="P10" s="1101">
        <v>0</v>
      </c>
      <c r="Q10" s="1101"/>
      <c r="R10" s="1101"/>
      <c r="S10" s="1101">
        <v>0</v>
      </c>
      <c r="T10" s="1101">
        <v>0</v>
      </c>
      <c r="U10" s="1102"/>
    </row>
    <row r="11" spans="1:21" ht="38.25" customHeight="1" x14ac:dyDescent="0.3">
      <c r="A11" s="537">
        <v>4</v>
      </c>
      <c r="B11" s="546" t="s">
        <v>139</v>
      </c>
      <c r="C11" s="547" t="s">
        <v>376</v>
      </c>
      <c r="D11" s="416" t="s">
        <v>377</v>
      </c>
      <c r="E11" s="548">
        <v>41555</v>
      </c>
      <c r="F11" s="548">
        <v>48859</v>
      </c>
      <c r="G11" s="1101">
        <v>200000</v>
      </c>
      <c r="H11" s="1101">
        <v>112411</v>
      </c>
      <c r="I11" s="1101"/>
      <c r="J11" s="1101">
        <v>0</v>
      </c>
      <c r="K11" s="1101">
        <v>0</v>
      </c>
      <c r="L11" s="1101">
        <v>8918</v>
      </c>
      <c r="M11" s="1101">
        <f t="shared" si="0"/>
        <v>103493</v>
      </c>
      <c r="N11" s="1101">
        <v>3406</v>
      </c>
      <c r="O11" s="1101">
        <v>8918</v>
      </c>
      <c r="P11" s="1101">
        <v>8918</v>
      </c>
      <c r="Q11" s="1101">
        <v>8918</v>
      </c>
      <c r="R11" s="1101">
        <f>M11-O11-P11-Q11</f>
        <v>76739</v>
      </c>
      <c r="S11" s="1101">
        <v>3128</v>
      </c>
      <c r="T11" s="1101">
        <v>2829</v>
      </c>
      <c r="U11" s="1102">
        <v>2571</v>
      </c>
    </row>
    <row r="12" spans="1:21" ht="35.25" customHeight="1" x14ac:dyDescent="0.3">
      <c r="A12" s="537">
        <v>5</v>
      </c>
      <c r="B12" s="546" t="s">
        <v>140</v>
      </c>
      <c r="C12" s="547" t="s">
        <v>428</v>
      </c>
      <c r="D12" s="416" t="s">
        <v>374</v>
      </c>
      <c r="E12" s="548">
        <v>41759</v>
      </c>
      <c r="F12" s="548">
        <v>49064</v>
      </c>
      <c r="G12" s="1101">
        <v>200000</v>
      </c>
      <c r="H12" s="1101">
        <v>128840</v>
      </c>
      <c r="I12" s="1101"/>
      <c r="J12" s="1101">
        <v>0</v>
      </c>
      <c r="K12" s="1101">
        <v>0</v>
      </c>
      <c r="L12" s="1101">
        <v>8886</v>
      </c>
      <c r="M12" s="1101">
        <f t="shared" si="0"/>
        <v>119954</v>
      </c>
      <c r="N12" s="1101">
        <v>2869</v>
      </c>
      <c r="O12" s="1101">
        <v>8886</v>
      </c>
      <c r="P12" s="1101">
        <v>8886</v>
      </c>
      <c r="Q12" s="1101">
        <v>8886</v>
      </c>
      <c r="R12" s="1101">
        <f>M12-P12-Q12-O12</f>
        <v>93296</v>
      </c>
      <c r="S12" s="1101">
        <v>2666</v>
      </c>
      <c r="T12" s="1101">
        <v>2463</v>
      </c>
      <c r="U12" s="1102">
        <v>2260</v>
      </c>
    </row>
    <row r="13" spans="1:21" ht="36" customHeight="1" x14ac:dyDescent="0.3">
      <c r="A13" s="537">
        <v>6</v>
      </c>
      <c r="B13" s="549" t="s">
        <v>225</v>
      </c>
      <c r="C13" s="550" t="s">
        <v>429</v>
      </c>
      <c r="D13" s="417" t="s">
        <v>372</v>
      </c>
      <c r="E13" s="551">
        <v>41759</v>
      </c>
      <c r="F13" s="551">
        <v>45285</v>
      </c>
      <c r="G13" s="1103">
        <v>151317</v>
      </c>
      <c r="H13" s="1103">
        <v>77521</v>
      </c>
      <c r="I13" s="1103"/>
      <c r="J13" s="1103">
        <v>0</v>
      </c>
      <c r="K13" s="1103">
        <v>0</v>
      </c>
      <c r="L13" s="1103">
        <v>19679</v>
      </c>
      <c r="M13" s="1103">
        <f t="shared" si="0"/>
        <v>57842</v>
      </c>
      <c r="N13" s="1103">
        <v>1192</v>
      </c>
      <c r="O13" s="1103">
        <v>19679</v>
      </c>
      <c r="P13" s="1103">
        <v>19678</v>
      </c>
      <c r="Q13" s="1103">
        <v>18485</v>
      </c>
      <c r="R13" s="1101">
        <f>M13-P13-Q13-O13</f>
        <v>0</v>
      </c>
      <c r="S13" s="1103">
        <v>858</v>
      </c>
      <c r="T13" s="1103">
        <v>523</v>
      </c>
      <c r="U13" s="1104">
        <v>187</v>
      </c>
    </row>
    <row r="14" spans="1:21" ht="33" customHeight="1" x14ac:dyDescent="0.3">
      <c r="A14" s="537">
        <v>7</v>
      </c>
      <c r="B14" s="549" t="s">
        <v>378</v>
      </c>
      <c r="C14" s="550" t="s">
        <v>916</v>
      </c>
      <c r="D14" s="417" t="s">
        <v>372</v>
      </c>
      <c r="E14" s="551">
        <v>42943</v>
      </c>
      <c r="F14" s="551">
        <v>46568</v>
      </c>
      <c r="G14" s="1103">
        <v>99000</v>
      </c>
      <c r="H14" s="1103">
        <v>93000</v>
      </c>
      <c r="I14" s="1103"/>
      <c r="J14" s="1103">
        <v>0</v>
      </c>
      <c r="K14" s="1103">
        <v>0</v>
      </c>
      <c r="L14" s="1103">
        <v>12000</v>
      </c>
      <c r="M14" s="1103">
        <f>H14+J14-L14+I14</f>
        <v>81000</v>
      </c>
      <c r="N14" s="1103">
        <v>1336</v>
      </c>
      <c r="O14" s="1103">
        <v>12000</v>
      </c>
      <c r="P14" s="1103">
        <v>12000</v>
      </c>
      <c r="Q14" s="1103">
        <v>12000</v>
      </c>
      <c r="R14" s="1101">
        <f>M14-P14-Q14-O14</f>
        <v>45000</v>
      </c>
      <c r="S14" s="1103">
        <v>1155</v>
      </c>
      <c r="T14" s="1103">
        <v>974</v>
      </c>
      <c r="U14" s="1104">
        <v>793</v>
      </c>
    </row>
    <row r="15" spans="1:21" ht="33" customHeight="1" x14ac:dyDescent="0.3">
      <c r="A15" s="537">
        <v>8</v>
      </c>
      <c r="B15" s="549" t="s">
        <v>607</v>
      </c>
      <c r="C15" s="550" t="s">
        <v>917</v>
      </c>
      <c r="D15" s="417" t="s">
        <v>372</v>
      </c>
      <c r="E15" s="551">
        <v>43641</v>
      </c>
      <c r="F15" s="551">
        <v>47299</v>
      </c>
      <c r="G15" s="1103">
        <v>1260000</v>
      </c>
      <c r="H15" s="1103">
        <v>0</v>
      </c>
      <c r="I15" s="1103"/>
      <c r="J15" s="1103">
        <v>629000</v>
      </c>
      <c r="K15" s="1103">
        <v>631000</v>
      </c>
      <c r="L15" s="1103">
        <v>0</v>
      </c>
      <c r="M15" s="1103">
        <f>H15+J15-L15+I15+K15</f>
        <v>1260000</v>
      </c>
      <c r="N15" s="1103">
        <v>13999</v>
      </c>
      <c r="O15" s="1103">
        <v>76364</v>
      </c>
      <c r="P15" s="1103">
        <v>152727</v>
      </c>
      <c r="Q15" s="1103">
        <v>152727</v>
      </c>
      <c r="R15" s="1103">
        <f>M15-P15-Q15-O15</f>
        <v>878182</v>
      </c>
      <c r="S15" s="1103">
        <v>15881</v>
      </c>
      <c r="T15" s="1103">
        <v>13305</v>
      </c>
      <c r="U15" s="1104">
        <v>12365</v>
      </c>
    </row>
    <row r="16" spans="1:21" s="540" customFormat="1" ht="30" customHeight="1" thickBot="1" x14ac:dyDescent="0.25">
      <c r="A16" s="537">
        <v>9</v>
      </c>
      <c r="B16" s="552" t="s">
        <v>845</v>
      </c>
      <c r="C16" s="553" t="s">
        <v>918</v>
      </c>
      <c r="D16" s="641"/>
      <c r="E16" s="1105" t="s">
        <v>846</v>
      </c>
      <c r="F16" s="1105" t="s">
        <v>847</v>
      </c>
      <c r="G16" s="1106">
        <v>149000</v>
      </c>
      <c r="H16" s="1106">
        <v>0</v>
      </c>
      <c r="I16" s="1106"/>
      <c r="J16" s="1106">
        <v>0</v>
      </c>
      <c r="K16" s="1106">
        <v>149800</v>
      </c>
      <c r="L16" s="1106">
        <v>0</v>
      </c>
      <c r="M16" s="1106">
        <v>149800</v>
      </c>
      <c r="N16" s="1106">
        <v>2277</v>
      </c>
      <c r="O16" s="1106">
        <v>0</v>
      </c>
      <c r="P16" s="1106">
        <v>9079</v>
      </c>
      <c r="Q16" s="1106">
        <v>18157</v>
      </c>
      <c r="R16" s="1106">
        <f>M16-P16-Q16-O16</f>
        <v>122564</v>
      </c>
      <c r="S16" s="1106">
        <v>3726</v>
      </c>
      <c r="T16" s="1106">
        <v>3310</v>
      </c>
      <c r="U16" s="1107">
        <v>2849</v>
      </c>
    </row>
    <row r="17" spans="1:21" ht="30" customHeight="1" thickTop="1" thickBot="1" x14ac:dyDescent="0.35">
      <c r="A17" s="537">
        <v>10</v>
      </c>
      <c r="B17" s="554" t="s">
        <v>256</v>
      </c>
      <c r="C17" s="555" t="s">
        <v>379</v>
      </c>
      <c r="D17" s="555"/>
      <c r="E17" s="555"/>
      <c r="F17" s="555"/>
      <c r="G17" s="555"/>
      <c r="H17" s="555">
        <f>SUM(H8:H16)</f>
        <v>498078</v>
      </c>
      <c r="I17" s="555">
        <f t="shared" ref="I17:U17" si="1">SUM(I8:I16)</f>
        <v>0</v>
      </c>
      <c r="J17" s="555">
        <f t="shared" si="1"/>
        <v>629000</v>
      </c>
      <c r="K17" s="555">
        <f t="shared" si="1"/>
        <v>780800</v>
      </c>
      <c r="L17" s="555">
        <f t="shared" si="1"/>
        <v>108504</v>
      </c>
      <c r="M17" s="555">
        <f t="shared" si="1"/>
        <v>1799374</v>
      </c>
      <c r="N17" s="555">
        <f t="shared" si="1"/>
        <v>40583</v>
      </c>
      <c r="O17" s="555">
        <f t="shared" si="1"/>
        <v>138188</v>
      </c>
      <c r="P17" s="555">
        <f t="shared" si="1"/>
        <v>223628</v>
      </c>
      <c r="Q17" s="555">
        <f t="shared" si="1"/>
        <v>221777</v>
      </c>
      <c r="R17" s="555">
        <f t="shared" si="1"/>
        <v>1215781</v>
      </c>
      <c r="S17" s="555">
        <f t="shared" si="1"/>
        <v>27944</v>
      </c>
      <c r="T17" s="555">
        <f t="shared" si="1"/>
        <v>23645</v>
      </c>
      <c r="U17" s="683">
        <f t="shared" si="1"/>
        <v>21040</v>
      </c>
    </row>
  </sheetData>
  <mergeCells count="7">
    <mergeCell ref="B1:F1"/>
    <mergeCell ref="B6:C6"/>
    <mergeCell ref="B7:C7"/>
    <mergeCell ref="B2:U2"/>
    <mergeCell ref="B3:U3"/>
    <mergeCell ref="B4:U4"/>
    <mergeCell ref="T5:U5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8" fitToHeight="0" orientation="landscape" verticalDpi="300" r:id="rId1"/>
  <headerFooter>
    <oddFooter>&amp;C- &amp;P -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33"/>
  <sheetViews>
    <sheetView view="pageBreakPreview" zoomScaleNormal="100" zoomScaleSheetLayoutView="100" workbookViewId="0">
      <selection activeCell="D16" sqref="D16"/>
    </sheetView>
  </sheetViews>
  <sheetFormatPr defaultColWidth="3" defaultRowHeight="17.25" x14ac:dyDescent="0.3"/>
  <cols>
    <col min="1" max="1" width="3.28515625" style="610" bestFit="1" customWidth="1"/>
    <col min="2" max="2" width="5.140625" style="615" customWidth="1"/>
    <col min="3" max="3" width="4.42578125" style="616" customWidth="1"/>
    <col min="4" max="4" width="58.140625" style="616" customWidth="1"/>
    <col min="5" max="5" width="16" style="617" customWidth="1"/>
    <col min="6" max="6" width="15.85546875" style="614" customWidth="1"/>
    <col min="7" max="250" width="8" style="614" customWidth="1"/>
    <col min="251" max="251" width="3" style="614" bestFit="1" customWidth="1"/>
    <col min="252" max="16384" width="3" style="41"/>
  </cols>
  <sheetData>
    <row r="1" spans="1:252" x14ac:dyDescent="0.3">
      <c r="B1" s="2392" t="s">
        <v>911</v>
      </c>
      <c r="C1" s="2392"/>
      <c r="D1" s="2393"/>
      <c r="E1" s="611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612"/>
      <c r="Y1" s="612"/>
      <c r="Z1" s="612"/>
      <c r="AA1" s="612"/>
      <c r="AB1" s="612"/>
      <c r="AC1" s="612"/>
      <c r="AD1" s="612"/>
      <c r="AE1" s="612"/>
      <c r="AF1" s="612"/>
      <c r="AG1" s="612"/>
      <c r="AH1" s="612"/>
      <c r="AI1" s="612"/>
      <c r="AJ1" s="612"/>
      <c r="AK1" s="612"/>
      <c r="AL1" s="612"/>
      <c r="AM1" s="612"/>
      <c r="AN1" s="612"/>
      <c r="AO1" s="612"/>
      <c r="AP1" s="612"/>
      <c r="AQ1" s="612"/>
      <c r="AR1" s="612"/>
      <c r="AS1" s="612"/>
      <c r="AT1" s="612"/>
      <c r="AU1" s="612"/>
      <c r="AV1" s="612"/>
      <c r="AW1" s="612"/>
      <c r="AX1" s="612"/>
      <c r="AY1" s="612"/>
      <c r="AZ1" s="612"/>
      <c r="BA1" s="612"/>
      <c r="BB1" s="612"/>
      <c r="BC1" s="612"/>
      <c r="BD1" s="612"/>
      <c r="BE1" s="612"/>
      <c r="BF1" s="612"/>
      <c r="BG1" s="612"/>
      <c r="BH1" s="612"/>
      <c r="BI1" s="612"/>
      <c r="BJ1" s="612"/>
      <c r="BK1" s="612"/>
      <c r="BL1" s="612"/>
      <c r="BM1" s="612"/>
      <c r="BN1" s="612"/>
      <c r="BO1" s="612"/>
      <c r="BP1" s="612"/>
      <c r="BQ1" s="612"/>
      <c r="BR1" s="612"/>
      <c r="BS1" s="612"/>
      <c r="BT1" s="612"/>
      <c r="BU1" s="612"/>
      <c r="BV1" s="612"/>
      <c r="BW1" s="612"/>
      <c r="BX1" s="612"/>
      <c r="BY1" s="612"/>
      <c r="BZ1" s="612"/>
      <c r="CA1" s="612"/>
      <c r="CB1" s="612"/>
      <c r="CC1" s="612"/>
      <c r="CD1" s="612"/>
      <c r="CE1" s="612"/>
      <c r="CF1" s="612"/>
      <c r="CG1" s="612"/>
      <c r="CH1" s="612"/>
      <c r="CI1" s="612"/>
      <c r="CJ1" s="612"/>
      <c r="CK1" s="612"/>
      <c r="CL1" s="612"/>
      <c r="CM1" s="612"/>
      <c r="CN1" s="612"/>
      <c r="CO1" s="612"/>
      <c r="CP1" s="612"/>
      <c r="CQ1" s="612"/>
      <c r="CR1" s="612"/>
      <c r="CS1" s="612"/>
      <c r="CT1" s="612"/>
      <c r="CU1" s="612"/>
      <c r="CV1" s="612"/>
      <c r="CW1" s="612"/>
      <c r="CX1" s="612"/>
      <c r="CY1" s="612"/>
      <c r="CZ1" s="612"/>
      <c r="DA1" s="612"/>
      <c r="DB1" s="612"/>
      <c r="DC1" s="612"/>
      <c r="DD1" s="612"/>
      <c r="DE1" s="612"/>
      <c r="DF1" s="612"/>
      <c r="DG1" s="612"/>
      <c r="DH1" s="612"/>
      <c r="DI1" s="612"/>
      <c r="DJ1" s="612"/>
      <c r="DK1" s="612"/>
      <c r="DL1" s="612"/>
      <c r="DM1" s="612"/>
      <c r="DN1" s="612"/>
      <c r="DO1" s="612"/>
      <c r="DP1" s="612"/>
      <c r="DQ1" s="612"/>
      <c r="DR1" s="612"/>
      <c r="DS1" s="612"/>
      <c r="DT1" s="612"/>
      <c r="DU1" s="612"/>
      <c r="DV1" s="612"/>
      <c r="DW1" s="612"/>
      <c r="DX1" s="612"/>
      <c r="DY1" s="612"/>
      <c r="DZ1" s="612"/>
      <c r="EA1" s="612"/>
      <c r="EB1" s="612"/>
      <c r="EC1" s="612"/>
      <c r="ED1" s="612"/>
      <c r="EE1" s="612"/>
      <c r="EF1" s="612"/>
      <c r="EG1" s="612"/>
      <c r="EH1" s="612"/>
      <c r="EI1" s="612"/>
      <c r="EJ1" s="612"/>
      <c r="EK1" s="612"/>
      <c r="EL1" s="612"/>
      <c r="EM1" s="612"/>
      <c r="EN1" s="612"/>
      <c r="EO1" s="612"/>
      <c r="EP1" s="612"/>
      <c r="EQ1" s="612"/>
      <c r="ER1" s="612"/>
      <c r="ES1" s="612"/>
      <c r="ET1" s="612"/>
      <c r="EU1" s="612"/>
      <c r="EV1" s="612"/>
      <c r="EW1" s="612"/>
      <c r="EX1" s="612"/>
      <c r="EY1" s="612"/>
      <c r="EZ1" s="612"/>
      <c r="FA1" s="612"/>
      <c r="FB1" s="612"/>
      <c r="FC1" s="612"/>
      <c r="FD1" s="612"/>
      <c r="FE1" s="612"/>
      <c r="FF1" s="612"/>
      <c r="FG1" s="612"/>
      <c r="FH1" s="612"/>
      <c r="FI1" s="612"/>
      <c r="FJ1" s="612"/>
      <c r="FK1" s="612"/>
      <c r="FL1" s="612"/>
      <c r="FM1" s="612"/>
      <c r="FN1" s="612"/>
      <c r="FO1" s="612"/>
      <c r="FP1" s="612"/>
      <c r="FQ1" s="612"/>
      <c r="FR1" s="612"/>
      <c r="FS1" s="612"/>
      <c r="FT1" s="612"/>
      <c r="FU1" s="612"/>
      <c r="FV1" s="612"/>
      <c r="FW1" s="612"/>
      <c r="FX1" s="612"/>
      <c r="FY1" s="612"/>
      <c r="FZ1" s="612"/>
      <c r="GA1" s="612"/>
      <c r="GB1" s="612"/>
      <c r="GC1" s="612"/>
      <c r="GD1" s="612"/>
      <c r="GE1" s="612"/>
      <c r="GF1" s="612"/>
      <c r="GG1" s="612"/>
      <c r="GH1" s="612"/>
      <c r="GI1" s="612"/>
      <c r="GJ1" s="612"/>
      <c r="GK1" s="612"/>
      <c r="GL1" s="612"/>
      <c r="GM1" s="612"/>
      <c r="GN1" s="612"/>
      <c r="GO1" s="612"/>
      <c r="GP1" s="612"/>
      <c r="GQ1" s="612"/>
      <c r="GR1" s="612"/>
      <c r="GS1" s="612"/>
      <c r="GT1" s="612"/>
      <c r="GU1" s="612"/>
      <c r="GV1" s="612"/>
      <c r="GW1" s="612"/>
      <c r="GX1" s="612"/>
      <c r="GY1" s="612"/>
      <c r="GZ1" s="612"/>
      <c r="HA1" s="612"/>
      <c r="HB1" s="612"/>
      <c r="HC1" s="612"/>
      <c r="HD1" s="612"/>
      <c r="HE1" s="612"/>
      <c r="HF1" s="612"/>
      <c r="HG1" s="612"/>
      <c r="HH1" s="612"/>
      <c r="HI1" s="612"/>
      <c r="HJ1" s="612"/>
      <c r="HK1" s="612"/>
      <c r="HL1" s="612"/>
      <c r="HM1" s="612"/>
      <c r="HN1" s="612"/>
      <c r="HO1" s="612"/>
      <c r="HP1" s="612"/>
      <c r="HQ1" s="612"/>
      <c r="HR1" s="612"/>
      <c r="HS1" s="612"/>
      <c r="HT1" s="612"/>
      <c r="HU1" s="612"/>
      <c r="HV1" s="612"/>
      <c r="HW1" s="612"/>
      <c r="HX1" s="612"/>
      <c r="HY1" s="612"/>
      <c r="HZ1" s="612"/>
      <c r="IA1" s="612"/>
      <c r="IB1" s="612"/>
      <c r="IC1" s="612"/>
      <c r="ID1" s="612"/>
      <c r="IE1" s="612"/>
      <c r="IF1" s="612"/>
      <c r="IG1" s="612"/>
      <c r="IH1" s="612"/>
      <c r="II1" s="612"/>
      <c r="IJ1" s="612"/>
      <c r="IK1" s="612"/>
      <c r="IL1" s="612"/>
      <c r="IM1" s="612"/>
      <c r="IN1" s="612"/>
      <c r="IO1" s="612"/>
      <c r="IP1" s="612"/>
      <c r="IQ1" s="612"/>
      <c r="IR1" s="238"/>
    </row>
    <row r="2" spans="1:252" x14ac:dyDescent="0.3">
      <c r="B2" s="1119"/>
      <c r="C2" s="1119"/>
      <c r="D2" s="1119"/>
      <c r="E2" s="611"/>
      <c r="F2" s="612"/>
      <c r="G2" s="612"/>
      <c r="H2" s="612"/>
      <c r="I2" s="612"/>
      <c r="J2" s="612"/>
      <c r="K2" s="612"/>
      <c r="L2" s="612"/>
      <c r="M2" s="612"/>
      <c r="N2" s="612"/>
      <c r="O2" s="612"/>
      <c r="P2" s="612"/>
      <c r="Q2" s="612"/>
      <c r="R2" s="612"/>
      <c r="S2" s="612"/>
      <c r="T2" s="612"/>
      <c r="U2" s="612"/>
      <c r="V2" s="612"/>
      <c r="W2" s="612"/>
      <c r="X2" s="612"/>
      <c r="Y2" s="612"/>
      <c r="Z2" s="612"/>
      <c r="AA2" s="612"/>
      <c r="AB2" s="612"/>
      <c r="AC2" s="612"/>
      <c r="AD2" s="612"/>
      <c r="AE2" s="612"/>
      <c r="AF2" s="612"/>
      <c r="AG2" s="612"/>
      <c r="AH2" s="612"/>
      <c r="AI2" s="612"/>
      <c r="AJ2" s="612"/>
      <c r="AK2" s="612"/>
      <c r="AL2" s="612"/>
      <c r="AM2" s="612"/>
      <c r="AN2" s="612"/>
      <c r="AO2" s="612"/>
      <c r="AP2" s="612"/>
      <c r="AQ2" s="612"/>
      <c r="AR2" s="612"/>
      <c r="AS2" s="612"/>
      <c r="AT2" s="612"/>
      <c r="AU2" s="612"/>
      <c r="AV2" s="612"/>
      <c r="AW2" s="612"/>
      <c r="AX2" s="612"/>
      <c r="AY2" s="612"/>
      <c r="AZ2" s="612"/>
      <c r="BA2" s="612"/>
      <c r="BB2" s="612"/>
      <c r="BC2" s="612"/>
      <c r="BD2" s="612"/>
      <c r="BE2" s="612"/>
      <c r="BF2" s="612"/>
      <c r="BG2" s="612"/>
      <c r="BH2" s="612"/>
      <c r="BI2" s="612"/>
      <c r="BJ2" s="612"/>
      <c r="BK2" s="612"/>
      <c r="BL2" s="612"/>
      <c r="BM2" s="612"/>
      <c r="BN2" s="612"/>
      <c r="BO2" s="612"/>
      <c r="BP2" s="612"/>
      <c r="BQ2" s="612"/>
      <c r="BR2" s="612"/>
      <c r="BS2" s="612"/>
      <c r="BT2" s="612"/>
      <c r="BU2" s="612"/>
      <c r="BV2" s="612"/>
      <c r="BW2" s="612"/>
      <c r="BX2" s="612"/>
      <c r="BY2" s="612"/>
      <c r="BZ2" s="612"/>
      <c r="CA2" s="612"/>
      <c r="CB2" s="612"/>
      <c r="CC2" s="612"/>
      <c r="CD2" s="612"/>
      <c r="CE2" s="612"/>
      <c r="CF2" s="612"/>
      <c r="CG2" s="612"/>
      <c r="CH2" s="612"/>
      <c r="CI2" s="612"/>
      <c r="CJ2" s="612"/>
      <c r="CK2" s="612"/>
      <c r="CL2" s="612"/>
      <c r="CM2" s="612"/>
      <c r="CN2" s="612"/>
      <c r="CO2" s="612"/>
      <c r="CP2" s="612"/>
      <c r="CQ2" s="612"/>
      <c r="CR2" s="612"/>
      <c r="CS2" s="612"/>
      <c r="CT2" s="612"/>
      <c r="CU2" s="612"/>
      <c r="CV2" s="612"/>
      <c r="CW2" s="612"/>
      <c r="CX2" s="612"/>
      <c r="CY2" s="612"/>
      <c r="CZ2" s="612"/>
      <c r="DA2" s="612"/>
      <c r="DB2" s="612"/>
      <c r="DC2" s="612"/>
      <c r="DD2" s="612"/>
      <c r="DE2" s="612"/>
      <c r="DF2" s="612"/>
      <c r="DG2" s="612"/>
      <c r="DH2" s="612"/>
      <c r="DI2" s="612"/>
      <c r="DJ2" s="612"/>
      <c r="DK2" s="612"/>
      <c r="DL2" s="612"/>
      <c r="DM2" s="612"/>
      <c r="DN2" s="612"/>
      <c r="DO2" s="612"/>
      <c r="DP2" s="612"/>
      <c r="DQ2" s="612"/>
      <c r="DR2" s="612"/>
      <c r="DS2" s="612"/>
      <c r="DT2" s="612"/>
      <c r="DU2" s="612"/>
      <c r="DV2" s="612"/>
      <c r="DW2" s="612"/>
      <c r="DX2" s="612"/>
      <c r="DY2" s="612"/>
      <c r="DZ2" s="612"/>
      <c r="EA2" s="612"/>
      <c r="EB2" s="612"/>
      <c r="EC2" s="612"/>
      <c r="ED2" s="612"/>
      <c r="EE2" s="612"/>
      <c r="EF2" s="612"/>
      <c r="EG2" s="612"/>
      <c r="EH2" s="612"/>
      <c r="EI2" s="612"/>
      <c r="EJ2" s="612"/>
      <c r="EK2" s="612"/>
      <c r="EL2" s="612"/>
      <c r="EM2" s="612"/>
      <c r="EN2" s="612"/>
      <c r="EO2" s="612"/>
      <c r="EP2" s="612"/>
      <c r="EQ2" s="612"/>
      <c r="ER2" s="612"/>
      <c r="ES2" s="612"/>
      <c r="ET2" s="612"/>
      <c r="EU2" s="612"/>
      <c r="EV2" s="612"/>
      <c r="EW2" s="612"/>
      <c r="EX2" s="612"/>
      <c r="EY2" s="612"/>
      <c r="EZ2" s="612"/>
      <c r="FA2" s="612"/>
      <c r="FB2" s="612"/>
      <c r="FC2" s="612"/>
      <c r="FD2" s="612"/>
      <c r="FE2" s="612"/>
      <c r="FF2" s="612"/>
      <c r="FG2" s="612"/>
      <c r="FH2" s="612"/>
      <c r="FI2" s="612"/>
      <c r="FJ2" s="612"/>
      <c r="FK2" s="612"/>
      <c r="FL2" s="612"/>
      <c r="FM2" s="612"/>
      <c r="FN2" s="612"/>
      <c r="FO2" s="612"/>
      <c r="FP2" s="612"/>
      <c r="FQ2" s="612"/>
      <c r="FR2" s="612"/>
      <c r="FS2" s="612"/>
      <c r="FT2" s="612"/>
      <c r="FU2" s="612"/>
      <c r="FV2" s="612"/>
      <c r="FW2" s="612"/>
      <c r="FX2" s="612"/>
      <c r="FY2" s="612"/>
      <c r="FZ2" s="612"/>
      <c r="GA2" s="612"/>
      <c r="GB2" s="612"/>
      <c r="GC2" s="612"/>
      <c r="GD2" s="612"/>
      <c r="GE2" s="612"/>
      <c r="GF2" s="612"/>
      <c r="GG2" s="612"/>
      <c r="GH2" s="612"/>
      <c r="GI2" s="612"/>
      <c r="GJ2" s="612"/>
      <c r="GK2" s="612"/>
      <c r="GL2" s="612"/>
      <c r="GM2" s="612"/>
      <c r="GN2" s="612"/>
      <c r="GO2" s="612"/>
      <c r="GP2" s="612"/>
      <c r="GQ2" s="612"/>
      <c r="GR2" s="612"/>
      <c r="GS2" s="612"/>
      <c r="GT2" s="612"/>
      <c r="GU2" s="612"/>
      <c r="GV2" s="612"/>
      <c r="GW2" s="612"/>
      <c r="GX2" s="612"/>
      <c r="GY2" s="612"/>
      <c r="GZ2" s="612"/>
      <c r="HA2" s="612"/>
      <c r="HB2" s="612"/>
      <c r="HC2" s="612"/>
      <c r="HD2" s="612"/>
      <c r="HE2" s="612"/>
      <c r="HF2" s="612"/>
      <c r="HG2" s="612"/>
      <c r="HH2" s="612"/>
      <c r="HI2" s="612"/>
      <c r="HJ2" s="612"/>
      <c r="HK2" s="612"/>
      <c r="HL2" s="612"/>
      <c r="HM2" s="612"/>
      <c r="HN2" s="612"/>
      <c r="HO2" s="612"/>
      <c r="HP2" s="612"/>
      <c r="HQ2" s="612"/>
      <c r="HR2" s="612"/>
      <c r="HS2" s="612"/>
      <c r="HT2" s="612"/>
      <c r="HU2" s="612"/>
      <c r="HV2" s="612"/>
      <c r="HW2" s="612"/>
      <c r="HX2" s="612"/>
      <c r="HY2" s="612"/>
      <c r="HZ2" s="612"/>
      <c r="IA2" s="612"/>
      <c r="IB2" s="612"/>
      <c r="IC2" s="612"/>
      <c r="ID2" s="612"/>
      <c r="IE2" s="612"/>
      <c r="IF2" s="612"/>
      <c r="IG2" s="612"/>
      <c r="IH2" s="612"/>
      <c r="II2" s="612"/>
      <c r="IJ2" s="612"/>
      <c r="IK2" s="612"/>
      <c r="IL2" s="612"/>
      <c r="IM2" s="612"/>
      <c r="IN2" s="612"/>
      <c r="IO2" s="612"/>
      <c r="IP2" s="612"/>
      <c r="IQ2" s="612"/>
      <c r="IR2" s="238"/>
    </row>
    <row r="3" spans="1:252" x14ac:dyDescent="0.35">
      <c r="B3" s="2394" t="s">
        <v>914</v>
      </c>
      <c r="C3" s="2394"/>
      <c r="D3" s="2394"/>
      <c r="E3" s="2394"/>
      <c r="F3" s="2394"/>
      <c r="G3" s="613"/>
      <c r="H3" s="613"/>
      <c r="I3" s="613"/>
      <c r="J3" s="613"/>
      <c r="K3" s="613"/>
      <c r="L3" s="613"/>
      <c r="M3" s="613"/>
      <c r="N3" s="613"/>
      <c r="O3" s="613"/>
      <c r="P3" s="613"/>
      <c r="Q3" s="613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613"/>
      <c r="AD3" s="613"/>
      <c r="AE3" s="613"/>
      <c r="AF3" s="613"/>
      <c r="AG3" s="613"/>
      <c r="AH3" s="613"/>
      <c r="AI3" s="613"/>
      <c r="AJ3" s="613"/>
      <c r="AK3" s="613"/>
      <c r="AL3" s="613"/>
      <c r="AM3" s="613"/>
      <c r="AN3" s="613"/>
      <c r="AO3" s="613"/>
      <c r="AP3" s="613"/>
      <c r="AQ3" s="613"/>
      <c r="AR3" s="613"/>
      <c r="AS3" s="613"/>
      <c r="AT3" s="613"/>
      <c r="AU3" s="613"/>
      <c r="AV3" s="613"/>
      <c r="AW3" s="613"/>
      <c r="AX3" s="613"/>
      <c r="AY3" s="613"/>
      <c r="AZ3" s="613"/>
      <c r="BA3" s="613"/>
      <c r="BB3" s="613"/>
      <c r="BC3" s="613"/>
      <c r="BD3" s="613"/>
      <c r="BE3" s="613"/>
      <c r="BF3" s="613"/>
      <c r="BG3" s="613"/>
      <c r="BH3" s="613"/>
      <c r="BI3" s="613"/>
      <c r="BJ3" s="613"/>
      <c r="BK3" s="613"/>
      <c r="BL3" s="613"/>
      <c r="BM3" s="613"/>
      <c r="BN3" s="613"/>
      <c r="BO3" s="613"/>
      <c r="BP3" s="613"/>
      <c r="BQ3" s="613"/>
      <c r="BR3" s="613"/>
      <c r="BS3" s="613"/>
      <c r="BT3" s="613"/>
      <c r="BU3" s="613"/>
      <c r="BV3" s="613"/>
      <c r="BW3" s="613"/>
      <c r="BX3" s="613"/>
      <c r="BY3" s="613"/>
      <c r="BZ3" s="613"/>
      <c r="CA3" s="613"/>
      <c r="CB3" s="613"/>
      <c r="CC3" s="613"/>
      <c r="CD3" s="613"/>
      <c r="CE3" s="613"/>
      <c r="CF3" s="613"/>
      <c r="CG3" s="613"/>
      <c r="CH3" s="613"/>
      <c r="CI3" s="613"/>
      <c r="CJ3" s="613"/>
      <c r="CK3" s="613"/>
      <c r="CL3" s="613"/>
      <c r="CM3" s="613"/>
      <c r="CN3" s="613"/>
      <c r="CO3" s="613"/>
      <c r="CP3" s="613"/>
      <c r="CQ3" s="613"/>
      <c r="CR3" s="613"/>
      <c r="CS3" s="613"/>
      <c r="CT3" s="613"/>
      <c r="CU3" s="613"/>
      <c r="CV3" s="613"/>
      <c r="CW3" s="613"/>
      <c r="CX3" s="613"/>
      <c r="CY3" s="613"/>
      <c r="CZ3" s="613"/>
      <c r="DA3" s="613"/>
      <c r="DB3" s="613"/>
      <c r="DC3" s="613"/>
      <c r="DD3" s="613"/>
      <c r="DE3" s="613"/>
      <c r="DF3" s="613"/>
      <c r="DG3" s="613"/>
      <c r="DH3" s="613"/>
      <c r="DI3" s="613"/>
      <c r="DJ3" s="613"/>
      <c r="DK3" s="613"/>
      <c r="DL3" s="613"/>
      <c r="DM3" s="613"/>
      <c r="DN3" s="613"/>
      <c r="DO3" s="613"/>
      <c r="DP3" s="613"/>
      <c r="DQ3" s="613"/>
      <c r="DR3" s="613"/>
      <c r="DS3" s="613"/>
      <c r="DT3" s="613"/>
      <c r="DU3" s="613"/>
      <c r="DV3" s="613"/>
      <c r="DW3" s="613"/>
      <c r="DX3" s="613"/>
      <c r="DY3" s="613"/>
      <c r="DZ3" s="613"/>
      <c r="EA3" s="613"/>
      <c r="EB3" s="613"/>
      <c r="EC3" s="613"/>
      <c r="ED3" s="613"/>
      <c r="EE3" s="613"/>
      <c r="EF3" s="613"/>
      <c r="EG3" s="613"/>
      <c r="EH3" s="613"/>
      <c r="EI3" s="613"/>
      <c r="EJ3" s="613"/>
      <c r="EK3" s="613"/>
      <c r="EL3" s="613"/>
      <c r="EM3" s="613"/>
      <c r="EN3" s="613"/>
      <c r="EO3" s="613"/>
      <c r="EP3" s="613"/>
      <c r="EQ3" s="613"/>
      <c r="ER3" s="613"/>
      <c r="ES3" s="613"/>
      <c r="ET3" s="613"/>
      <c r="EU3" s="613"/>
      <c r="EV3" s="613"/>
      <c r="EW3" s="613"/>
      <c r="EX3" s="613"/>
      <c r="EY3" s="613"/>
      <c r="EZ3" s="613"/>
      <c r="FA3" s="613"/>
      <c r="FB3" s="613"/>
      <c r="FC3" s="613"/>
      <c r="FD3" s="613"/>
      <c r="FE3" s="613"/>
      <c r="FF3" s="613"/>
      <c r="FG3" s="613"/>
      <c r="FH3" s="613"/>
      <c r="FI3" s="613"/>
      <c r="FJ3" s="613"/>
      <c r="FK3" s="613"/>
      <c r="FL3" s="613"/>
      <c r="FM3" s="613"/>
      <c r="FN3" s="613"/>
      <c r="FO3" s="613"/>
      <c r="FP3" s="613"/>
      <c r="FQ3" s="613"/>
      <c r="FR3" s="613"/>
      <c r="FS3" s="613"/>
      <c r="FT3" s="613"/>
      <c r="FU3" s="613"/>
      <c r="FV3" s="613"/>
      <c r="FW3" s="613"/>
      <c r="FX3" s="613"/>
      <c r="FY3" s="613"/>
      <c r="FZ3" s="613"/>
      <c r="GA3" s="613"/>
      <c r="GB3" s="613"/>
      <c r="GC3" s="613"/>
      <c r="GD3" s="613"/>
      <c r="GE3" s="613"/>
      <c r="GF3" s="613"/>
      <c r="GG3" s="613"/>
      <c r="GH3" s="613"/>
      <c r="GI3" s="613"/>
      <c r="GJ3" s="613"/>
      <c r="GK3" s="613"/>
      <c r="GL3" s="613"/>
      <c r="GM3" s="613"/>
      <c r="GN3" s="613"/>
      <c r="GO3" s="613"/>
      <c r="GP3" s="613"/>
      <c r="GQ3" s="613"/>
      <c r="GR3" s="613"/>
      <c r="GS3" s="613"/>
      <c r="GT3" s="613"/>
      <c r="GU3" s="613"/>
      <c r="GV3" s="613"/>
      <c r="GW3" s="613"/>
      <c r="GX3" s="613"/>
      <c r="GY3" s="613"/>
      <c r="GZ3" s="613"/>
      <c r="HA3" s="613"/>
      <c r="HB3" s="613"/>
      <c r="HC3" s="613"/>
      <c r="HD3" s="613"/>
      <c r="HE3" s="613"/>
      <c r="HF3" s="613"/>
      <c r="HG3" s="613"/>
      <c r="HH3" s="613"/>
      <c r="HI3" s="613"/>
      <c r="HJ3" s="613"/>
      <c r="HK3" s="613"/>
      <c r="HL3" s="613"/>
      <c r="HM3" s="613"/>
      <c r="HN3" s="613"/>
      <c r="HO3" s="613"/>
      <c r="HP3" s="613"/>
      <c r="HQ3" s="613"/>
      <c r="HR3" s="613"/>
      <c r="HS3" s="613"/>
      <c r="HT3" s="613"/>
      <c r="HU3" s="613"/>
      <c r="HV3" s="613"/>
      <c r="HW3" s="613"/>
      <c r="HX3" s="613"/>
      <c r="HY3" s="613"/>
      <c r="HZ3" s="613"/>
      <c r="IA3" s="613"/>
      <c r="IB3" s="613"/>
      <c r="IC3" s="613"/>
      <c r="ID3" s="613"/>
      <c r="IE3" s="613"/>
      <c r="IF3" s="613"/>
      <c r="IG3" s="613"/>
      <c r="IH3" s="613"/>
      <c r="II3" s="613"/>
      <c r="IJ3" s="613"/>
      <c r="IK3" s="613"/>
      <c r="IL3" s="613"/>
      <c r="IM3" s="613"/>
      <c r="IN3" s="613"/>
      <c r="IO3" s="613"/>
      <c r="IP3" s="613"/>
      <c r="IQ3" s="613"/>
      <c r="IR3" s="44"/>
    </row>
    <row r="4" spans="1:252" x14ac:dyDescent="0.3">
      <c r="B4" s="2395" t="s">
        <v>919</v>
      </c>
      <c r="C4" s="2395"/>
      <c r="D4" s="2395"/>
      <c r="E4" s="2395"/>
      <c r="F4" s="2395"/>
    </row>
    <row r="5" spans="1:252" x14ac:dyDescent="0.3">
      <c r="B5" s="1271"/>
      <c r="C5" s="1271"/>
      <c r="D5" s="1271"/>
      <c r="E5" s="1271"/>
      <c r="F5" s="1271"/>
    </row>
    <row r="6" spans="1:252" x14ac:dyDescent="0.3">
      <c r="B6" s="1108"/>
      <c r="C6" s="1108"/>
      <c r="D6" s="1108"/>
      <c r="E6" s="1108"/>
      <c r="F6" s="678" t="s">
        <v>0</v>
      </c>
    </row>
    <row r="7" spans="1:252" thickBot="1" x14ac:dyDescent="0.35">
      <c r="B7" s="2401" t="s">
        <v>1</v>
      </c>
      <c r="C7" s="2401"/>
      <c r="D7" s="2401"/>
      <c r="E7" s="619" t="s">
        <v>3</v>
      </c>
      <c r="F7" s="638" t="s">
        <v>2</v>
      </c>
    </row>
    <row r="8" spans="1:252" ht="35.25" customHeight="1" thickBot="1" x14ac:dyDescent="0.35">
      <c r="A8" s="1120">
        <v>1</v>
      </c>
      <c r="B8" s="2389" t="s">
        <v>849</v>
      </c>
      <c r="C8" s="2390"/>
      <c r="D8" s="2391"/>
      <c r="E8" s="1121" t="s">
        <v>869</v>
      </c>
      <c r="F8" s="1121" t="s">
        <v>870</v>
      </c>
      <c r="G8" s="638"/>
      <c r="H8" s="638"/>
      <c r="I8" s="638"/>
      <c r="J8" s="638"/>
      <c r="K8" s="638"/>
      <c r="L8" s="638"/>
      <c r="M8" s="638"/>
      <c r="N8" s="638"/>
      <c r="O8" s="638"/>
      <c r="P8" s="638"/>
      <c r="Q8" s="638"/>
      <c r="R8" s="638"/>
      <c r="S8" s="638"/>
      <c r="T8" s="638"/>
      <c r="U8" s="638"/>
      <c r="V8" s="638"/>
      <c r="W8" s="638"/>
      <c r="X8" s="638"/>
      <c r="Y8" s="638"/>
      <c r="Z8" s="638"/>
      <c r="AA8" s="638"/>
      <c r="AB8" s="638"/>
      <c r="AC8" s="638"/>
      <c r="AD8" s="638"/>
      <c r="AE8" s="638"/>
      <c r="AF8" s="638"/>
      <c r="AG8" s="638"/>
      <c r="AH8" s="638"/>
      <c r="AI8" s="638"/>
      <c r="AJ8" s="638"/>
      <c r="AK8" s="638"/>
      <c r="AL8" s="638"/>
      <c r="AM8" s="638"/>
      <c r="AN8" s="638"/>
      <c r="AO8" s="638"/>
      <c r="AP8" s="638"/>
      <c r="AQ8" s="638"/>
      <c r="AR8" s="638"/>
      <c r="AS8" s="638"/>
      <c r="AT8" s="638"/>
      <c r="AU8" s="638"/>
      <c r="AV8" s="638"/>
      <c r="AW8" s="638"/>
      <c r="AX8" s="638"/>
      <c r="AY8" s="638"/>
      <c r="AZ8" s="638"/>
      <c r="BA8" s="638"/>
      <c r="BB8" s="638"/>
      <c r="BC8" s="638"/>
      <c r="BD8" s="638"/>
      <c r="BE8" s="638"/>
      <c r="BF8" s="638"/>
      <c r="BG8" s="638"/>
      <c r="BH8" s="638"/>
      <c r="BI8" s="638"/>
      <c r="BJ8" s="638"/>
      <c r="BK8" s="638"/>
      <c r="BL8" s="638"/>
      <c r="BM8" s="638"/>
      <c r="BN8" s="638"/>
      <c r="BO8" s="638"/>
      <c r="BP8" s="638"/>
      <c r="BQ8" s="638"/>
      <c r="BR8" s="638"/>
      <c r="BS8" s="638"/>
      <c r="BT8" s="638"/>
      <c r="BU8" s="638"/>
      <c r="BV8" s="638"/>
      <c r="BW8" s="638"/>
      <c r="BX8" s="638"/>
      <c r="BY8" s="638"/>
      <c r="BZ8" s="638"/>
      <c r="CA8" s="638"/>
      <c r="CB8" s="638"/>
      <c r="CC8" s="638"/>
      <c r="CD8" s="638"/>
      <c r="CE8" s="638"/>
      <c r="CF8" s="638"/>
      <c r="CG8" s="638"/>
      <c r="CH8" s="638"/>
      <c r="CI8" s="638"/>
      <c r="CJ8" s="638"/>
      <c r="CK8" s="638"/>
      <c r="CL8" s="638"/>
      <c r="CM8" s="638"/>
      <c r="CN8" s="638"/>
      <c r="CO8" s="638"/>
      <c r="CP8" s="638"/>
      <c r="CQ8" s="638"/>
      <c r="CR8" s="638"/>
      <c r="CS8" s="638"/>
      <c r="CT8" s="638"/>
      <c r="CU8" s="638"/>
      <c r="CV8" s="638"/>
      <c r="CW8" s="638"/>
      <c r="CX8" s="638"/>
      <c r="CY8" s="638"/>
      <c r="CZ8" s="638"/>
      <c r="DA8" s="638"/>
      <c r="DB8" s="638"/>
      <c r="DC8" s="638"/>
      <c r="DD8" s="638"/>
      <c r="DE8" s="638"/>
      <c r="DF8" s="638"/>
      <c r="DG8" s="638"/>
      <c r="DH8" s="638"/>
      <c r="DI8" s="638"/>
      <c r="DJ8" s="638"/>
      <c r="DK8" s="638"/>
      <c r="DL8" s="638"/>
      <c r="DM8" s="638"/>
      <c r="DN8" s="638"/>
      <c r="DO8" s="638"/>
      <c r="DP8" s="638"/>
      <c r="DQ8" s="638"/>
      <c r="DR8" s="638"/>
      <c r="DS8" s="638"/>
      <c r="DT8" s="638"/>
      <c r="DU8" s="638"/>
      <c r="DV8" s="638"/>
      <c r="DW8" s="638"/>
      <c r="DX8" s="638"/>
      <c r="DY8" s="638"/>
      <c r="DZ8" s="638"/>
      <c r="EA8" s="638"/>
      <c r="EB8" s="638"/>
      <c r="EC8" s="638"/>
      <c r="ED8" s="638"/>
      <c r="EE8" s="638"/>
      <c r="EF8" s="638"/>
      <c r="EG8" s="638"/>
      <c r="EH8" s="638"/>
      <c r="EI8" s="638"/>
      <c r="EJ8" s="638"/>
      <c r="EK8" s="638"/>
      <c r="EL8" s="638"/>
      <c r="EM8" s="638"/>
      <c r="EN8" s="638"/>
      <c r="EO8" s="638"/>
      <c r="EP8" s="638"/>
      <c r="EQ8" s="638"/>
      <c r="ER8" s="638"/>
      <c r="ES8" s="638"/>
      <c r="ET8" s="638"/>
      <c r="EU8" s="638"/>
      <c r="EV8" s="638"/>
      <c r="EW8" s="638"/>
      <c r="EX8" s="638"/>
      <c r="EY8" s="638"/>
      <c r="EZ8" s="638"/>
      <c r="FA8" s="638"/>
      <c r="FB8" s="638"/>
      <c r="FC8" s="638"/>
      <c r="FD8" s="638"/>
      <c r="FE8" s="638"/>
      <c r="FF8" s="638"/>
      <c r="FG8" s="638"/>
      <c r="FH8" s="638"/>
      <c r="FI8" s="638"/>
      <c r="FJ8" s="638"/>
      <c r="FK8" s="638"/>
      <c r="FL8" s="638"/>
      <c r="FM8" s="638"/>
      <c r="FN8" s="638"/>
      <c r="FO8" s="638"/>
      <c r="FP8" s="638"/>
      <c r="FQ8" s="638"/>
      <c r="FR8" s="638"/>
      <c r="FS8" s="638"/>
      <c r="FT8" s="638"/>
      <c r="FU8" s="638"/>
      <c r="FV8" s="638"/>
      <c r="FW8" s="638"/>
      <c r="FX8" s="638"/>
      <c r="FY8" s="638"/>
      <c r="FZ8" s="638"/>
      <c r="GA8" s="638"/>
      <c r="GB8" s="638"/>
      <c r="GC8" s="638"/>
      <c r="GD8" s="638"/>
      <c r="GE8" s="638"/>
      <c r="GF8" s="638"/>
      <c r="GG8" s="638"/>
      <c r="GH8" s="638"/>
      <c r="GI8" s="638"/>
      <c r="GJ8" s="638"/>
      <c r="GK8" s="638"/>
      <c r="GL8" s="638"/>
      <c r="GM8" s="638"/>
      <c r="GN8" s="638"/>
      <c r="GO8" s="638"/>
      <c r="GP8" s="638"/>
      <c r="GQ8" s="638"/>
      <c r="GR8" s="638"/>
      <c r="GS8" s="638"/>
      <c r="GT8" s="638"/>
      <c r="GU8" s="638"/>
      <c r="GV8" s="638"/>
      <c r="GW8" s="638"/>
      <c r="GX8" s="638"/>
      <c r="GY8" s="638"/>
      <c r="GZ8" s="638"/>
      <c r="HA8" s="638"/>
      <c r="HB8" s="638"/>
      <c r="HC8" s="638"/>
      <c r="HD8" s="638"/>
      <c r="HE8" s="638"/>
      <c r="HF8" s="638"/>
      <c r="HG8" s="638"/>
      <c r="HH8" s="638"/>
      <c r="HI8" s="638"/>
      <c r="HJ8" s="638"/>
      <c r="HK8" s="638"/>
      <c r="HL8" s="638"/>
      <c r="HM8" s="638"/>
      <c r="HN8" s="638"/>
      <c r="HO8" s="638"/>
      <c r="HP8" s="638"/>
      <c r="HQ8" s="638"/>
      <c r="HR8" s="638"/>
      <c r="HS8" s="638"/>
      <c r="HT8" s="638"/>
      <c r="HU8" s="638"/>
      <c r="HV8" s="638"/>
      <c r="HW8" s="638"/>
      <c r="HX8" s="638"/>
      <c r="HY8" s="638"/>
      <c r="HZ8" s="638"/>
      <c r="IA8" s="638"/>
      <c r="IB8" s="638"/>
      <c r="IC8" s="638"/>
      <c r="ID8" s="638"/>
      <c r="IE8" s="638"/>
      <c r="IF8" s="638"/>
      <c r="IG8" s="638"/>
      <c r="IH8" s="638"/>
      <c r="II8" s="638"/>
      <c r="IJ8" s="638"/>
      <c r="IK8" s="638"/>
      <c r="IL8" s="638"/>
      <c r="IM8" s="638"/>
      <c r="IN8" s="638"/>
      <c r="IO8" s="638"/>
      <c r="IP8" s="638"/>
      <c r="IQ8" s="638"/>
      <c r="IR8" s="44"/>
    </row>
    <row r="9" spans="1:252" ht="66.95" customHeight="1" x14ac:dyDescent="0.3">
      <c r="A9" s="2371">
        <v>2</v>
      </c>
      <c r="B9" s="2372">
        <v>1</v>
      </c>
      <c r="C9" s="2374" t="s">
        <v>871</v>
      </c>
      <c r="D9" s="2375"/>
      <c r="E9" s="2376">
        <v>50000</v>
      </c>
      <c r="F9" s="2383"/>
    </row>
    <row r="10" spans="1:252" ht="16.5" customHeight="1" thickBot="1" x14ac:dyDescent="0.35">
      <c r="A10" s="2371"/>
      <c r="B10" s="2382"/>
      <c r="C10" s="1122"/>
      <c r="D10" s="1123" t="s">
        <v>726</v>
      </c>
      <c r="E10" s="2378"/>
      <c r="F10" s="2384"/>
      <c r="G10" s="613"/>
      <c r="H10" s="613"/>
      <c r="I10" s="613"/>
      <c r="J10" s="613"/>
      <c r="K10" s="613"/>
      <c r="L10" s="613"/>
      <c r="M10" s="613"/>
      <c r="N10" s="613"/>
      <c r="O10" s="613"/>
      <c r="P10" s="613"/>
      <c r="Q10" s="613"/>
      <c r="R10" s="613"/>
      <c r="S10" s="613"/>
      <c r="T10" s="613"/>
      <c r="U10" s="613"/>
      <c r="V10" s="613"/>
      <c r="W10" s="613"/>
      <c r="X10" s="613"/>
      <c r="Y10" s="613"/>
      <c r="Z10" s="613"/>
      <c r="AA10" s="613"/>
      <c r="AB10" s="613"/>
      <c r="AC10" s="613"/>
      <c r="AD10" s="613"/>
      <c r="AE10" s="613"/>
      <c r="AF10" s="613"/>
      <c r="AG10" s="613"/>
      <c r="AH10" s="613"/>
      <c r="AI10" s="613"/>
      <c r="AJ10" s="613"/>
      <c r="AK10" s="613"/>
      <c r="AL10" s="613"/>
      <c r="AM10" s="613"/>
      <c r="AN10" s="613"/>
      <c r="AO10" s="613"/>
      <c r="AP10" s="613"/>
      <c r="AQ10" s="613"/>
      <c r="AR10" s="613"/>
      <c r="AS10" s="613"/>
      <c r="AT10" s="613"/>
      <c r="AU10" s="613"/>
      <c r="AV10" s="613"/>
      <c r="AW10" s="613"/>
      <c r="AX10" s="613"/>
      <c r="AY10" s="613"/>
      <c r="AZ10" s="613"/>
      <c r="BA10" s="613"/>
      <c r="BB10" s="613"/>
      <c r="BC10" s="613"/>
      <c r="BD10" s="613"/>
      <c r="BE10" s="613"/>
      <c r="BF10" s="613"/>
      <c r="BG10" s="613"/>
      <c r="BH10" s="613"/>
      <c r="BI10" s="613"/>
      <c r="BJ10" s="613"/>
      <c r="BK10" s="613"/>
      <c r="BL10" s="613"/>
      <c r="BM10" s="613"/>
      <c r="BN10" s="613"/>
      <c r="BO10" s="613"/>
      <c r="BP10" s="613"/>
      <c r="BQ10" s="613"/>
      <c r="BR10" s="613"/>
      <c r="BS10" s="613"/>
      <c r="BT10" s="613"/>
      <c r="BU10" s="613"/>
      <c r="BV10" s="613"/>
      <c r="BW10" s="613"/>
      <c r="BX10" s="613"/>
      <c r="BY10" s="613"/>
      <c r="BZ10" s="613"/>
      <c r="CA10" s="613"/>
      <c r="CB10" s="613"/>
      <c r="CC10" s="613"/>
      <c r="CD10" s="613"/>
      <c r="CE10" s="613"/>
      <c r="CF10" s="613"/>
      <c r="CG10" s="613"/>
      <c r="CH10" s="613"/>
      <c r="CI10" s="613"/>
      <c r="CJ10" s="613"/>
      <c r="CK10" s="613"/>
      <c r="CL10" s="613"/>
      <c r="CM10" s="613"/>
      <c r="CN10" s="613"/>
      <c r="CO10" s="613"/>
      <c r="CP10" s="613"/>
      <c r="CQ10" s="613"/>
      <c r="CR10" s="613"/>
      <c r="CS10" s="613"/>
      <c r="CT10" s="613"/>
      <c r="CU10" s="613"/>
      <c r="CV10" s="613"/>
      <c r="CW10" s="613"/>
      <c r="CX10" s="613"/>
      <c r="CY10" s="613"/>
      <c r="CZ10" s="613"/>
      <c r="DA10" s="613"/>
      <c r="DB10" s="613"/>
      <c r="DC10" s="613"/>
      <c r="DD10" s="613"/>
      <c r="DE10" s="613"/>
      <c r="DF10" s="613"/>
      <c r="DG10" s="613"/>
      <c r="DH10" s="613"/>
      <c r="DI10" s="613"/>
      <c r="DJ10" s="613"/>
      <c r="DK10" s="613"/>
      <c r="DL10" s="613"/>
      <c r="DM10" s="613"/>
      <c r="DN10" s="613"/>
      <c r="DO10" s="613"/>
      <c r="DP10" s="613"/>
      <c r="DQ10" s="613"/>
      <c r="DR10" s="613"/>
      <c r="DS10" s="613"/>
      <c r="DT10" s="613"/>
      <c r="DU10" s="613"/>
      <c r="DV10" s="613"/>
      <c r="DW10" s="613"/>
      <c r="DX10" s="613"/>
      <c r="DY10" s="613"/>
      <c r="DZ10" s="613"/>
      <c r="EA10" s="613"/>
      <c r="EB10" s="613"/>
      <c r="EC10" s="613"/>
      <c r="ED10" s="613"/>
      <c r="EE10" s="613"/>
      <c r="EF10" s="613"/>
      <c r="EG10" s="613"/>
      <c r="EH10" s="613"/>
      <c r="EI10" s="613"/>
      <c r="EJ10" s="613"/>
      <c r="EK10" s="613"/>
      <c r="EL10" s="613"/>
      <c r="EM10" s="613"/>
      <c r="EN10" s="613"/>
      <c r="EO10" s="613"/>
      <c r="EP10" s="613"/>
      <c r="EQ10" s="613"/>
      <c r="ER10" s="613"/>
      <c r="ES10" s="613"/>
      <c r="ET10" s="613"/>
      <c r="EU10" s="613"/>
      <c r="EV10" s="613"/>
      <c r="EW10" s="613"/>
      <c r="EX10" s="613"/>
      <c r="EY10" s="613"/>
      <c r="EZ10" s="613"/>
      <c r="FA10" s="613"/>
      <c r="FB10" s="613"/>
      <c r="FC10" s="613"/>
      <c r="FD10" s="613"/>
      <c r="FE10" s="613"/>
      <c r="FF10" s="613"/>
      <c r="FG10" s="613"/>
      <c r="FH10" s="613"/>
      <c r="FI10" s="613"/>
      <c r="FJ10" s="613"/>
      <c r="FK10" s="613"/>
      <c r="FL10" s="613"/>
      <c r="FM10" s="613"/>
      <c r="FN10" s="613"/>
      <c r="FO10" s="613"/>
      <c r="FP10" s="613"/>
      <c r="FQ10" s="613"/>
      <c r="FR10" s="613"/>
      <c r="FS10" s="613"/>
      <c r="FT10" s="613"/>
      <c r="FU10" s="613"/>
      <c r="FV10" s="613"/>
      <c r="FW10" s="613"/>
      <c r="FX10" s="613"/>
      <c r="FY10" s="613"/>
      <c r="FZ10" s="613"/>
      <c r="GA10" s="613"/>
      <c r="GB10" s="613"/>
      <c r="GC10" s="613"/>
      <c r="GD10" s="613"/>
      <c r="GE10" s="613"/>
      <c r="GF10" s="613"/>
      <c r="GG10" s="613"/>
      <c r="GH10" s="613"/>
      <c r="GI10" s="613"/>
      <c r="GJ10" s="613"/>
      <c r="GK10" s="613"/>
      <c r="GL10" s="613"/>
      <c r="GM10" s="613"/>
      <c r="GN10" s="613"/>
      <c r="GO10" s="613"/>
      <c r="GP10" s="613"/>
      <c r="GQ10" s="613"/>
      <c r="GR10" s="613"/>
      <c r="GS10" s="613"/>
      <c r="GT10" s="613"/>
      <c r="GU10" s="613"/>
      <c r="GV10" s="613"/>
      <c r="GW10" s="613"/>
      <c r="GX10" s="613"/>
      <c r="GY10" s="613"/>
      <c r="GZ10" s="613"/>
      <c r="HA10" s="613"/>
      <c r="HB10" s="613"/>
      <c r="HC10" s="613"/>
      <c r="HD10" s="613"/>
      <c r="HE10" s="613"/>
      <c r="HF10" s="613"/>
      <c r="HG10" s="613"/>
      <c r="HH10" s="613"/>
      <c r="HI10" s="613"/>
      <c r="HJ10" s="613"/>
      <c r="HK10" s="613"/>
      <c r="HL10" s="613"/>
      <c r="HM10" s="613"/>
      <c r="HN10" s="613"/>
      <c r="HO10" s="613"/>
      <c r="HP10" s="613"/>
      <c r="HQ10" s="613"/>
      <c r="HR10" s="613"/>
      <c r="HS10" s="613"/>
      <c r="HT10" s="613"/>
      <c r="HU10" s="613"/>
      <c r="HV10" s="613"/>
      <c r="HW10" s="613"/>
      <c r="HX10" s="613"/>
      <c r="HY10" s="613"/>
      <c r="HZ10" s="613"/>
      <c r="IA10" s="613"/>
      <c r="IB10" s="613"/>
      <c r="IC10" s="613"/>
      <c r="ID10" s="613"/>
      <c r="IE10" s="613"/>
      <c r="IF10" s="613"/>
      <c r="IG10" s="613"/>
      <c r="IH10" s="613"/>
      <c r="II10" s="613"/>
      <c r="IJ10" s="613"/>
      <c r="IK10" s="613"/>
      <c r="IL10" s="613"/>
      <c r="IM10" s="613"/>
      <c r="IN10" s="613"/>
      <c r="IO10" s="613"/>
      <c r="IP10" s="613"/>
      <c r="IQ10" s="613"/>
      <c r="IR10" s="44"/>
    </row>
    <row r="11" spans="1:252" ht="36.950000000000003" customHeight="1" x14ac:dyDescent="0.3">
      <c r="A11" s="2371">
        <v>3</v>
      </c>
      <c r="B11" s="2372">
        <v>2</v>
      </c>
      <c r="C11" s="2374" t="s">
        <v>872</v>
      </c>
      <c r="D11" s="2375"/>
      <c r="E11" s="2376">
        <v>50000</v>
      </c>
      <c r="F11" s="2379">
        <v>184000</v>
      </c>
      <c r="G11" s="613"/>
      <c r="H11" s="613"/>
      <c r="I11" s="613"/>
      <c r="J11" s="613"/>
      <c r="K11" s="613"/>
      <c r="L11" s="613"/>
      <c r="M11" s="613"/>
      <c r="N11" s="613" t="s">
        <v>254</v>
      </c>
      <c r="O11" s="613"/>
      <c r="P11" s="613"/>
      <c r="Q11" s="613"/>
      <c r="R11" s="613"/>
      <c r="S11" s="613"/>
      <c r="T11" s="613"/>
      <c r="U11" s="613"/>
      <c r="V11" s="613"/>
      <c r="W11" s="613"/>
      <c r="X11" s="613"/>
      <c r="Y11" s="613"/>
      <c r="Z11" s="613"/>
      <c r="AA11" s="613"/>
      <c r="AB11" s="613"/>
      <c r="AC11" s="613"/>
      <c r="AD11" s="613"/>
      <c r="AE11" s="613"/>
      <c r="AF11" s="613"/>
      <c r="AG11" s="613"/>
      <c r="AH11" s="613"/>
      <c r="AI11" s="613"/>
      <c r="AJ11" s="613"/>
      <c r="AK11" s="613"/>
      <c r="AL11" s="613"/>
      <c r="AM11" s="613"/>
      <c r="AN11" s="613"/>
      <c r="AO11" s="613"/>
      <c r="AP11" s="613"/>
      <c r="AQ11" s="613"/>
      <c r="AR11" s="613"/>
      <c r="AS11" s="613"/>
      <c r="AT11" s="613"/>
      <c r="AU11" s="613"/>
      <c r="AV11" s="613"/>
      <c r="AW11" s="613"/>
      <c r="AX11" s="613"/>
      <c r="AY11" s="613"/>
      <c r="AZ11" s="613"/>
      <c r="BA11" s="613"/>
      <c r="BB11" s="613"/>
      <c r="BC11" s="613"/>
      <c r="BD11" s="613"/>
      <c r="BE11" s="613"/>
      <c r="BF11" s="613"/>
      <c r="BG11" s="613"/>
      <c r="BH11" s="613"/>
      <c r="BI11" s="613"/>
      <c r="BJ11" s="613"/>
      <c r="BK11" s="613"/>
      <c r="BL11" s="613"/>
      <c r="BM11" s="613"/>
      <c r="BN11" s="613"/>
      <c r="BO11" s="613"/>
      <c r="BP11" s="613"/>
      <c r="BQ11" s="613"/>
      <c r="BR11" s="613"/>
      <c r="BS11" s="613"/>
      <c r="BT11" s="613"/>
      <c r="BU11" s="613"/>
      <c r="BV11" s="613"/>
      <c r="BW11" s="613"/>
      <c r="BX11" s="613"/>
      <c r="BY11" s="613"/>
      <c r="BZ11" s="613"/>
      <c r="CA11" s="613"/>
      <c r="CB11" s="613"/>
      <c r="CC11" s="613"/>
      <c r="CD11" s="613"/>
      <c r="CE11" s="613"/>
      <c r="CF11" s="613"/>
      <c r="CG11" s="613"/>
      <c r="CH11" s="613"/>
      <c r="CI11" s="613"/>
      <c r="CJ11" s="613"/>
      <c r="CK11" s="613"/>
      <c r="CL11" s="613"/>
      <c r="CM11" s="613"/>
      <c r="CN11" s="613"/>
      <c r="CO11" s="613"/>
      <c r="CP11" s="613"/>
      <c r="CQ11" s="613"/>
      <c r="CR11" s="613"/>
      <c r="CS11" s="613"/>
      <c r="CT11" s="613"/>
      <c r="CU11" s="613"/>
      <c r="CV11" s="613"/>
      <c r="CW11" s="613"/>
      <c r="CX11" s="613"/>
      <c r="CY11" s="613"/>
      <c r="CZ11" s="613"/>
      <c r="DA11" s="613"/>
      <c r="DB11" s="613"/>
      <c r="DC11" s="613"/>
      <c r="DD11" s="613"/>
      <c r="DE11" s="613"/>
      <c r="DF11" s="613"/>
      <c r="DG11" s="613"/>
      <c r="DH11" s="613"/>
      <c r="DI11" s="613"/>
      <c r="DJ11" s="613"/>
      <c r="DK11" s="613"/>
      <c r="DL11" s="613"/>
      <c r="DM11" s="613"/>
      <c r="DN11" s="613"/>
      <c r="DO11" s="613"/>
      <c r="DP11" s="613"/>
      <c r="DQ11" s="613"/>
      <c r="DR11" s="613"/>
      <c r="DS11" s="613"/>
      <c r="DT11" s="613"/>
      <c r="DU11" s="613"/>
      <c r="DV11" s="613"/>
      <c r="DW11" s="613"/>
      <c r="DX11" s="613"/>
      <c r="DY11" s="613"/>
      <c r="DZ11" s="613"/>
      <c r="EA11" s="613"/>
      <c r="EB11" s="613"/>
      <c r="EC11" s="613"/>
      <c r="ED11" s="613"/>
      <c r="EE11" s="613"/>
      <c r="EF11" s="613"/>
      <c r="EG11" s="613"/>
      <c r="EH11" s="613"/>
      <c r="EI11" s="613"/>
      <c r="EJ11" s="613"/>
      <c r="EK11" s="613"/>
      <c r="EL11" s="613"/>
      <c r="EM11" s="613"/>
      <c r="EN11" s="613"/>
      <c r="EO11" s="613"/>
      <c r="EP11" s="613"/>
      <c r="EQ11" s="613"/>
      <c r="ER11" s="613"/>
      <c r="ES11" s="613"/>
      <c r="ET11" s="613"/>
      <c r="EU11" s="613"/>
      <c r="EV11" s="613"/>
      <c r="EW11" s="613"/>
      <c r="EX11" s="613"/>
      <c r="EY11" s="613"/>
      <c r="EZ11" s="613"/>
      <c r="FA11" s="613"/>
      <c r="FB11" s="613"/>
      <c r="FC11" s="613"/>
      <c r="FD11" s="613"/>
      <c r="FE11" s="613"/>
      <c r="FF11" s="613"/>
      <c r="FG11" s="613"/>
      <c r="FH11" s="613"/>
      <c r="FI11" s="613"/>
      <c r="FJ11" s="613"/>
      <c r="FK11" s="613"/>
      <c r="FL11" s="613"/>
      <c r="FM11" s="613"/>
      <c r="FN11" s="613"/>
      <c r="FO11" s="613"/>
      <c r="FP11" s="613"/>
      <c r="FQ11" s="613"/>
      <c r="FR11" s="613"/>
      <c r="FS11" s="613"/>
      <c r="FT11" s="613"/>
      <c r="FU11" s="613"/>
      <c r="FV11" s="613"/>
      <c r="FW11" s="613"/>
      <c r="FX11" s="613"/>
      <c r="FY11" s="613"/>
      <c r="FZ11" s="613"/>
      <c r="GA11" s="613"/>
      <c r="GB11" s="613"/>
      <c r="GC11" s="613"/>
      <c r="GD11" s="613"/>
      <c r="GE11" s="613"/>
      <c r="GF11" s="613"/>
      <c r="GG11" s="613"/>
      <c r="GH11" s="613"/>
      <c r="GI11" s="613"/>
      <c r="GJ11" s="613"/>
      <c r="GK11" s="613"/>
      <c r="GL11" s="613"/>
      <c r="GM11" s="613"/>
      <c r="GN11" s="613"/>
      <c r="GO11" s="613"/>
      <c r="GP11" s="613"/>
      <c r="GQ11" s="613"/>
      <c r="GR11" s="613"/>
      <c r="GS11" s="613"/>
      <c r="GT11" s="613"/>
      <c r="GU11" s="613"/>
      <c r="GV11" s="613"/>
      <c r="GW11" s="613"/>
      <c r="GX11" s="613"/>
      <c r="GY11" s="613"/>
      <c r="GZ11" s="613"/>
      <c r="HA11" s="613"/>
      <c r="HB11" s="613"/>
      <c r="HC11" s="613"/>
      <c r="HD11" s="613"/>
      <c r="HE11" s="613"/>
      <c r="HF11" s="613"/>
      <c r="HG11" s="613"/>
      <c r="HH11" s="613"/>
      <c r="HI11" s="613"/>
      <c r="HJ11" s="613"/>
      <c r="HK11" s="613"/>
      <c r="HL11" s="613"/>
      <c r="HM11" s="613"/>
      <c r="HN11" s="613"/>
      <c r="HO11" s="613"/>
      <c r="HP11" s="613"/>
      <c r="HQ11" s="613"/>
      <c r="HR11" s="613"/>
      <c r="HS11" s="613"/>
      <c r="HT11" s="613"/>
      <c r="HU11" s="613"/>
      <c r="HV11" s="613"/>
      <c r="HW11" s="613"/>
      <c r="HX11" s="613"/>
      <c r="HY11" s="613"/>
      <c r="HZ11" s="613"/>
      <c r="IA11" s="613"/>
      <c r="IB11" s="613"/>
      <c r="IC11" s="613"/>
      <c r="ID11" s="613"/>
      <c r="IE11" s="613"/>
      <c r="IF11" s="613"/>
      <c r="IG11" s="613"/>
      <c r="IH11" s="613"/>
      <c r="II11" s="613"/>
      <c r="IJ11" s="613"/>
      <c r="IK11" s="613"/>
      <c r="IL11" s="613"/>
      <c r="IM11" s="613"/>
      <c r="IN11" s="613"/>
      <c r="IO11" s="613"/>
      <c r="IP11" s="613"/>
      <c r="IQ11" s="613"/>
      <c r="IR11" s="44"/>
    </row>
    <row r="12" spans="1:252" ht="15.95" customHeight="1" x14ac:dyDescent="0.3">
      <c r="A12" s="2371"/>
      <c r="B12" s="2373"/>
      <c r="C12" s="1124"/>
      <c r="D12" s="1125" t="s">
        <v>392</v>
      </c>
      <c r="E12" s="2377"/>
      <c r="F12" s="2380"/>
      <c r="G12" s="613"/>
      <c r="H12" s="613"/>
      <c r="I12" s="613"/>
      <c r="J12" s="613"/>
      <c r="K12" s="613"/>
      <c r="L12" s="613"/>
      <c r="M12" s="613"/>
      <c r="N12" s="613"/>
      <c r="O12" s="613"/>
      <c r="P12" s="613"/>
      <c r="Q12" s="613"/>
      <c r="R12" s="613"/>
      <c r="S12" s="613"/>
      <c r="T12" s="613"/>
      <c r="U12" s="613"/>
      <c r="V12" s="613"/>
      <c r="W12" s="613"/>
      <c r="X12" s="613"/>
      <c r="Y12" s="613"/>
      <c r="Z12" s="613"/>
      <c r="AA12" s="613"/>
      <c r="AB12" s="613"/>
      <c r="AC12" s="613"/>
      <c r="AD12" s="613"/>
      <c r="AE12" s="613"/>
      <c r="AF12" s="613"/>
      <c r="AG12" s="613"/>
      <c r="AH12" s="613"/>
      <c r="AI12" s="613"/>
      <c r="AJ12" s="613"/>
      <c r="AK12" s="613"/>
      <c r="AL12" s="613"/>
      <c r="AM12" s="613"/>
      <c r="AN12" s="613"/>
      <c r="AO12" s="613"/>
      <c r="AP12" s="613"/>
      <c r="AQ12" s="613"/>
      <c r="AR12" s="613"/>
      <c r="AS12" s="613"/>
      <c r="AT12" s="613"/>
      <c r="AU12" s="613"/>
      <c r="AV12" s="613"/>
      <c r="AW12" s="613"/>
      <c r="AX12" s="613"/>
      <c r="AY12" s="613"/>
      <c r="AZ12" s="613"/>
      <c r="BA12" s="613"/>
      <c r="BB12" s="613"/>
      <c r="BC12" s="613"/>
      <c r="BD12" s="613"/>
      <c r="BE12" s="613"/>
      <c r="BF12" s="613"/>
      <c r="BG12" s="613"/>
      <c r="BH12" s="613"/>
      <c r="BI12" s="613"/>
      <c r="BJ12" s="613"/>
      <c r="BK12" s="613"/>
      <c r="BL12" s="613"/>
      <c r="BM12" s="613"/>
      <c r="BN12" s="613"/>
      <c r="BO12" s="613"/>
      <c r="BP12" s="613"/>
      <c r="BQ12" s="613"/>
      <c r="BR12" s="613"/>
      <c r="BS12" s="613"/>
      <c r="BT12" s="613"/>
      <c r="BU12" s="613"/>
      <c r="BV12" s="613"/>
      <c r="BW12" s="613"/>
      <c r="BX12" s="613"/>
      <c r="BY12" s="613"/>
      <c r="BZ12" s="613"/>
      <c r="CA12" s="613"/>
      <c r="CB12" s="613"/>
      <c r="CC12" s="613"/>
      <c r="CD12" s="613"/>
      <c r="CE12" s="613"/>
      <c r="CF12" s="613"/>
      <c r="CG12" s="613"/>
      <c r="CH12" s="613"/>
      <c r="CI12" s="613"/>
      <c r="CJ12" s="613"/>
      <c r="CK12" s="613"/>
      <c r="CL12" s="613"/>
      <c r="CM12" s="613"/>
      <c r="CN12" s="613"/>
      <c r="CO12" s="613"/>
      <c r="CP12" s="613"/>
      <c r="CQ12" s="613"/>
      <c r="CR12" s="613"/>
      <c r="CS12" s="613"/>
      <c r="CT12" s="613"/>
      <c r="CU12" s="613"/>
      <c r="CV12" s="613"/>
      <c r="CW12" s="613"/>
      <c r="CX12" s="613"/>
      <c r="CY12" s="613"/>
      <c r="CZ12" s="613"/>
      <c r="DA12" s="613"/>
      <c r="DB12" s="613"/>
      <c r="DC12" s="613"/>
      <c r="DD12" s="613"/>
      <c r="DE12" s="613"/>
      <c r="DF12" s="613"/>
      <c r="DG12" s="613"/>
      <c r="DH12" s="613"/>
      <c r="DI12" s="613"/>
      <c r="DJ12" s="613"/>
      <c r="DK12" s="613"/>
      <c r="DL12" s="613"/>
      <c r="DM12" s="613"/>
      <c r="DN12" s="613"/>
      <c r="DO12" s="613"/>
      <c r="DP12" s="613"/>
      <c r="DQ12" s="613"/>
      <c r="DR12" s="613"/>
      <c r="DS12" s="613"/>
      <c r="DT12" s="613"/>
      <c r="DU12" s="613"/>
      <c r="DV12" s="613"/>
      <c r="DW12" s="613"/>
      <c r="DX12" s="613"/>
      <c r="DY12" s="613"/>
      <c r="DZ12" s="613"/>
      <c r="EA12" s="613"/>
      <c r="EB12" s="613"/>
      <c r="EC12" s="613"/>
      <c r="ED12" s="613"/>
      <c r="EE12" s="613"/>
      <c r="EF12" s="613"/>
      <c r="EG12" s="613"/>
      <c r="EH12" s="613"/>
      <c r="EI12" s="613"/>
      <c r="EJ12" s="613"/>
      <c r="EK12" s="613"/>
      <c r="EL12" s="613"/>
      <c r="EM12" s="613"/>
      <c r="EN12" s="613"/>
      <c r="EO12" s="613"/>
      <c r="EP12" s="613"/>
      <c r="EQ12" s="613"/>
      <c r="ER12" s="613"/>
      <c r="ES12" s="613"/>
      <c r="ET12" s="613"/>
      <c r="EU12" s="613"/>
      <c r="EV12" s="613"/>
      <c r="EW12" s="613"/>
      <c r="EX12" s="613"/>
      <c r="EY12" s="613"/>
      <c r="EZ12" s="613"/>
      <c r="FA12" s="613"/>
      <c r="FB12" s="613"/>
      <c r="FC12" s="613"/>
      <c r="FD12" s="613"/>
      <c r="FE12" s="613"/>
      <c r="FF12" s="613"/>
      <c r="FG12" s="613"/>
      <c r="FH12" s="613"/>
      <c r="FI12" s="613"/>
      <c r="FJ12" s="613"/>
      <c r="FK12" s="613"/>
      <c r="FL12" s="613"/>
      <c r="FM12" s="613"/>
      <c r="FN12" s="613"/>
      <c r="FO12" s="613"/>
      <c r="FP12" s="613"/>
      <c r="FQ12" s="613"/>
      <c r="FR12" s="613"/>
      <c r="FS12" s="613"/>
      <c r="FT12" s="613"/>
      <c r="FU12" s="613"/>
      <c r="FV12" s="613"/>
      <c r="FW12" s="613"/>
      <c r="FX12" s="613"/>
      <c r="FY12" s="613"/>
      <c r="FZ12" s="613"/>
      <c r="GA12" s="613"/>
      <c r="GB12" s="613"/>
      <c r="GC12" s="613"/>
      <c r="GD12" s="613"/>
      <c r="GE12" s="613"/>
      <c r="GF12" s="613"/>
      <c r="GG12" s="613"/>
      <c r="GH12" s="613"/>
      <c r="GI12" s="613"/>
      <c r="GJ12" s="613"/>
      <c r="GK12" s="613"/>
      <c r="GL12" s="613"/>
      <c r="GM12" s="613"/>
      <c r="GN12" s="613"/>
      <c r="GO12" s="613"/>
      <c r="GP12" s="613"/>
      <c r="GQ12" s="613"/>
      <c r="GR12" s="613"/>
      <c r="GS12" s="613"/>
      <c r="GT12" s="613"/>
      <c r="GU12" s="613"/>
      <c r="GV12" s="613"/>
      <c r="GW12" s="613"/>
      <c r="GX12" s="613"/>
      <c r="GY12" s="613"/>
      <c r="GZ12" s="613"/>
      <c r="HA12" s="613"/>
      <c r="HB12" s="613"/>
      <c r="HC12" s="613"/>
      <c r="HD12" s="613"/>
      <c r="HE12" s="613"/>
      <c r="HF12" s="613"/>
      <c r="HG12" s="613"/>
      <c r="HH12" s="613"/>
      <c r="HI12" s="613"/>
      <c r="HJ12" s="613"/>
      <c r="HK12" s="613"/>
      <c r="HL12" s="613"/>
      <c r="HM12" s="613"/>
      <c r="HN12" s="613"/>
      <c r="HO12" s="613"/>
      <c r="HP12" s="613"/>
      <c r="HQ12" s="613"/>
      <c r="HR12" s="613"/>
      <c r="HS12" s="613"/>
      <c r="HT12" s="613"/>
      <c r="HU12" s="613"/>
      <c r="HV12" s="613"/>
      <c r="HW12" s="613"/>
      <c r="HX12" s="613"/>
      <c r="HY12" s="613"/>
      <c r="HZ12" s="613"/>
      <c r="IA12" s="613"/>
      <c r="IB12" s="613"/>
      <c r="IC12" s="613"/>
      <c r="ID12" s="613"/>
      <c r="IE12" s="613"/>
      <c r="IF12" s="613"/>
      <c r="IG12" s="613"/>
      <c r="IH12" s="613"/>
      <c r="II12" s="613"/>
      <c r="IJ12" s="613"/>
      <c r="IK12" s="613"/>
      <c r="IL12" s="613"/>
      <c r="IM12" s="613"/>
      <c r="IN12" s="613"/>
      <c r="IO12" s="613"/>
      <c r="IP12" s="613"/>
      <c r="IQ12" s="613"/>
      <c r="IR12" s="44"/>
    </row>
    <row r="13" spans="1:252" ht="17.25" customHeight="1" thickBot="1" x14ac:dyDescent="0.35">
      <c r="A13" s="2371"/>
      <c r="B13" s="2382"/>
      <c r="C13" s="1122"/>
      <c r="D13" s="1123" t="s">
        <v>608</v>
      </c>
      <c r="E13" s="2378"/>
      <c r="F13" s="2381"/>
      <c r="IL13" s="41"/>
      <c r="IM13" s="41"/>
      <c r="IN13" s="41"/>
      <c r="IO13" s="41"/>
      <c r="IP13" s="41"/>
      <c r="IQ13" s="41"/>
    </row>
    <row r="14" spans="1:252" ht="54" customHeight="1" x14ac:dyDescent="0.3">
      <c r="A14" s="2371">
        <v>4</v>
      </c>
      <c r="B14" s="2372">
        <v>3</v>
      </c>
      <c r="C14" s="2386" t="s">
        <v>873</v>
      </c>
      <c r="D14" s="2375"/>
      <c r="E14" s="2376">
        <v>232000</v>
      </c>
      <c r="F14" s="2379">
        <v>109000</v>
      </c>
    </row>
    <row r="15" spans="1:252" ht="33" x14ac:dyDescent="0.3">
      <c r="A15" s="2371"/>
      <c r="B15" s="2373"/>
      <c r="C15" s="1124"/>
      <c r="D15" s="1125" t="s">
        <v>874</v>
      </c>
      <c r="E15" s="2377"/>
      <c r="F15" s="2380"/>
    </row>
    <row r="16" spans="1:252" ht="33" x14ac:dyDescent="0.3">
      <c r="A16" s="2371"/>
      <c r="B16" s="2373"/>
      <c r="C16" s="1124"/>
      <c r="D16" s="1125" t="s">
        <v>875</v>
      </c>
      <c r="E16" s="2377"/>
      <c r="F16" s="2380"/>
    </row>
    <row r="17" spans="1:6" ht="16.5" x14ac:dyDescent="0.3">
      <c r="A17" s="2371"/>
      <c r="B17" s="2373"/>
      <c r="C17" s="1124"/>
      <c r="D17" s="1125" t="s">
        <v>876</v>
      </c>
      <c r="E17" s="2377"/>
      <c r="F17" s="2380"/>
    </row>
    <row r="18" spans="1:6" ht="33.75" thickBot="1" x14ac:dyDescent="0.35">
      <c r="A18" s="2371"/>
      <c r="B18" s="2382"/>
      <c r="C18" s="1122"/>
      <c r="D18" s="1123" t="s">
        <v>877</v>
      </c>
      <c r="E18" s="2378"/>
      <c r="F18" s="2381"/>
    </row>
    <row r="19" spans="1:6" ht="53.1" customHeight="1" x14ac:dyDescent="0.3">
      <c r="A19" s="2371">
        <v>5</v>
      </c>
      <c r="B19" s="2372">
        <v>4</v>
      </c>
      <c r="C19" s="2386" t="s">
        <v>878</v>
      </c>
      <c r="D19" s="2375"/>
      <c r="E19" s="2387"/>
      <c r="F19" s="2379">
        <v>44000</v>
      </c>
    </row>
    <row r="20" spans="1:6" ht="14.1" customHeight="1" x14ac:dyDescent="0.3">
      <c r="A20" s="2371"/>
      <c r="B20" s="2373"/>
      <c r="C20" s="1124"/>
      <c r="D20" s="1125" t="s">
        <v>879</v>
      </c>
      <c r="E20" s="2388"/>
      <c r="F20" s="2380"/>
    </row>
    <row r="21" spans="1:6" ht="15.95" customHeight="1" thickBot="1" x14ac:dyDescent="0.35">
      <c r="A21" s="2371"/>
      <c r="B21" s="2373"/>
      <c r="C21" s="1122"/>
      <c r="D21" s="1123" t="s">
        <v>880</v>
      </c>
      <c r="E21" s="2388"/>
      <c r="F21" s="2380"/>
    </row>
    <row r="22" spans="1:6" ht="66.599999999999994" customHeight="1" x14ac:dyDescent="0.3">
      <c r="A22" s="2371">
        <v>6</v>
      </c>
      <c r="B22" s="2372">
        <v>5</v>
      </c>
      <c r="C22" s="2374" t="s">
        <v>881</v>
      </c>
      <c r="D22" s="2375"/>
      <c r="E22" s="2376">
        <v>297000</v>
      </c>
      <c r="F22" s="2379">
        <v>294000</v>
      </c>
    </row>
    <row r="23" spans="1:6" ht="16.5" x14ac:dyDescent="0.3">
      <c r="A23" s="2371"/>
      <c r="B23" s="2373"/>
      <c r="C23" s="1126"/>
      <c r="D23" s="1127" t="s">
        <v>882</v>
      </c>
      <c r="E23" s="2377"/>
      <c r="F23" s="2380"/>
    </row>
    <row r="24" spans="1:6" ht="33" x14ac:dyDescent="0.3">
      <c r="A24" s="2371"/>
      <c r="B24" s="2373"/>
      <c r="C24" s="1126"/>
      <c r="D24" s="1127" t="s">
        <v>752</v>
      </c>
      <c r="E24" s="2377"/>
      <c r="F24" s="2380"/>
    </row>
    <row r="25" spans="1:6" ht="16.5" x14ac:dyDescent="0.3">
      <c r="A25" s="2371"/>
      <c r="B25" s="2373"/>
      <c r="C25" s="1126"/>
      <c r="D25" s="1127" t="s">
        <v>883</v>
      </c>
      <c r="E25" s="2377"/>
      <c r="F25" s="2380"/>
    </row>
    <row r="26" spans="1:6" ht="33" x14ac:dyDescent="0.3">
      <c r="A26" s="2371"/>
      <c r="B26" s="2373"/>
      <c r="C26" s="1126"/>
      <c r="D26" s="1127" t="s">
        <v>884</v>
      </c>
      <c r="E26" s="2377"/>
      <c r="F26" s="2380"/>
    </row>
    <row r="27" spans="1:6" ht="16.5" x14ac:dyDescent="0.3">
      <c r="A27" s="2371"/>
      <c r="B27" s="2373"/>
      <c r="C27" s="1126"/>
      <c r="D27" s="1127" t="s">
        <v>757</v>
      </c>
      <c r="E27" s="2377"/>
      <c r="F27" s="2380"/>
    </row>
    <row r="28" spans="1:6" ht="16.5" x14ac:dyDescent="0.3">
      <c r="A28" s="2371"/>
      <c r="B28" s="2373"/>
      <c r="C28" s="1126"/>
      <c r="D28" s="1127" t="s">
        <v>725</v>
      </c>
      <c r="E28" s="2377"/>
      <c r="F28" s="2380"/>
    </row>
    <row r="29" spans="1:6" ht="16.5" x14ac:dyDescent="0.3">
      <c r="A29" s="2371"/>
      <c r="B29" s="2373"/>
      <c r="C29" s="1126"/>
      <c r="D29" s="1127" t="s">
        <v>727</v>
      </c>
      <c r="E29" s="2377"/>
      <c r="F29" s="2380"/>
    </row>
    <row r="30" spans="1:6" ht="38.25" customHeight="1" thickBot="1" x14ac:dyDescent="0.35">
      <c r="A30" s="2371"/>
      <c r="B30" s="2373"/>
      <c r="C30" s="1128"/>
      <c r="D30" s="1129" t="s">
        <v>683</v>
      </c>
      <c r="E30" s="2378"/>
      <c r="F30" s="2381"/>
    </row>
    <row r="31" spans="1:6" ht="22.5" customHeight="1" thickBot="1" x14ac:dyDescent="0.35">
      <c r="A31" s="1120">
        <v>7</v>
      </c>
      <c r="B31" s="2396" t="s">
        <v>602</v>
      </c>
      <c r="C31" s="2397"/>
      <c r="D31" s="2398"/>
      <c r="E31" s="1130">
        <v>629000</v>
      </c>
      <c r="F31" s="1131">
        <v>631000</v>
      </c>
    </row>
    <row r="32" spans="1:6" ht="22.5" customHeight="1" thickBot="1" x14ac:dyDescent="0.35">
      <c r="A32" s="1120">
        <v>8</v>
      </c>
      <c r="B32" s="2396" t="s">
        <v>885</v>
      </c>
      <c r="C32" s="2397"/>
      <c r="D32" s="2398"/>
      <c r="E32" s="2399">
        <v>1260000</v>
      </c>
      <c r="F32" s="2400"/>
    </row>
    <row r="33" spans="2:6" ht="63" customHeight="1" x14ac:dyDescent="0.3">
      <c r="B33" s="2385" t="s">
        <v>938</v>
      </c>
      <c r="C33" s="2385"/>
      <c r="D33" s="2385"/>
      <c r="E33" s="2385"/>
      <c r="F33" s="2385"/>
    </row>
  </sheetData>
  <mergeCells count="34">
    <mergeCell ref="B8:D8"/>
    <mergeCell ref="B1:D1"/>
    <mergeCell ref="B3:F3"/>
    <mergeCell ref="B4:F4"/>
    <mergeCell ref="B32:D32"/>
    <mergeCell ref="E32:F32"/>
    <mergeCell ref="B31:D31"/>
    <mergeCell ref="B7:D7"/>
    <mergeCell ref="B33:F33"/>
    <mergeCell ref="A11:A13"/>
    <mergeCell ref="B11:B13"/>
    <mergeCell ref="C11:D11"/>
    <mergeCell ref="E11:E13"/>
    <mergeCell ref="F11:F13"/>
    <mergeCell ref="A19:A21"/>
    <mergeCell ref="B19:B21"/>
    <mergeCell ref="C19:D19"/>
    <mergeCell ref="E19:E21"/>
    <mergeCell ref="F19:F21"/>
    <mergeCell ref="A14:A18"/>
    <mergeCell ref="B14:B18"/>
    <mergeCell ref="C14:D14"/>
    <mergeCell ref="E14:E18"/>
    <mergeCell ref="F14:F18"/>
    <mergeCell ref="A9:A10"/>
    <mergeCell ref="B9:B10"/>
    <mergeCell ref="C9:D9"/>
    <mergeCell ref="E9:E10"/>
    <mergeCell ref="F9:F10"/>
    <mergeCell ref="A22:A30"/>
    <mergeCell ref="B22:B30"/>
    <mergeCell ref="C22:D22"/>
    <mergeCell ref="E22:E30"/>
    <mergeCell ref="F22:F30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84" orientation="portrait" r:id="rId1"/>
  <headerFooter>
    <oddFooter>&amp;C-&amp;P -</oddFooter>
  </headerFooter>
  <rowBreaks count="1" manualBreakCount="1">
    <brk id="21" max="5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13"/>
  <sheetViews>
    <sheetView view="pageBreakPreview" zoomScaleNormal="100" zoomScaleSheetLayoutView="100" workbookViewId="0">
      <selection activeCell="K22" sqref="K22"/>
    </sheetView>
  </sheetViews>
  <sheetFormatPr defaultColWidth="3" defaultRowHeight="17.25" x14ac:dyDescent="0.3"/>
  <cols>
    <col min="1" max="1" width="4.42578125" style="610" customWidth="1"/>
    <col min="2" max="2" width="60.7109375" style="616" customWidth="1"/>
    <col min="3" max="3" width="16" style="617" customWidth="1"/>
    <col min="4" max="250" width="8" style="614" customWidth="1"/>
    <col min="251" max="251" width="3" style="614" bestFit="1" customWidth="1"/>
    <col min="252" max="16384" width="3" style="41"/>
  </cols>
  <sheetData>
    <row r="1" spans="1:252" x14ac:dyDescent="0.3">
      <c r="B1" s="1" t="s">
        <v>912</v>
      </c>
      <c r="C1" s="611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612"/>
      <c r="Y1" s="612"/>
      <c r="Z1" s="612"/>
      <c r="AA1" s="612"/>
      <c r="AB1" s="612"/>
      <c r="AC1" s="612"/>
      <c r="AD1" s="612"/>
      <c r="AE1" s="612"/>
      <c r="AF1" s="612"/>
      <c r="AG1" s="612"/>
      <c r="AH1" s="612"/>
      <c r="AI1" s="612"/>
      <c r="AJ1" s="612"/>
      <c r="AK1" s="612"/>
      <c r="AL1" s="612"/>
      <c r="AM1" s="612"/>
      <c r="AN1" s="612"/>
      <c r="AO1" s="612"/>
      <c r="AP1" s="612"/>
      <c r="AQ1" s="612"/>
      <c r="AR1" s="612"/>
      <c r="AS1" s="612"/>
      <c r="AT1" s="612"/>
      <c r="AU1" s="612"/>
      <c r="AV1" s="612"/>
      <c r="AW1" s="612"/>
      <c r="AX1" s="612"/>
      <c r="AY1" s="612"/>
      <c r="AZ1" s="612"/>
      <c r="BA1" s="612"/>
      <c r="BB1" s="612"/>
      <c r="BC1" s="612"/>
      <c r="BD1" s="612"/>
      <c r="BE1" s="612"/>
      <c r="BF1" s="612"/>
      <c r="BG1" s="612"/>
      <c r="BH1" s="612"/>
      <c r="BI1" s="612"/>
      <c r="BJ1" s="612"/>
      <c r="BK1" s="612"/>
      <c r="BL1" s="612"/>
      <c r="BM1" s="612"/>
      <c r="BN1" s="612"/>
      <c r="BO1" s="612"/>
      <c r="BP1" s="612"/>
      <c r="BQ1" s="612"/>
      <c r="BR1" s="612"/>
      <c r="BS1" s="612"/>
      <c r="BT1" s="612"/>
      <c r="BU1" s="612"/>
      <c r="BV1" s="612"/>
      <c r="BW1" s="612"/>
      <c r="BX1" s="612"/>
      <c r="BY1" s="612"/>
      <c r="BZ1" s="612"/>
      <c r="CA1" s="612"/>
      <c r="CB1" s="612"/>
      <c r="CC1" s="612"/>
      <c r="CD1" s="612"/>
      <c r="CE1" s="612"/>
      <c r="CF1" s="612"/>
      <c r="CG1" s="612"/>
      <c r="CH1" s="612"/>
      <c r="CI1" s="612"/>
      <c r="CJ1" s="612"/>
      <c r="CK1" s="612"/>
      <c r="CL1" s="612"/>
      <c r="CM1" s="612"/>
      <c r="CN1" s="612"/>
      <c r="CO1" s="612"/>
      <c r="CP1" s="612"/>
      <c r="CQ1" s="612"/>
      <c r="CR1" s="612"/>
      <c r="CS1" s="612"/>
      <c r="CT1" s="612"/>
      <c r="CU1" s="612"/>
      <c r="CV1" s="612"/>
      <c r="CW1" s="612"/>
      <c r="CX1" s="612"/>
      <c r="CY1" s="612"/>
      <c r="CZ1" s="612"/>
      <c r="DA1" s="612"/>
      <c r="DB1" s="612"/>
      <c r="DC1" s="612"/>
      <c r="DD1" s="612"/>
      <c r="DE1" s="612"/>
      <c r="DF1" s="612"/>
      <c r="DG1" s="612"/>
      <c r="DH1" s="612"/>
      <c r="DI1" s="612"/>
      <c r="DJ1" s="612"/>
      <c r="DK1" s="612"/>
      <c r="DL1" s="612"/>
      <c r="DM1" s="612"/>
      <c r="DN1" s="612"/>
      <c r="DO1" s="612"/>
      <c r="DP1" s="612"/>
      <c r="DQ1" s="612"/>
      <c r="DR1" s="612"/>
      <c r="DS1" s="612"/>
      <c r="DT1" s="612"/>
      <c r="DU1" s="612"/>
      <c r="DV1" s="612"/>
      <c r="DW1" s="612"/>
      <c r="DX1" s="612"/>
      <c r="DY1" s="612"/>
      <c r="DZ1" s="612"/>
      <c r="EA1" s="612"/>
      <c r="EB1" s="612"/>
      <c r="EC1" s="612"/>
      <c r="ED1" s="612"/>
      <c r="EE1" s="612"/>
      <c r="EF1" s="612"/>
      <c r="EG1" s="612"/>
      <c r="EH1" s="612"/>
      <c r="EI1" s="612"/>
      <c r="EJ1" s="612"/>
      <c r="EK1" s="612"/>
      <c r="EL1" s="612"/>
      <c r="EM1" s="612"/>
      <c r="EN1" s="612"/>
      <c r="EO1" s="612"/>
      <c r="EP1" s="612"/>
      <c r="EQ1" s="612"/>
      <c r="ER1" s="612"/>
      <c r="ES1" s="612"/>
      <c r="ET1" s="612"/>
      <c r="EU1" s="612"/>
      <c r="EV1" s="612"/>
      <c r="EW1" s="612"/>
      <c r="EX1" s="612"/>
      <c r="EY1" s="612"/>
      <c r="EZ1" s="612"/>
      <c r="FA1" s="612"/>
      <c r="FB1" s="612"/>
      <c r="FC1" s="612"/>
      <c r="FD1" s="612"/>
      <c r="FE1" s="612"/>
      <c r="FF1" s="612"/>
      <c r="FG1" s="612"/>
      <c r="FH1" s="612"/>
      <c r="FI1" s="612"/>
      <c r="FJ1" s="612"/>
      <c r="FK1" s="612"/>
      <c r="FL1" s="612"/>
      <c r="FM1" s="612"/>
      <c r="FN1" s="612"/>
      <c r="FO1" s="612"/>
      <c r="FP1" s="612"/>
      <c r="FQ1" s="612"/>
      <c r="FR1" s="612"/>
      <c r="FS1" s="612"/>
      <c r="FT1" s="612"/>
      <c r="FU1" s="612"/>
      <c r="FV1" s="612"/>
      <c r="FW1" s="612"/>
      <c r="FX1" s="612"/>
      <c r="FY1" s="612"/>
      <c r="FZ1" s="612"/>
      <c r="GA1" s="612"/>
      <c r="GB1" s="612"/>
      <c r="GC1" s="612"/>
      <c r="GD1" s="612"/>
      <c r="GE1" s="612"/>
      <c r="GF1" s="612"/>
      <c r="GG1" s="612"/>
      <c r="GH1" s="612"/>
      <c r="GI1" s="612"/>
      <c r="GJ1" s="612"/>
      <c r="GK1" s="612"/>
      <c r="GL1" s="612"/>
      <c r="GM1" s="612"/>
      <c r="GN1" s="612"/>
      <c r="GO1" s="612"/>
      <c r="GP1" s="612"/>
      <c r="GQ1" s="612"/>
      <c r="GR1" s="612"/>
      <c r="GS1" s="612"/>
      <c r="GT1" s="612"/>
      <c r="GU1" s="612"/>
      <c r="GV1" s="612"/>
      <c r="GW1" s="612"/>
      <c r="GX1" s="612"/>
      <c r="GY1" s="612"/>
      <c r="GZ1" s="612"/>
      <c r="HA1" s="612"/>
      <c r="HB1" s="612"/>
      <c r="HC1" s="612"/>
      <c r="HD1" s="612"/>
      <c r="HE1" s="612"/>
      <c r="HF1" s="612"/>
      <c r="HG1" s="612"/>
      <c r="HH1" s="612"/>
      <c r="HI1" s="612"/>
      <c r="HJ1" s="612"/>
      <c r="HK1" s="612"/>
      <c r="HL1" s="612"/>
      <c r="HM1" s="612"/>
      <c r="HN1" s="612"/>
      <c r="HO1" s="612"/>
      <c r="HP1" s="612"/>
      <c r="HQ1" s="612"/>
      <c r="HR1" s="612"/>
      <c r="HS1" s="612"/>
      <c r="HT1" s="612"/>
      <c r="HU1" s="612"/>
      <c r="HV1" s="612"/>
      <c r="HW1" s="612"/>
      <c r="HX1" s="612"/>
      <c r="HY1" s="612"/>
      <c r="HZ1" s="612"/>
      <c r="IA1" s="612"/>
      <c r="IB1" s="612"/>
      <c r="IC1" s="612"/>
      <c r="ID1" s="612"/>
      <c r="IE1" s="612"/>
      <c r="IF1" s="612"/>
      <c r="IG1" s="612"/>
      <c r="IH1" s="612"/>
      <c r="II1" s="612"/>
      <c r="IJ1" s="612"/>
      <c r="IK1" s="612"/>
      <c r="IL1" s="612"/>
      <c r="IM1" s="612"/>
      <c r="IN1" s="612"/>
      <c r="IO1" s="612"/>
      <c r="IP1" s="612"/>
      <c r="IQ1" s="612"/>
      <c r="IR1" s="238"/>
    </row>
    <row r="2" spans="1:252" x14ac:dyDescent="0.3">
      <c r="B2" s="636"/>
      <c r="C2" s="611"/>
      <c r="D2" s="612"/>
      <c r="E2" s="612"/>
      <c r="F2" s="612"/>
      <c r="G2" s="612"/>
      <c r="H2" s="612"/>
      <c r="I2" s="612"/>
      <c r="J2" s="612"/>
      <c r="K2" s="612"/>
      <c r="L2" s="612"/>
      <c r="M2" s="612"/>
      <c r="N2" s="612"/>
      <c r="O2" s="612"/>
      <c r="P2" s="612"/>
      <c r="Q2" s="612"/>
      <c r="R2" s="612"/>
      <c r="S2" s="612"/>
      <c r="T2" s="612"/>
      <c r="U2" s="612"/>
      <c r="V2" s="612"/>
      <c r="W2" s="612"/>
      <c r="X2" s="612"/>
      <c r="Y2" s="612"/>
      <c r="Z2" s="612"/>
      <c r="AA2" s="612"/>
      <c r="AB2" s="612"/>
      <c r="AC2" s="612"/>
      <c r="AD2" s="612"/>
      <c r="AE2" s="612"/>
      <c r="AF2" s="612"/>
      <c r="AG2" s="612"/>
      <c r="AH2" s="612"/>
      <c r="AI2" s="612"/>
      <c r="AJ2" s="612"/>
      <c r="AK2" s="612"/>
      <c r="AL2" s="612"/>
      <c r="AM2" s="612"/>
      <c r="AN2" s="612"/>
      <c r="AO2" s="612"/>
      <c r="AP2" s="612"/>
      <c r="AQ2" s="612"/>
      <c r="AR2" s="612"/>
      <c r="AS2" s="612"/>
      <c r="AT2" s="612"/>
      <c r="AU2" s="612"/>
      <c r="AV2" s="612"/>
      <c r="AW2" s="612"/>
      <c r="AX2" s="612"/>
      <c r="AY2" s="612"/>
      <c r="AZ2" s="612"/>
      <c r="BA2" s="612"/>
      <c r="BB2" s="612"/>
      <c r="BC2" s="612"/>
      <c r="BD2" s="612"/>
      <c r="BE2" s="612"/>
      <c r="BF2" s="612"/>
      <c r="BG2" s="612"/>
      <c r="BH2" s="612"/>
      <c r="BI2" s="612"/>
      <c r="BJ2" s="612"/>
      <c r="BK2" s="612"/>
      <c r="BL2" s="612"/>
      <c r="BM2" s="612"/>
      <c r="BN2" s="612"/>
      <c r="BO2" s="612"/>
      <c r="BP2" s="612"/>
      <c r="BQ2" s="612"/>
      <c r="BR2" s="612"/>
      <c r="BS2" s="612"/>
      <c r="BT2" s="612"/>
      <c r="BU2" s="612"/>
      <c r="BV2" s="612"/>
      <c r="BW2" s="612"/>
      <c r="BX2" s="612"/>
      <c r="BY2" s="612"/>
      <c r="BZ2" s="612"/>
      <c r="CA2" s="612"/>
      <c r="CB2" s="612"/>
      <c r="CC2" s="612"/>
      <c r="CD2" s="612"/>
      <c r="CE2" s="612"/>
      <c r="CF2" s="612"/>
      <c r="CG2" s="612"/>
      <c r="CH2" s="612"/>
      <c r="CI2" s="612"/>
      <c r="CJ2" s="612"/>
      <c r="CK2" s="612"/>
      <c r="CL2" s="612"/>
      <c r="CM2" s="612"/>
      <c r="CN2" s="612"/>
      <c r="CO2" s="612"/>
      <c r="CP2" s="612"/>
      <c r="CQ2" s="612"/>
      <c r="CR2" s="612"/>
      <c r="CS2" s="612"/>
      <c r="CT2" s="612"/>
      <c r="CU2" s="612"/>
      <c r="CV2" s="612"/>
      <c r="CW2" s="612"/>
      <c r="CX2" s="612"/>
      <c r="CY2" s="612"/>
      <c r="CZ2" s="612"/>
      <c r="DA2" s="612"/>
      <c r="DB2" s="612"/>
      <c r="DC2" s="612"/>
      <c r="DD2" s="612"/>
      <c r="DE2" s="612"/>
      <c r="DF2" s="612"/>
      <c r="DG2" s="612"/>
      <c r="DH2" s="612"/>
      <c r="DI2" s="612"/>
      <c r="DJ2" s="612"/>
      <c r="DK2" s="612"/>
      <c r="DL2" s="612"/>
      <c r="DM2" s="612"/>
      <c r="DN2" s="612"/>
      <c r="DO2" s="612"/>
      <c r="DP2" s="612"/>
      <c r="DQ2" s="612"/>
      <c r="DR2" s="612"/>
      <c r="DS2" s="612"/>
      <c r="DT2" s="612"/>
      <c r="DU2" s="612"/>
      <c r="DV2" s="612"/>
      <c r="DW2" s="612"/>
      <c r="DX2" s="612"/>
      <c r="DY2" s="612"/>
      <c r="DZ2" s="612"/>
      <c r="EA2" s="612"/>
      <c r="EB2" s="612"/>
      <c r="EC2" s="612"/>
      <c r="ED2" s="612"/>
      <c r="EE2" s="612"/>
      <c r="EF2" s="612"/>
      <c r="EG2" s="612"/>
      <c r="EH2" s="612"/>
      <c r="EI2" s="612"/>
      <c r="EJ2" s="612"/>
      <c r="EK2" s="612"/>
      <c r="EL2" s="612"/>
      <c r="EM2" s="612"/>
      <c r="EN2" s="612"/>
      <c r="EO2" s="612"/>
      <c r="EP2" s="612"/>
      <c r="EQ2" s="612"/>
      <c r="ER2" s="612"/>
      <c r="ES2" s="612"/>
      <c r="ET2" s="612"/>
      <c r="EU2" s="612"/>
      <c r="EV2" s="612"/>
      <c r="EW2" s="612"/>
      <c r="EX2" s="612"/>
      <c r="EY2" s="612"/>
      <c r="EZ2" s="612"/>
      <c r="FA2" s="612"/>
      <c r="FB2" s="612"/>
      <c r="FC2" s="612"/>
      <c r="FD2" s="612"/>
      <c r="FE2" s="612"/>
      <c r="FF2" s="612"/>
      <c r="FG2" s="612"/>
      <c r="FH2" s="612"/>
      <c r="FI2" s="612"/>
      <c r="FJ2" s="612"/>
      <c r="FK2" s="612"/>
      <c r="FL2" s="612"/>
      <c r="FM2" s="612"/>
      <c r="FN2" s="612"/>
      <c r="FO2" s="612"/>
      <c r="FP2" s="612"/>
      <c r="FQ2" s="612"/>
      <c r="FR2" s="612"/>
      <c r="FS2" s="612"/>
      <c r="FT2" s="612"/>
      <c r="FU2" s="612"/>
      <c r="FV2" s="612"/>
      <c r="FW2" s="612"/>
      <c r="FX2" s="612"/>
      <c r="FY2" s="612"/>
      <c r="FZ2" s="612"/>
      <c r="GA2" s="612"/>
      <c r="GB2" s="612"/>
      <c r="GC2" s="612"/>
      <c r="GD2" s="612"/>
      <c r="GE2" s="612"/>
      <c r="GF2" s="612"/>
      <c r="GG2" s="612"/>
      <c r="GH2" s="612"/>
      <c r="GI2" s="612"/>
      <c r="GJ2" s="612"/>
      <c r="GK2" s="612"/>
      <c r="GL2" s="612"/>
      <c r="GM2" s="612"/>
      <c r="GN2" s="612"/>
      <c r="GO2" s="612"/>
      <c r="GP2" s="612"/>
      <c r="GQ2" s="612"/>
      <c r="GR2" s="612"/>
      <c r="GS2" s="612"/>
      <c r="GT2" s="612"/>
      <c r="GU2" s="612"/>
      <c r="GV2" s="612"/>
      <c r="GW2" s="612"/>
      <c r="GX2" s="612"/>
      <c r="GY2" s="612"/>
      <c r="GZ2" s="612"/>
      <c r="HA2" s="612"/>
      <c r="HB2" s="612"/>
      <c r="HC2" s="612"/>
      <c r="HD2" s="612"/>
      <c r="HE2" s="612"/>
      <c r="HF2" s="612"/>
      <c r="HG2" s="612"/>
      <c r="HH2" s="612"/>
      <c r="HI2" s="612"/>
      <c r="HJ2" s="612"/>
      <c r="HK2" s="612"/>
      <c r="HL2" s="612"/>
      <c r="HM2" s="612"/>
      <c r="HN2" s="612"/>
      <c r="HO2" s="612"/>
      <c r="HP2" s="612"/>
      <c r="HQ2" s="612"/>
      <c r="HR2" s="612"/>
      <c r="HS2" s="612"/>
      <c r="HT2" s="612"/>
      <c r="HU2" s="612"/>
      <c r="HV2" s="612"/>
      <c r="HW2" s="612"/>
      <c r="HX2" s="612"/>
      <c r="HY2" s="612"/>
      <c r="HZ2" s="612"/>
      <c r="IA2" s="612"/>
      <c r="IB2" s="612"/>
      <c r="IC2" s="612"/>
      <c r="ID2" s="612"/>
      <c r="IE2" s="612"/>
      <c r="IF2" s="612"/>
      <c r="IG2" s="612"/>
      <c r="IH2" s="612"/>
      <c r="II2" s="612"/>
      <c r="IJ2" s="612"/>
      <c r="IK2" s="612"/>
      <c r="IL2" s="612"/>
      <c r="IM2" s="612"/>
      <c r="IN2" s="612"/>
      <c r="IO2" s="612"/>
      <c r="IP2" s="612"/>
      <c r="IQ2" s="612"/>
      <c r="IR2" s="238"/>
    </row>
    <row r="3" spans="1:252" x14ac:dyDescent="0.35">
      <c r="B3" s="2394" t="s">
        <v>848</v>
      </c>
      <c r="C3" s="2394"/>
      <c r="D3" s="613"/>
      <c r="E3" s="613"/>
      <c r="F3" s="613"/>
      <c r="G3" s="613"/>
      <c r="H3" s="613"/>
      <c r="I3" s="613"/>
      <c r="J3" s="613"/>
      <c r="K3" s="613"/>
      <c r="L3" s="613"/>
      <c r="M3" s="613"/>
      <c r="N3" s="613"/>
      <c r="O3" s="613"/>
      <c r="P3" s="613"/>
      <c r="Q3" s="613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613"/>
      <c r="AD3" s="613"/>
      <c r="AE3" s="613"/>
      <c r="AF3" s="613"/>
      <c r="AG3" s="613"/>
      <c r="AH3" s="613"/>
      <c r="AI3" s="613"/>
      <c r="AJ3" s="613"/>
      <c r="AK3" s="613"/>
      <c r="AL3" s="613"/>
      <c r="AM3" s="613"/>
      <c r="AN3" s="613"/>
      <c r="AO3" s="613"/>
      <c r="AP3" s="613"/>
      <c r="AQ3" s="613"/>
      <c r="AR3" s="613"/>
      <c r="AS3" s="613"/>
      <c r="AT3" s="613"/>
      <c r="AU3" s="613"/>
      <c r="AV3" s="613"/>
      <c r="AW3" s="613"/>
      <c r="AX3" s="613"/>
      <c r="AY3" s="613"/>
      <c r="AZ3" s="613"/>
      <c r="BA3" s="613"/>
      <c r="BB3" s="613"/>
      <c r="BC3" s="613"/>
      <c r="BD3" s="613"/>
      <c r="BE3" s="613"/>
      <c r="BF3" s="613"/>
      <c r="BG3" s="613"/>
      <c r="BH3" s="613"/>
      <c r="BI3" s="613"/>
      <c r="BJ3" s="613"/>
      <c r="BK3" s="613"/>
      <c r="BL3" s="613"/>
      <c r="BM3" s="613"/>
      <c r="BN3" s="613"/>
      <c r="BO3" s="613"/>
      <c r="BP3" s="613"/>
      <c r="BQ3" s="613"/>
      <c r="BR3" s="613"/>
      <c r="BS3" s="613"/>
      <c r="BT3" s="613"/>
      <c r="BU3" s="613"/>
      <c r="BV3" s="613"/>
      <c r="BW3" s="613"/>
      <c r="BX3" s="613"/>
      <c r="BY3" s="613"/>
      <c r="BZ3" s="613"/>
      <c r="CA3" s="613"/>
      <c r="CB3" s="613"/>
      <c r="CC3" s="613"/>
      <c r="CD3" s="613"/>
      <c r="CE3" s="613"/>
      <c r="CF3" s="613"/>
      <c r="CG3" s="613"/>
      <c r="CH3" s="613"/>
      <c r="CI3" s="613"/>
      <c r="CJ3" s="613"/>
      <c r="CK3" s="613"/>
      <c r="CL3" s="613"/>
      <c r="CM3" s="613"/>
      <c r="CN3" s="613"/>
      <c r="CO3" s="613"/>
      <c r="CP3" s="613"/>
      <c r="CQ3" s="613"/>
      <c r="CR3" s="613"/>
      <c r="CS3" s="613"/>
      <c r="CT3" s="613"/>
      <c r="CU3" s="613"/>
      <c r="CV3" s="613"/>
      <c r="CW3" s="613"/>
      <c r="CX3" s="613"/>
      <c r="CY3" s="613"/>
      <c r="CZ3" s="613"/>
      <c r="DA3" s="613"/>
      <c r="DB3" s="613"/>
      <c r="DC3" s="613"/>
      <c r="DD3" s="613"/>
      <c r="DE3" s="613"/>
      <c r="DF3" s="613"/>
      <c r="DG3" s="613"/>
      <c r="DH3" s="613"/>
      <c r="DI3" s="613"/>
      <c r="DJ3" s="613"/>
      <c r="DK3" s="613"/>
      <c r="DL3" s="613"/>
      <c r="DM3" s="613"/>
      <c r="DN3" s="613"/>
      <c r="DO3" s="613"/>
      <c r="DP3" s="613"/>
      <c r="DQ3" s="613"/>
      <c r="DR3" s="613"/>
      <c r="DS3" s="613"/>
      <c r="DT3" s="613"/>
      <c r="DU3" s="613"/>
      <c r="DV3" s="613"/>
      <c r="DW3" s="613"/>
      <c r="DX3" s="613"/>
      <c r="DY3" s="613"/>
      <c r="DZ3" s="613"/>
      <c r="EA3" s="613"/>
      <c r="EB3" s="613"/>
      <c r="EC3" s="613"/>
      <c r="ED3" s="613"/>
      <c r="EE3" s="613"/>
      <c r="EF3" s="613"/>
      <c r="EG3" s="613"/>
      <c r="EH3" s="613"/>
      <c r="EI3" s="613"/>
      <c r="EJ3" s="613"/>
      <c r="EK3" s="613"/>
      <c r="EL3" s="613"/>
      <c r="EM3" s="613"/>
      <c r="EN3" s="613"/>
      <c r="EO3" s="613"/>
      <c r="EP3" s="613"/>
      <c r="EQ3" s="613"/>
      <c r="ER3" s="613"/>
      <c r="ES3" s="613"/>
      <c r="ET3" s="613"/>
      <c r="EU3" s="613"/>
      <c r="EV3" s="613"/>
      <c r="EW3" s="613"/>
      <c r="EX3" s="613"/>
      <c r="EY3" s="613"/>
      <c r="EZ3" s="613"/>
      <c r="FA3" s="613"/>
      <c r="FB3" s="613"/>
      <c r="FC3" s="613"/>
      <c r="FD3" s="613"/>
      <c r="FE3" s="613"/>
      <c r="FF3" s="613"/>
      <c r="FG3" s="613"/>
      <c r="FH3" s="613"/>
      <c r="FI3" s="613"/>
      <c r="FJ3" s="613"/>
      <c r="FK3" s="613"/>
      <c r="FL3" s="613"/>
      <c r="FM3" s="613"/>
      <c r="FN3" s="613"/>
      <c r="FO3" s="613"/>
      <c r="FP3" s="613"/>
      <c r="FQ3" s="613"/>
      <c r="FR3" s="613"/>
      <c r="FS3" s="613"/>
      <c r="FT3" s="613"/>
      <c r="FU3" s="613"/>
      <c r="FV3" s="613"/>
      <c r="FW3" s="613"/>
      <c r="FX3" s="613"/>
      <c r="FY3" s="613"/>
      <c r="FZ3" s="613"/>
      <c r="GA3" s="613"/>
      <c r="GB3" s="613"/>
      <c r="GC3" s="613"/>
      <c r="GD3" s="613"/>
      <c r="GE3" s="613"/>
      <c r="GF3" s="613"/>
      <c r="GG3" s="613"/>
      <c r="GH3" s="613"/>
      <c r="GI3" s="613"/>
      <c r="GJ3" s="613"/>
      <c r="GK3" s="613"/>
      <c r="GL3" s="613"/>
      <c r="GM3" s="613"/>
      <c r="GN3" s="613"/>
      <c r="GO3" s="613"/>
      <c r="GP3" s="613"/>
      <c r="GQ3" s="613"/>
      <c r="GR3" s="613"/>
      <c r="GS3" s="613"/>
      <c r="GT3" s="613"/>
      <c r="GU3" s="613"/>
      <c r="GV3" s="613"/>
      <c r="GW3" s="613"/>
      <c r="GX3" s="613"/>
      <c r="GY3" s="613"/>
      <c r="GZ3" s="613"/>
      <c r="HA3" s="613"/>
      <c r="HB3" s="613"/>
      <c r="HC3" s="613"/>
      <c r="HD3" s="613"/>
      <c r="HE3" s="613"/>
      <c r="HF3" s="613"/>
      <c r="HG3" s="613"/>
      <c r="HH3" s="613"/>
      <c r="HI3" s="613"/>
      <c r="HJ3" s="613"/>
      <c r="HK3" s="613"/>
      <c r="HL3" s="613"/>
      <c r="HM3" s="613"/>
      <c r="HN3" s="613"/>
      <c r="HO3" s="613"/>
      <c r="HP3" s="613"/>
      <c r="HQ3" s="613"/>
      <c r="HR3" s="613"/>
      <c r="HS3" s="613"/>
      <c r="HT3" s="613"/>
      <c r="HU3" s="613"/>
      <c r="HV3" s="613"/>
      <c r="HW3" s="613"/>
      <c r="HX3" s="613"/>
      <c r="HY3" s="613"/>
      <c r="HZ3" s="613"/>
      <c r="IA3" s="613"/>
      <c r="IB3" s="613"/>
      <c r="IC3" s="613"/>
      <c r="ID3" s="613"/>
      <c r="IE3" s="613"/>
      <c r="IF3" s="613"/>
      <c r="IG3" s="613"/>
      <c r="IH3" s="613"/>
      <c r="II3" s="613"/>
      <c r="IJ3" s="613"/>
      <c r="IK3" s="613"/>
      <c r="IL3" s="613"/>
      <c r="IM3" s="613"/>
      <c r="IN3" s="613"/>
      <c r="IO3" s="613"/>
      <c r="IP3" s="613"/>
      <c r="IQ3" s="613"/>
      <c r="IR3" s="44"/>
    </row>
    <row r="4" spans="1:252" x14ac:dyDescent="0.3">
      <c r="B4" s="2395" t="s">
        <v>915</v>
      </c>
      <c r="C4" s="2395"/>
    </row>
    <row r="5" spans="1:252" x14ac:dyDescent="0.3">
      <c r="B5" s="637"/>
      <c r="C5" s="637"/>
    </row>
    <row r="6" spans="1:252" ht="40.5" customHeight="1" x14ac:dyDescent="0.3">
      <c r="B6" s="2402" t="s">
        <v>622</v>
      </c>
      <c r="C6" s="2402"/>
    </row>
    <row r="7" spans="1:252" ht="17.25" customHeight="1" x14ac:dyDescent="0.3">
      <c r="B7" s="1272"/>
      <c r="C7" s="1272"/>
    </row>
    <row r="8" spans="1:252" x14ac:dyDescent="0.3">
      <c r="B8" s="639"/>
      <c r="C8" s="678" t="s">
        <v>0</v>
      </c>
    </row>
    <row r="9" spans="1:252" thickBot="1" x14ac:dyDescent="0.35">
      <c r="B9" s="679" t="s">
        <v>1</v>
      </c>
      <c r="C9" s="619" t="s">
        <v>3</v>
      </c>
      <c r="D9" s="638"/>
      <c r="E9" s="638"/>
      <c r="F9" s="638"/>
      <c r="G9" s="638"/>
      <c r="H9" s="638"/>
      <c r="I9" s="638"/>
      <c r="J9" s="638"/>
      <c r="K9" s="638"/>
      <c r="L9" s="638"/>
      <c r="M9" s="638"/>
      <c r="N9" s="638"/>
      <c r="O9" s="638"/>
      <c r="P9" s="638"/>
      <c r="Q9" s="638"/>
      <c r="R9" s="638"/>
      <c r="S9" s="638"/>
      <c r="T9" s="638"/>
      <c r="U9" s="638"/>
      <c r="V9" s="638"/>
      <c r="W9" s="638"/>
      <c r="X9" s="638"/>
      <c r="Y9" s="638"/>
      <c r="Z9" s="638"/>
      <c r="AA9" s="638"/>
      <c r="AB9" s="638"/>
      <c r="AC9" s="638"/>
      <c r="AD9" s="638"/>
      <c r="AE9" s="638"/>
      <c r="AF9" s="638"/>
      <c r="AG9" s="638"/>
      <c r="AH9" s="638"/>
      <c r="AI9" s="638"/>
      <c r="AJ9" s="638"/>
      <c r="AK9" s="638"/>
      <c r="AL9" s="638"/>
      <c r="AM9" s="638"/>
      <c r="AN9" s="638"/>
      <c r="AO9" s="638"/>
      <c r="AP9" s="638"/>
      <c r="AQ9" s="638"/>
      <c r="AR9" s="638"/>
      <c r="AS9" s="638"/>
      <c r="AT9" s="638"/>
      <c r="AU9" s="638"/>
      <c r="AV9" s="638"/>
      <c r="AW9" s="638"/>
      <c r="AX9" s="638"/>
      <c r="AY9" s="638"/>
      <c r="AZ9" s="638"/>
      <c r="BA9" s="638"/>
      <c r="BB9" s="638"/>
      <c r="BC9" s="638"/>
      <c r="BD9" s="638"/>
      <c r="BE9" s="638"/>
      <c r="BF9" s="638"/>
      <c r="BG9" s="638"/>
      <c r="BH9" s="638"/>
      <c r="BI9" s="638"/>
      <c r="BJ9" s="638"/>
      <c r="BK9" s="638"/>
      <c r="BL9" s="638"/>
      <c r="BM9" s="638"/>
      <c r="BN9" s="638"/>
      <c r="BO9" s="638"/>
      <c r="BP9" s="638"/>
      <c r="BQ9" s="638"/>
      <c r="BR9" s="638"/>
      <c r="BS9" s="638"/>
      <c r="BT9" s="638"/>
      <c r="BU9" s="638"/>
      <c r="BV9" s="638"/>
      <c r="BW9" s="638"/>
      <c r="BX9" s="638"/>
      <c r="BY9" s="638"/>
      <c r="BZ9" s="638"/>
      <c r="CA9" s="638"/>
      <c r="CB9" s="638"/>
      <c r="CC9" s="638"/>
      <c r="CD9" s="638"/>
      <c r="CE9" s="638"/>
      <c r="CF9" s="638"/>
      <c r="CG9" s="638"/>
      <c r="CH9" s="638"/>
      <c r="CI9" s="638"/>
      <c r="CJ9" s="638"/>
      <c r="CK9" s="638"/>
      <c r="CL9" s="638"/>
      <c r="CM9" s="638"/>
      <c r="CN9" s="638"/>
      <c r="CO9" s="638"/>
      <c r="CP9" s="638"/>
      <c r="CQ9" s="638"/>
      <c r="CR9" s="638"/>
      <c r="CS9" s="638"/>
      <c r="CT9" s="638"/>
      <c r="CU9" s="638"/>
      <c r="CV9" s="638"/>
      <c r="CW9" s="638"/>
      <c r="CX9" s="638"/>
      <c r="CY9" s="638"/>
      <c r="CZ9" s="638"/>
      <c r="DA9" s="638"/>
      <c r="DB9" s="638"/>
      <c r="DC9" s="638"/>
      <c r="DD9" s="638"/>
      <c r="DE9" s="638"/>
      <c r="DF9" s="638"/>
      <c r="DG9" s="638"/>
      <c r="DH9" s="638"/>
      <c r="DI9" s="638"/>
      <c r="DJ9" s="638"/>
      <c r="DK9" s="638"/>
      <c r="DL9" s="638"/>
      <c r="DM9" s="638"/>
      <c r="DN9" s="638"/>
      <c r="DO9" s="638"/>
      <c r="DP9" s="638"/>
      <c r="DQ9" s="638"/>
      <c r="DR9" s="638"/>
      <c r="DS9" s="638"/>
      <c r="DT9" s="638"/>
      <c r="DU9" s="638"/>
      <c r="DV9" s="638"/>
      <c r="DW9" s="638"/>
      <c r="DX9" s="638"/>
      <c r="DY9" s="638"/>
      <c r="DZ9" s="638"/>
      <c r="EA9" s="638"/>
      <c r="EB9" s="638"/>
      <c r="EC9" s="638"/>
      <c r="ED9" s="638"/>
      <c r="EE9" s="638"/>
      <c r="EF9" s="638"/>
      <c r="EG9" s="638"/>
      <c r="EH9" s="638"/>
      <c r="EI9" s="638"/>
      <c r="EJ9" s="638"/>
      <c r="EK9" s="638"/>
      <c r="EL9" s="638"/>
      <c r="EM9" s="638"/>
      <c r="EN9" s="638"/>
      <c r="EO9" s="638"/>
      <c r="EP9" s="638"/>
      <c r="EQ9" s="638"/>
      <c r="ER9" s="638"/>
      <c r="ES9" s="638"/>
      <c r="ET9" s="638"/>
      <c r="EU9" s="638"/>
      <c r="EV9" s="638"/>
      <c r="EW9" s="638"/>
      <c r="EX9" s="638"/>
      <c r="EY9" s="638"/>
      <c r="EZ9" s="638"/>
      <c r="FA9" s="638"/>
      <c r="FB9" s="638"/>
      <c r="FC9" s="638"/>
      <c r="FD9" s="638"/>
      <c r="FE9" s="638"/>
      <c r="FF9" s="638"/>
      <c r="FG9" s="638"/>
      <c r="FH9" s="638"/>
      <c r="FI9" s="638"/>
      <c r="FJ9" s="638"/>
      <c r="FK9" s="638"/>
      <c r="FL9" s="638"/>
      <c r="FM9" s="638"/>
      <c r="FN9" s="638"/>
      <c r="FO9" s="638"/>
      <c r="FP9" s="638"/>
      <c r="FQ9" s="638"/>
      <c r="FR9" s="638"/>
      <c r="FS9" s="638"/>
      <c r="FT9" s="638"/>
      <c r="FU9" s="638"/>
      <c r="FV9" s="638"/>
      <c r="FW9" s="638"/>
      <c r="FX9" s="638"/>
      <c r="FY9" s="638"/>
      <c r="FZ9" s="638"/>
      <c r="GA9" s="638"/>
      <c r="GB9" s="638"/>
      <c r="GC9" s="638"/>
      <c r="GD9" s="638"/>
      <c r="GE9" s="638"/>
      <c r="GF9" s="638"/>
      <c r="GG9" s="638"/>
      <c r="GH9" s="638"/>
      <c r="GI9" s="638"/>
      <c r="GJ9" s="638"/>
      <c r="GK9" s="638"/>
      <c r="GL9" s="638"/>
      <c r="GM9" s="638"/>
      <c r="GN9" s="638"/>
      <c r="GO9" s="638"/>
      <c r="GP9" s="638"/>
      <c r="GQ9" s="638"/>
      <c r="GR9" s="638"/>
      <c r="GS9" s="638"/>
      <c r="GT9" s="638"/>
      <c r="GU9" s="638"/>
      <c r="GV9" s="638"/>
      <c r="GW9" s="638"/>
      <c r="GX9" s="638"/>
      <c r="GY9" s="638"/>
      <c r="GZ9" s="638"/>
      <c r="HA9" s="638"/>
      <c r="HB9" s="638"/>
      <c r="HC9" s="638"/>
      <c r="HD9" s="638"/>
      <c r="HE9" s="638"/>
      <c r="HF9" s="638"/>
      <c r="HG9" s="638"/>
      <c r="HH9" s="638"/>
      <c r="HI9" s="638"/>
      <c r="HJ9" s="638"/>
      <c r="HK9" s="638"/>
      <c r="HL9" s="638"/>
      <c r="HM9" s="638"/>
      <c r="HN9" s="638"/>
      <c r="HO9" s="638"/>
      <c r="HP9" s="638"/>
      <c r="HQ9" s="638"/>
      <c r="HR9" s="638"/>
      <c r="HS9" s="638"/>
      <c r="HT9" s="638"/>
      <c r="HU9" s="638"/>
      <c r="HV9" s="638"/>
      <c r="HW9" s="638"/>
      <c r="HX9" s="638"/>
      <c r="HY9" s="638"/>
      <c r="HZ9" s="638"/>
      <c r="IA9" s="638"/>
      <c r="IB9" s="638"/>
      <c r="IC9" s="638"/>
      <c r="ID9" s="638"/>
      <c r="IE9" s="638"/>
      <c r="IF9" s="638"/>
      <c r="IG9" s="638"/>
      <c r="IH9" s="638"/>
      <c r="II9" s="638"/>
      <c r="IJ9" s="638"/>
      <c r="IK9" s="638"/>
      <c r="IL9" s="638"/>
      <c r="IM9" s="638"/>
      <c r="IN9" s="638"/>
      <c r="IO9" s="638"/>
      <c r="IP9" s="638"/>
      <c r="IQ9" s="638"/>
      <c r="IR9" s="44"/>
    </row>
    <row r="10" spans="1:252" ht="35.25" customHeight="1" thickBot="1" x14ac:dyDescent="0.35">
      <c r="A10" s="615"/>
      <c r="B10" s="680" t="s">
        <v>849</v>
      </c>
      <c r="C10" s="640" t="s">
        <v>620</v>
      </c>
    </row>
    <row r="11" spans="1:252" ht="36.75" customHeight="1" x14ac:dyDescent="0.3">
      <c r="A11" s="615">
        <v>1</v>
      </c>
      <c r="B11" s="1265" t="s">
        <v>850</v>
      </c>
      <c r="C11" s="1277">
        <v>135800</v>
      </c>
      <c r="D11" s="613"/>
      <c r="E11" s="613"/>
      <c r="F11" s="613"/>
      <c r="G11" s="613"/>
      <c r="H11" s="613"/>
      <c r="I11" s="613"/>
      <c r="J11" s="613"/>
      <c r="K11" s="613"/>
      <c r="L11" s="613"/>
      <c r="M11" s="613"/>
      <c r="N11" s="613"/>
      <c r="O11" s="613"/>
      <c r="P11" s="613"/>
      <c r="Q11" s="613"/>
      <c r="R11" s="613"/>
      <c r="S11" s="613"/>
      <c r="T11" s="613"/>
      <c r="U11" s="613"/>
      <c r="V11" s="613"/>
      <c r="W11" s="613"/>
      <c r="X11" s="613"/>
      <c r="Y11" s="613"/>
      <c r="Z11" s="613"/>
      <c r="AA11" s="613"/>
      <c r="AB11" s="613"/>
      <c r="AC11" s="613"/>
      <c r="AD11" s="613"/>
      <c r="AE11" s="613"/>
      <c r="AF11" s="613"/>
      <c r="AG11" s="613"/>
      <c r="AH11" s="613"/>
      <c r="AI11" s="613"/>
      <c r="AJ11" s="613"/>
      <c r="AK11" s="613"/>
      <c r="AL11" s="613"/>
      <c r="AM11" s="613"/>
      <c r="AN11" s="613"/>
      <c r="AO11" s="613"/>
      <c r="AP11" s="613"/>
      <c r="AQ11" s="613"/>
      <c r="AR11" s="613"/>
      <c r="AS11" s="613"/>
      <c r="AT11" s="613"/>
      <c r="AU11" s="613"/>
      <c r="AV11" s="613"/>
      <c r="AW11" s="613"/>
      <c r="AX11" s="613"/>
      <c r="AY11" s="613"/>
      <c r="AZ11" s="613"/>
      <c r="BA11" s="613"/>
      <c r="BB11" s="613"/>
      <c r="BC11" s="613"/>
      <c r="BD11" s="613"/>
      <c r="BE11" s="613"/>
      <c r="BF11" s="613"/>
      <c r="BG11" s="613"/>
      <c r="BH11" s="613"/>
      <c r="BI11" s="613"/>
      <c r="BJ11" s="613"/>
      <c r="BK11" s="613"/>
      <c r="BL11" s="613"/>
      <c r="BM11" s="613"/>
      <c r="BN11" s="613"/>
      <c r="BO11" s="613"/>
      <c r="BP11" s="613"/>
      <c r="BQ11" s="613"/>
      <c r="BR11" s="613"/>
      <c r="BS11" s="613"/>
      <c r="BT11" s="613"/>
      <c r="BU11" s="613"/>
      <c r="BV11" s="613"/>
      <c r="BW11" s="613"/>
      <c r="BX11" s="613"/>
      <c r="BY11" s="613"/>
      <c r="BZ11" s="613"/>
      <c r="CA11" s="613"/>
      <c r="CB11" s="613"/>
      <c r="CC11" s="613"/>
      <c r="CD11" s="613"/>
      <c r="CE11" s="613"/>
      <c r="CF11" s="613"/>
      <c r="CG11" s="613"/>
      <c r="CH11" s="613"/>
      <c r="CI11" s="613"/>
      <c r="CJ11" s="613"/>
      <c r="CK11" s="613"/>
      <c r="CL11" s="613"/>
      <c r="CM11" s="613"/>
      <c r="CN11" s="613"/>
      <c r="CO11" s="613"/>
      <c r="CP11" s="613"/>
      <c r="CQ11" s="613"/>
      <c r="CR11" s="613"/>
      <c r="CS11" s="613"/>
      <c r="CT11" s="613"/>
      <c r="CU11" s="613"/>
      <c r="CV11" s="613"/>
      <c r="CW11" s="613"/>
      <c r="CX11" s="613"/>
      <c r="CY11" s="613"/>
      <c r="CZ11" s="613"/>
      <c r="DA11" s="613"/>
      <c r="DB11" s="613"/>
      <c r="DC11" s="613"/>
      <c r="DD11" s="613"/>
      <c r="DE11" s="613"/>
      <c r="DF11" s="613"/>
      <c r="DG11" s="613"/>
      <c r="DH11" s="613"/>
      <c r="DI11" s="613"/>
      <c r="DJ11" s="613"/>
      <c r="DK11" s="613"/>
      <c r="DL11" s="613"/>
      <c r="DM11" s="613"/>
      <c r="DN11" s="613"/>
      <c r="DO11" s="613"/>
      <c r="DP11" s="613"/>
      <c r="DQ11" s="613"/>
      <c r="DR11" s="613"/>
      <c r="DS11" s="613"/>
      <c r="DT11" s="613"/>
      <c r="DU11" s="613"/>
      <c r="DV11" s="613"/>
      <c r="DW11" s="613"/>
      <c r="DX11" s="613"/>
      <c r="DY11" s="613"/>
      <c r="DZ11" s="613"/>
      <c r="EA11" s="613"/>
      <c r="EB11" s="613"/>
      <c r="EC11" s="613"/>
      <c r="ED11" s="613"/>
      <c r="EE11" s="613"/>
      <c r="EF11" s="613"/>
      <c r="EG11" s="613"/>
      <c r="EH11" s="613"/>
      <c r="EI11" s="613"/>
      <c r="EJ11" s="613"/>
      <c r="EK11" s="613"/>
      <c r="EL11" s="613"/>
      <c r="EM11" s="613"/>
      <c r="EN11" s="613"/>
      <c r="EO11" s="613"/>
      <c r="EP11" s="613"/>
      <c r="EQ11" s="613"/>
      <c r="ER11" s="613"/>
      <c r="ES11" s="613"/>
      <c r="ET11" s="613"/>
      <c r="EU11" s="613"/>
      <c r="EV11" s="613"/>
      <c r="EW11" s="613"/>
      <c r="EX11" s="613"/>
      <c r="EY11" s="613"/>
      <c r="EZ11" s="613"/>
      <c r="FA11" s="613"/>
      <c r="FB11" s="613"/>
      <c r="FC11" s="613"/>
      <c r="FD11" s="613"/>
      <c r="FE11" s="613"/>
      <c r="FF11" s="613"/>
      <c r="FG11" s="613"/>
      <c r="FH11" s="613"/>
      <c r="FI11" s="613"/>
      <c r="FJ11" s="613"/>
      <c r="FK11" s="613"/>
      <c r="FL11" s="613"/>
      <c r="FM11" s="613"/>
      <c r="FN11" s="613"/>
      <c r="FO11" s="613"/>
      <c r="FP11" s="613"/>
      <c r="FQ11" s="613"/>
      <c r="FR11" s="613"/>
      <c r="FS11" s="613"/>
      <c r="FT11" s="613"/>
      <c r="FU11" s="613"/>
      <c r="FV11" s="613"/>
      <c r="FW11" s="613"/>
      <c r="FX11" s="613"/>
      <c r="FY11" s="613"/>
      <c r="FZ11" s="613"/>
      <c r="GA11" s="613"/>
      <c r="GB11" s="613"/>
      <c r="GC11" s="613"/>
      <c r="GD11" s="613"/>
      <c r="GE11" s="613"/>
      <c r="GF11" s="613"/>
      <c r="GG11" s="613"/>
      <c r="GH11" s="613"/>
      <c r="GI11" s="613"/>
      <c r="GJ11" s="613"/>
      <c r="GK11" s="613"/>
      <c r="GL11" s="613"/>
      <c r="GM11" s="613"/>
      <c r="GN11" s="613"/>
      <c r="GO11" s="613"/>
      <c r="GP11" s="613"/>
      <c r="GQ11" s="613"/>
      <c r="GR11" s="613"/>
      <c r="GS11" s="613"/>
      <c r="GT11" s="613"/>
      <c r="GU11" s="613"/>
      <c r="GV11" s="613"/>
      <c r="GW11" s="613"/>
      <c r="GX11" s="613"/>
      <c r="GY11" s="613"/>
      <c r="GZ11" s="613"/>
      <c r="HA11" s="613"/>
      <c r="HB11" s="613"/>
      <c r="HC11" s="613"/>
      <c r="HD11" s="613"/>
      <c r="HE11" s="613"/>
      <c r="HF11" s="613"/>
      <c r="HG11" s="613"/>
      <c r="HH11" s="613"/>
      <c r="HI11" s="613"/>
      <c r="HJ11" s="613"/>
      <c r="HK11" s="613"/>
      <c r="HL11" s="613"/>
      <c r="HM11" s="613"/>
      <c r="HN11" s="613"/>
      <c r="HO11" s="613"/>
      <c r="HP11" s="613"/>
      <c r="HQ11" s="613"/>
      <c r="HR11" s="613"/>
      <c r="HS11" s="613"/>
      <c r="HT11" s="613"/>
      <c r="HU11" s="613"/>
      <c r="HV11" s="613"/>
      <c r="HW11" s="613"/>
      <c r="HX11" s="613"/>
      <c r="HY11" s="613"/>
      <c r="HZ11" s="613"/>
      <c r="IA11" s="613"/>
      <c r="IB11" s="613"/>
      <c r="IC11" s="613"/>
      <c r="ID11" s="613"/>
      <c r="IE11" s="613"/>
      <c r="IF11" s="613"/>
      <c r="IG11" s="613"/>
      <c r="IH11" s="613"/>
      <c r="II11" s="613"/>
      <c r="IJ11" s="613"/>
      <c r="IK11" s="613"/>
      <c r="IL11" s="613"/>
      <c r="IM11" s="613"/>
      <c r="IN11" s="613"/>
      <c r="IO11" s="613"/>
      <c r="IP11" s="613"/>
      <c r="IQ11" s="613"/>
      <c r="IR11" s="44"/>
    </row>
    <row r="12" spans="1:252" ht="36.75" customHeight="1" thickBot="1" x14ac:dyDescent="0.35">
      <c r="A12" s="615">
        <v>2</v>
      </c>
      <c r="B12" s="1266" t="s">
        <v>851</v>
      </c>
      <c r="C12" s="1278">
        <v>14000</v>
      </c>
      <c r="D12" s="613"/>
      <c r="E12" s="613"/>
      <c r="F12" s="613"/>
      <c r="G12" s="613"/>
      <c r="H12" s="613"/>
      <c r="I12" s="613"/>
      <c r="J12" s="613"/>
      <c r="K12" s="613"/>
      <c r="L12" s="613"/>
      <c r="M12" s="613"/>
      <c r="N12" s="613" t="s">
        <v>254</v>
      </c>
      <c r="O12" s="613"/>
      <c r="P12" s="613"/>
      <c r="Q12" s="613"/>
      <c r="R12" s="613"/>
      <c r="S12" s="613"/>
      <c r="T12" s="613"/>
      <c r="U12" s="613"/>
      <c r="V12" s="613"/>
      <c r="W12" s="613"/>
      <c r="X12" s="613"/>
      <c r="Y12" s="613"/>
      <c r="Z12" s="613"/>
      <c r="AA12" s="613"/>
      <c r="AB12" s="613"/>
      <c r="AC12" s="613"/>
      <c r="AD12" s="613"/>
      <c r="AE12" s="613"/>
      <c r="AF12" s="613"/>
      <c r="AG12" s="613"/>
      <c r="AH12" s="613"/>
      <c r="AI12" s="613"/>
      <c r="AJ12" s="613"/>
      <c r="AK12" s="613"/>
      <c r="AL12" s="613"/>
      <c r="AM12" s="613"/>
      <c r="AN12" s="613"/>
      <c r="AO12" s="613"/>
      <c r="AP12" s="613"/>
      <c r="AQ12" s="613"/>
      <c r="AR12" s="613"/>
      <c r="AS12" s="613"/>
      <c r="AT12" s="613"/>
      <c r="AU12" s="613"/>
      <c r="AV12" s="613"/>
      <c r="AW12" s="613"/>
      <c r="AX12" s="613"/>
      <c r="AY12" s="613"/>
      <c r="AZ12" s="613"/>
      <c r="BA12" s="613"/>
      <c r="BB12" s="613"/>
      <c r="BC12" s="613"/>
      <c r="BD12" s="613"/>
      <c r="BE12" s="613"/>
      <c r="BF12" s="613"/>
      <c r="BG12" s="613"/>
      <c r="BH12" s="613"/>
      <c r="BI12" s="613"/>
      <c r="BJ12" s="613"/>
      <c r="BK12" s="613"/>
      <c r="BL12" s="613"/>
      <c r="BM12" s="613"/>
      <c r="BN12" s="613"/>
      <c r="BO12" s="613"/>
      <c r="BP12" s="613"/>
      <c r="BQ12" s="613"/>
      <c r="BR12" s="613"/>
      <c r="BS12" s="613"/>
      <c r="BT12" s="613"/>
      <c r="BU12" s="613"/>
      <c r="BV12" s="613"/>
      <c r="BW12" s="613"/>
      <c r="BX12" s="613"/>
      <c r="BY12" s="613"/>
      <c r="BZ12" s="613"/>
      <c r="CA12" s="613"/>
      <c r="CB12" s="613"/>
      <c r="CC12" s="613"/>
      <c r="CD12" s="613"/>
      <c r="CE12" s="613"/>
      <c r="CF12" s="613"/>
      <c r="CG12" s="613"/>
      <c r="CH12" s="613"/>
      <c r="CI12" s="613"/>
      <c r="CJ12" s="613"/>
      <c r="CK12" s="613"/>
      <c r="CL12" s="613"/>
      <c r="CM12" s="613"/>
      <c r="CN12" s="613"/>
      <c r="CO12" s="613"/>
      <c r="CP12" s="613"/>
      <c r="CQ12" s="613"/>
      <c r="CR12" s="613"/>
      <c r="CS12" s="613"/>
      <c r="CT12" s="613"/>
      <c r="CU12" s="613"/>
      <c r="CV12" s="613"/>
      <c r="CW12" s="613"/>
      <c r="CX12" s="613"/>
      <c r="CY12" s="613"/>
      <c r="CZ12" s="613"/>
      <c r="DA12" s="613"/>
      <c r="DB12" s="613"/>
      <c r="DC12" s="613"/>
      <c r="DD12" s="613"/>
      <c r="DE12" s="613"/>
      <c r="DF12" s="613"/>
      <c r="DG12" s="613"/>
      <c r="DH12" s="613"/>
      <c r="DI12" s="613"/>
      <c r="DJ12" s="613"/>
      <c r="DK12" s="613"/>
      <c r="DL12" s="613"/>
      <c r="DM12" s="613"/>
      <c r="DN12" s="613"/>
      <c r="DO12" s="613"/>
      <c r="DP12" s="613"/>
      <c r="DQ12" s="613"/>
      <c r="DR12" s="613"/>
      <c r="DS12" s="613"/>
      <c r="DT12" s="613"/>
      <c r="DU12" s="613"/>
      <c r="DV12" s="613"/>
      <c r="DW12" s="613"/>
      <c r="DX12" s="613"/>
      <c r="DY12" s="613"/>
      <c r="DZ12" s="613"/>
      <c r="EA12" s="613"/>
      <c r="EB12" s="613"/>
      <c r="EC12" s="613"/>
      <c r="ED12" s="613"/>
      <c r="EE12" s="613"/>
      <c r="EF12" s="613"/>
      <c r="EG12" s="613"/>
      <c r="EH12" s="613"/>
      <c r="EI12" s="613"/>
      <c r="EJ12" s="613"/>
      <c r="EK12" s="613"/>
      <c r="EL12" s="613"/>
      <c r="EM12" s="613"/>
      <c r="EN12" s="613"/>
      <c r="EO12" s="613"/>
      <c r="EP12" s="613"/>
      <c r="EQ12" s="613"/>
      <c r="ER12" s="613"/>
      <c r="ES12" s="613"/>
      <c r="ET12" s="613"/>
      <c r="EU12" s="613"/>
      <c r="EV12" s="613"/>
      <c r="EW12" s="613"/>
      <c r="EX12" s="613"/>
      <c r="EY12" s="613"/>
      <c r="EZ12" s="613"/>
      <c r="FA12" s="613"/>
      <c r="FB12" s="613"/>
      <c r="FC12" s="613"/>
      <c r="FD12" s="613"/>
      <c r="FE12" s="613"/>
      <c r="FF12" s="613"/>
      <c r="FG12" s="613"/>
      <c r="FH12" s="613"/>
      <c r="FI12" s="613"/>
      <c r="FJ12" s="613"/>
      <c r="FK12" s="613"/>
      <c r="FL12" s="613"/>
      <c r="FM12" s="613"/>
      <c r="FN12" s="613"/>
      <c r="FO12" s="613"/>
      <c r="FP12" s="613"/>
      <c r="FQ12" s="613"/>
      <c r="FR12" s="613"/>
      <c r="FS12" s="613"/>
      <c r="FT12" s="613"/>
      <c r="FU12" s="613"/>
      <c r="FV12" s="613"/>
      <c r="FW12" s="613"/>
      <c r="FX12" s="613"/>
      <c r="FY12" s="613"/>
      <c r="FZ12" s="613"/>
      <c r="GA12" s="613"/>
      <c r="GB12" s="613"/>
      <c r="GC12" s="613"/>
      <c r="GD12" s="613"/>
      <c r="GE12" s="613"/>
      <c r="GF12" s="613"/>
      <c r="GG12" s="613"/>
      <c r="GH12" s="613"/>
      <c r="GI12" s="613"/>
      <c r="GJ12" s="613"/>
      <c r="GK12" s="613"/>
      <c r="GL12" s="613"/>
      <c r="GM12" s="613"/>
      <c r="GN12" s="613"/>
      <c r="GO12" s="613"/>
      <c r="GP12" s="613"/>
      <c r="GQ12" s="613"/>
      <c r="GR12" s="613"/>
      <c r="GS12" s="613"/>
      <c r="GT12" s="613"/>
      <c r="GU12" s="613"/>
      <c r="GV12" s="613"/>
      <c r="GW12" s="613"/>
      <c r="GX12" s="613"/>
      <c r="GY12" s="613"/>
      <c r="GZ12" s="613"/>
      <c r="HA12" s="613"/>
      <c r="HB12" s="613"/>
      <c r="HC12" s="613"/>
      <c r="HD12" s="613"/>
      <c r="HE12" s="613"/>
      <c r="HF12" s="613"/>
      <c r="HG12" s="613"/>
      <c r="HH12" s="613"/>
      <c r="HI12" s="613"/>
      <c r="HJ12" s="613"/>
      <c r="HK12" s="613"/>
      <c r="HL12" s="613"/>
      <c r="HM12" s="613"/>
      <c r="HN12" s="613"/>
      <c r="HO12" s="613"/>
      <c r="HP12" s="613"/>
      <c r="HQ12" s="613"/>
      <c r="HR12" s="613"/>
      <c r="HS12" s="613"/>
      <c r="HT12" s="613"/>
      <c r="HU12" s="613"/>
      <c r="HV12" s="613"/>
      <c r="HW12" s="613"/>
      <c r="HX12" s="613"/>
      <c r="HY12" s="613"/>
      <c r="HZ12" s="613"/>
      <c r="IA12" s="613"/>
      <c r="IB12" s="613"/>
      <c r="IC12" s="613"/>
      <c r="ID12" s="613"/>
      <c r="IE12" s="613"/>
      <c r="IF12" s="613"/>
      <c r="IG12" s="613"/>
      <c r="IH12" s="613"/>
      <c r="II12" s="613"/>
      <c r="IJ12" s="613"/>
      <c r="IK12" s="613"/>
      <c r="IL12" s="613"/>
      <c r="IM12" s="613"/>
      <c r="IN12" s="613"/>
      <c r="IO12" s="613"/>
      <c r="IP12" s="613"/>
      <c r="IQ12" s="613"/>
      <c r="IR12" s="44"/>
    </row>
    <row r="13" spans="1:252" ht="45" customHeight="1" thickBot="1" x14ac:dyDescent="0.35">
      <c r="A13" s="615">
        <v>3</v>
      </c>
      <c r="B13" s="1276" t="s">
        <v>939</v>
      </c>
      <c r="C13" s="1279">
        <f>SUM(C11:C12)</f>
        <v>149800</v>
      </c>
      <c r="D13" s="613"/>
      <c r="E13" s="613"/>
      <c r="F13" s="613"/>
      <c r="G13" s="613"/>
      <c r="H13" s="613"/>
      <c r="I13" s="613"/>
      <c r="J13" s="613"/>
      <c r="K13" s="613"/>
      <c r="L13" s="613"/>
      <c r="M13" s="613"/>
      <c r="N13" s="613"/>
      <c r="O13" s="613"/>
      <c r="P13" s="613"/>
      <c r="Q13" s="613"/>
      <c r="R13" s="613"/>
      <c r="S13" s="613"/>
      <c r="T13" s="613"/>
      <c r="U13" s="613"/>
      <c r="V13" s="613"/>
      <c r="W13" s="613"/>
      <c r="X13" s="613"/>
      <c r="Y13" s="613"/>
      <c r="Z13" s="613"/>
      <c r="AA13" s="613"/>
      <c r="AB13" s="613"/>
      <c r="AC13" s="613"/>
      <c r="AD13" s="613"/>
      <c r="AE13" s="613"/>
      <c r="AF13" s="613"/>
      <c r="AG13" s="613"/>
      <c r="AH13" s="613"/>
      <c r="AI13" s="613"/>
      <c r="AJ13" s="613"/>
      <c r="AK13" s="613"/>
      <c r="AL13" s="613"/>
      <c r="AM13" s="613"/>
      <c r="AN13" s="613"/>
      <c r="AO13" s="613"/>
      <c r="AP13" s="613"/>
      <c r="AQ13" s="613"/>
      <c r="AR13" s="613"/>
      <c r="AS13" s="613"/>
      <c r="AT13" s="613"/>
      <c r="AU13" s="613"/>
      <c r="AV13" s="613"/>
      <c r="AW13" s="613"/>
      <c r="AX13" s="613"/>
      <c r="AY13" s="613"/>
      <c r="AZ13" s="613"/>
      <c r="BA13" s="613"/>
      <c r="BB13" s="613"/>
      <c r="BC13" s="613"/>
      <c r="BD13" s="613"/>
      <c r="BE13" s="613"/>
      <c r="BF13" s="613"/>
      <c r="BG13" s="613"/>
      <c r="BH13" s="613"/>
      <c r="BI13" s="613"/>
      <c r="BJ13" s="613"/>
      <c r="BK13" s="613"/>
      <c r="BL13" s="613"/>
      <c r="BM13" s="613"/>
      <c r="BN13" s="613"/>
      <c r="BO13" s="613"/>
      <c r="BP13" s="613"/>
      <c r="BQ13" s="613"/>
      <c r="BR13" s="613"/>
      <c r="BS13" s="613"/>
      <c r="BT13" s="613"/>
      <c r="BU13" s="613"/>
      <c r="BV13" s="613"/>
      <c r="BW13" s="613"/>
      <c r="BX13" s="613"/>
      <c r="BY13" s="613"/>
      <c r="BZ13" s="613"/>
      <c r="CA13" s="613"/>
      <c r="CB13" s="613"/>
      <c r="CC13" s="613"/>
      <c r="CD13" s="613"/>
      <c r="CE13" s="613"/>
      <c r="CF13" s="613"/>
      <c r="CG13" s="613"/>
      <c r="CH13" s="613"/>
      <c r="CI13" s="613"/>
      <c r="CJ13" s="613"/>
      <c r="CK13" s="613"/>
      <c r="CL13" s="613"/>
      <c r="CM13" s="613"/>
      <c r="CN13" s="613"/>
      <c r="CO13" s="613"/>
      <c r="CP13" s="613"/>
      <c r="CQ13" s="613"/>
      <c r="CR13" s="613"/>
      <c r="CS13" s="613"/>
      <c r="CT13" s="613"/>
      <c r="CU13" s="613"/>
      <c r="CV13" s="613"/>
      <c r="CW13" s="613"/>
      <c r="CX13" s="613"/>
      <c r="CY13" s="613"/>
      <c r="CZ13" s="613"/>
      <c r="DA13" s="613"/>
      <c r="DB13" s="613"/>
      <c r="DC13" s="613"/>
      <c r="DD13" s="613"/>
      <c r="DE13" s="613"/>
      <c r="DF13" s="613"/>
      <c r="DG13" s="613"/>
      <c r="DH13" s="613"/>
      <c r="DI13" s="613"/>
      <c r="DJ13" s="613"/>
      <c r="DK13" s="613"/>
      <c r="DL13" s="613"/>
      <c r="DM13" s="613"/>
      <c r="DN13" s="613"/>
      <c r="DO13" s="613"/>
      <c r="DP13" s="613"/>
      <c r="DQ13" s="613"/>
      <c r="DR13" s="613"/>
      <c r="DS13" s="613"/>
      <c r="DT13" s="613"/>
      <c r="DU13" s="613"/>
      <c r="DV13" s="613"/>
      <c r="DW13" s="613"/>
      <c r="DX13" s="613"/>
      <c r="DY13" s="613"/>
      <c r="DZ13" s="613"/>
      <c r="EA13" s="613"/>
      <c r="EB13" s="613"/>
      <c r="EC13" s="613"/>
      <c r="ED13" s="613"/>
      <c r="EE13" s="613"/>
      <c r="EF13" s="613"/>
      <c r="EG13" s="613"/>
      <c r="EH13" s="613"/>
      <c r="EI13" s="613"/>
      <c r="EJ13" s="613"/>
      <c r="EK13" s="613"/>
      <c r="EL13" s="613"/>
      <c r="EM13" s="613"/>
      <c r="EN13" s="613"/>
      <c r="EO13" s="613"/>
      <c r="EP13" s="613"/>
      <c r="EQ13" s="613"/>
      <c r="ER13" s="613"/>
      <c r="ES13" s="613"/>
      <c r="ET13" s="613"/>
      <c r="EU13" s="613"/>
      <c r="EV13" s="613"/>
      <c r="EW13" s="613"/>
      <c r="EX13" s="613"/>
      <c r="EY13" s="613"/>
      <c r="EZ13" s="613"/>
      <c r="FA13" s="613"/>
      <c r="FB13" s="613"/>
      <c r="FC13" s="613"/>
      <c r="FD13" s="613"/>
      <c r="FE13" s="613"/>
      <c r="FF13" s="613"/>
      <c r="FG13" s="613"/>
      <c r="FH13" s="613"/>
      <c r="FI13" s="613"/>
      <c r="FJ13" s="613"/>
      <c r="FK13" s="613"/>
      <c r="FL13" s="613"/>
      <c r="FM13" s="613"/>
      <c r="FN13" s="613"/>
      <c r="FO13" s="613"/>
      <c r="FP13" s="613"/>
      <c r="FQ13" s="613"/>
      <c r="FR13" s="613"/>
      <c r="FS13" s="613"/>
      <c r="FT13" s="613"/>
      <c r="FU13" s="613"/>
      <c r="FV13" s="613"/>
      <c r="FW13" s="613"/>
      <c r="FX13" s="613"/>
      <c r="FY13" s="613"/>
      <c r="FZ13" s="613"/>
      <c r="GA13" s="613"/>
      <c r="GB13" s="613"/>
      <c r="GC13" s="613"/>
      <c r="GD13" s="613"/>
      <c r="GE13" s="613"/>
      <c r="GF13" s="613"/>
      <c r="GG13" s="613"/>
      <c r="GH13" s="613"/>
      <c r="GI13" s="613"/>
      <c r="GJ13" s="613"/>
      <c r="GK13" s="613"/>
      <c r="GL13" s="613"/>
      <c r="GM13" s="613"/>
      <c r="GN13" s="613"/>
      <c r="GO13" s="613"/>
      <c r="GP13" s="613"/>
      <c r="GQ13" s="613"/>
      <c r="GR13" s="613"/>
      <c r="GS13" s="613"/>
      <c r="GT13" s="613"/>
      <c r="GU13" s="613"/>
      <c r="GV13" s="613"/>
      <c r="GW13" s="613"/>
      <c r="GX13" s="613"/>
      <c r="GY13" s="613"/>
      <c r="GZ13" s="613"/>
      <c r="HA13" s="613"/>
      <c r="HB13" s="613"/>
      <c r="HC13" s="613"/>
      <c r="HD13" s="613"/>
      <c r="HE13" s="613"/>
      <c r="HF13" s="613"/>
      <c r="HG13" s="613"/>
      <c r="HH13" s="613"/>
      <c r="HI13" s="613"/>
      <c r="HJ13" s="613"/>
      <c r="HK13" s="613"/>
      <c r="HL13" s="613"/>
      <c r="HM13" s="613"/>
      <c r="HN13" s="613"/>
      <c r="HO13" s="613"/>
      <c r="HP13" s="613"/>
      <c r="HQ13" s="613"/>
      <c r="HR13" s="613"/>
      <c r="HS13" s="613"/>
      <c r="HT13" s="613"/>
      <c r="HU13" s="613"/>
      <c r="HV13" s="613"/>
      <c r="HW13" s="613"/>
      <c r="HX13" s="613"/>
      <c r="HY13" s="613"/>
      <c r="HZ13" s="613"/>
      <c r="IA13" s="613"/>
      <c r="IB13" s="613"/>
      <c r="IC13" s="613"/>
      <c r="ID13" s="613"/>
      <c r="IE13" s="613"/>
      <c r="IF13" s="613"/>
      <c r="IG13" s="613"/>
      <c r="IH13" s="613"/>
      <c r="II13" s="613"/>
      <c r="IJ13" s="613"/>
      <c r="IK13" s="613"/>
      <c r="IL13" s="613"/>
      <c r="IM13" s="613"/>
      <c r="IN13" s="613"/>
      <c r="IO13" s="613"/>
      <c r="IP13" s="613"/>
      <c r="IQ13" s="613"/>
      <c r="IR13" s="44"/>
    </row>
  </sheetData>
  <mergeCells count="3">
    <mergeCell ref="B3:C3"/>
    <mergeCell ref="B4:C4"/>
    <mergeCell ref="B6:C6"/>
  </mergeCells>
  <printOptions horizontalCentered="1"/>
  <pageMargins left="0.19685039370078741" right="0.19685039370078741" top="0.59055118110236227" bottom="0.59055118110236227" header="0.51181102362204722" footer="0.51181102362204722"/>
  <pageSetup paperSize="9" fitToHeight="0" orientation="portrait" r:id="rId1"/>
  <headerFooter>
    <oddFooter>&amp;C-&amp;P -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2"/>
  <sheetViews>
    <sheetView tabSelected="1" view="pageBreakPreview" zoomScale="75" zoomScaleNormal="100" zoomScaleSheetLayoutView="75" workbookViewId="0">
      <selection activeCell="B1" sqref="B1:V1"/>
    </sheetView>
  </sheetViews>
  <sheetFormatPr defaultColWidth="10.42578125" defaultRowHeight="16.5" x14ac:dyDescent="0.3"/>
  <cols>
    <col min="1" max="1" width="3.7109375" style="1017" customWidth="1"/>
    <col min="2" max="3" width="5.7109375" style="302" customWidth="1"/>
    <col min="4" max="4" width="51.7109375" style="1116" customWidth="1"/>
    <col min="5" max="5" width="19.7109375" style="303" customWidth="1"/>
    <col min="6" max="6" width="3" style="301" customWidth="1"/>
    <col min="7" max="8" width="13.7109375" style="301" customWidth="1"/>
    <col min="9" max="11" width="12.28515625" style="301" customWidth="1"/>
    <col min="12" max="14" width="13.7109375" style="301" customWidth="1"/>
    <col min="15" max="15" width="15.7109375" style="301" customWidth="1"/>
    <col min="16" max="18" width="12.28515625" style="301" customWidth="1"/>
    <col min="19" max="21" width="13.7109375" style="301" customWidth="1"/>
    <col min="22" max="22" width="15.7109375" style="301" customWidth="1"/>
    <col min="23" max="16384" width="10.42578125" style="301"/>
  </cols>
  <sheetData>
    <row r="1" spans="1:22" ht="17.25" x14ac:dyDescent="0.35">
      <c r="A1" s="2060"/>
      <c r="B1" s="2342" t="s">
        <v>1316</v>
      </c>
      <c r="C1" s="2342"/>
      <c r="D1" s="2342"/>
      <c r="E1" s="2342"/>
      <c r="F1" s="2342"/>
      <c r="G1" s="2342"/>
      <c r="H1" s="2342"/>
      <c r="I1" s="2342"/>
      <c r="J1" s="2342"/>
      <c r="K1" s="2342"/>
      <c r="L1" s="2342"/>
      <c r="M1" s="2342"/>
      <c r="N1" s="2342"/>
      <c r="O1" s="2342"/>
      <c r="P1" s="2342"/>
      <c r="Q1" s="2342"/>
      <c r="R1" s="2342"/>
      <c r="S1" s="2342"/>
      <c r="T1" s="2342"/>
      <c r="U1" s="2342"/>
      <c r="V1" s="2342"/>
    </row>
    <row r="2" spans="1:22" x14ac:dyDescent="0.3">
      <c r="A2" s="2060"/>
      <c r="B2" s="2432" t="s">
        <v>1299</v>
      </c>
      <c r="C2" s="2432"/>
      <c r="D2" s="2432"/>
      <c r="E2" s="2432"/>
      <c r="F2" s="2432"/>
      <c r="G2" s="2432"/>
      <c r="H2" s="2432"/>
      <c r="I2" s="2432"/>
      <c r="J2" s="2432"/>
      <c r="K2" s="2432"/>
      <c r="L2" s="2432"/>
      <c r="M2" s="2432"/>
      <c r="N2" s="2432"/>
      <c r="O2" s="2432"/>
      <c r="P2" s="2432"/>
      <c r="Q2" s="2432"/>
      <c r="R2" s="2432"/>
      <c r="S2" s="2432"/>
      <c r="T2" s="2432"/>
      <c r="U2" s="2432"/>
      <c r="V2" s="2432"/>
    </row>
    <row r="3" spans="1:22" x14ac:dyDescent="0.3">
      <c r="A3" s="2060"/>
      <c r="B3" s="489"/>
      <c r="C3" s="489"/>
      <c r="D3" s="489"/>
      <c r="E3" s="489"/>
      <c r="F3" s="489"/>
      <c r="G3" s="489"/>
      <c r="H3" s="489"/>
      <c r="I3" s="489"/>
      <c r="J3" s="489"/>
      <c r="K3" s="489"/>
      <c r="L3" s="489"/>
      <c r="M3" s="489"/>
      <c r="N3" s="489"/>
      <c r="O3" s="489"/>
      <c r="P3" s="489"/>
      <c r="Q3" s="489"/>
      <c r="R3" s="489"/>
      <c r="S3" s="489"/>
      <c r="T3" s="489"/>
      <c r="U3" s="489"/>
      <c r="V3" s="489"/>
    </row>
    <row r="4" spans="1:22" ht="24.75" customHeight="1" x14ac:dyDescent="0.35">
      <c r="B4" s="2436" t="s">
        <v>122</v>
      </c>
      <c r="C4" s="2436"/>
      <c r="D4" s="2436"/>
      <c r="E4" s="2436"/>
      <c r="F4" s="2436"/>
      <c r="G4" s="2436"/>
      <c r="H4" s="2436"/>
      <c r="I4" s="2436"/>
      <c r="J4" s="2436"/>
      <c r="K4" s="2436"/>
      <c r="L4" s="2436"/>
      <c r="M4" s="2436"/>
      <c r="N4" s="2436"/>
      <c r="O4" s="2436"/>
      <c r="P4" s="2436"/>
      <c r="Q4" s="2436"/>
      <c r="R4" s="2436"/>
      <c r="S4" s="2436"/>
      <c r="T4" s="2436"/>
      <c r="U4" s="2436"/>
      <c r="V4" s="2436"/>
    </row>
    <row r="5" spans="1:22" ht="24.75" customHeight="1" x14ac:dyDescent="0.35">
      <c r="B5" s="2436" t="s">
        <v>431</v>
      </c>
      <c r="C5" s="2436"/>
      <c r="D5" s="2436"/>
      <c r="E5" s="2436"/>
      <c r="F5" s="2436"/>
      <c r="G5" s="2436"/>
      <c r="H5" s="2436"/>
      <c r="I5" s="2436"/>
      <c r="J5" s="2436"/>
      <c r="K5" s="2436"/>
      <c r="L5" s="2436"/>
      <c r="M5" s="2436"/>
      <c r="N5" s="2436"/>
      <c r="O5" s="2436"/>
      <c r="P5" s="2436"/>
      <c r="Q5" s="2436"/>
      <c r="R5" s="2436"/>
      <c r="S5" s="2436"/>
      <c r="T5" s="2436"/>
      <c r="U5" s="2436"/>
      <c r="V5" s="2436"/>
    </row>
    <row r="6" spans="1:22" ht="24.75" customHeight="1" x14ac:dyDescent="0.35">
      <c r="B6" s="2436" t="s">
        <v>399</v>
      </c>
      <c r="C6" s="2436"/>
      <c r="D6" s="2436"/>
      <c r="E6" s="2436"/>
      <c r="F6" s="2436"/>
      <c r="G6" s="2436"/>
      <c r="H6" s="2436"/>
      <c r="I6" s="2436"/>
      <c r="J6" s="2436"/>
      <c r="K6" s="2436"/>
      <c r="L6" s="2436"/>
      <c r="M6" s="2436"/>
      <c r="N6" s="2436"/>
      <c r="O6" s="2436"/>
      <c r="P6" s="2436"/>
      <c r="Q6" s="2436"/>
      <c r="R6" s="2436"/>
      <c r="S6" s="2436"/>
      <c r="T6" s="2436"/>
      <c r="U6" s="2436"/>
      <c r="V6" s="2436"/>
    </row>
    <row r="7" spans="1:22" s="1016" customFormat="1" ht="15" x14ac:dyDescent="0.3">
      <c r="A7" s="1017"/>
      <c r="B7" s="1017"/>
      <c r="C7" s="1017"/>
      <c r="D7" s="1018"/>
      <c r="E7" s="1019"/>
      <c r="U7" s="2437" t="s">
        <v>0</v>
      </c>
      <c r="V7" s="2437"/>
    </row>
    <row r="8" spans="1:22" s="1017" customFormat="1" ht="15.75" thickBot="1" x14ac:dyDescent="0.35">
      <c r="B8" s="1017" t="s">
        <v>886</v>
      </c>
      <c r="C8" s="1017" t="s">
        <v>3</v>
      </c>
      <c r="D8" s="1132" t="s">
        <v>2</v>
      </c>
      <c r="E8" s="1019" t="s">
        <v>4</v>
      </c>
      <c r="G8" s="1017" t="s">
        <v>5</v>
      </c>
      <c r="H8" s="1017" t="s">
        <v>15</v>
      </c>
      <c r="I8" s="1017" t="s">
        <v>16</v>
      </c>
      <c r="J8" s="1017" t="s">
        <v>17</v>
      </c>
      <c r="K8" s="1017" t="s">
        <v>36</v>
      </c>
      <c r="L8" s="1017" t="s">
        <v>30</v>
      </c>
      <c r="M8" s="1017" t="s">
        <v>23</v>
      </c>
      <c r="N8" s="1017" t="s">
        <v>37</v>
      </c>
      <c r="O8" s="1017" t="s">
        <v>38</v>
      </c>
      <c r="P8" s="1017" t="s">
        <v>160</v>
      </c>
      <c r="Q8" s="1017" t="s">
        <v>161</v>
      </c>
      <c r="R8" s="1017" t="s">
        <v>162</v>
      </c>
      <c r="S8" s="1133" t="s">
        <v>366</v>
      </c>
      <c r="T8" s="1133" t="s">
        <v>603</v>
      </c>
      <c r="U8" s="1133" t="s">
        <v>604</v>
      </c>
      <c r="V8" s="1133" t="s">
        <v>887</v>
      </c>
    </row>
    <row r="9" spans="1:22" s="304" customFormat="1" ht="24.75" customHeight="1" x14ac:dyDescent="0.2">
      <c r="A9" s="1134"/>
      <c r="B9" s="2418" t="s">
        <v>18</v>
      </c>
      <c r="C9" s="2421" t="s">
        <v>19</v>
      </c>
      <c r="D9" s="2424" t="s">
        <v>400</v>
      </c>
      <c r="E9" s="2427" t="s">
        <v>401</v>
      </c>
      <c r="F9" s="1135"/>
      <c r="G9" s="2430" t="s">
        <v>420</v>
      </c>
      <c r="H9" s="2430"/>
      <c r="I9" s="2405"/>
      <c r="J9" s="2405"/>
      <c r="K9" s="2405"/>
      <c r="L9" s="2405"/>
      <c r="M9" s="2405"/>
      <c r="N9" s="2405"/>
      <c r="O9" s="2431"/>
      <c r="P9" s="2404" t="s">
        <v>421</v>
      </c>
      <c r="Q9" s="2405"/>
      <c r="R9" s="2405"/>
      <c r="S9" s="2405"/>
      <c r="T9" s="2405"/>
      <c r="U9" s="2405"/>
      <c r="V9" s="2408" t="s">
        <v>611</v>
      </c>
    </row>
    <row r="10" spans="1:22" s="304" customFormat="1" ht="24.75" customHeight="1" x14ac:dyDescent="0.2">
      <c r="A10" s="1134"/>
      <c r="B10" s="2419"/>
      <c r="C10" s="2422"/>
      <c r="D10" s="2425"/>
      <c r="E10" s="2428"/>
      <c r="F10" s="1136"/>
      <c r="G10" s="2411" t="s">
        <v>402</v>
      </c>
      <c r="H10" s="2413" t="s">
        <v>913</v>
      </c>
      <c r="I10" s="2415" t="s">
        <v>404</v>
      </c>
      <c r="J10" s="2415"/>
      <c r="K10" s="2415"/>
      <c r="L10" s="2415"/>
      <c r="M10" s="2415"/>
      <c r="N10" s="2415"/>
      <c r="O10" s="2416" t="s">
        <v>403</v>
      </c>
      <c r="P10" s="2406"/>
      <c r="Q10" s="2407"/>
      <c r="R10" s="2407"/>
      <c r="S10" s="2407"/>
      <c r="T10" s="2407"/>
      <c r="U10" s="2407"/>
      <c r="V10" s="2409"/>
    </row>
    <row r="11" spans="1:22" s="304" customFormat="1" ht="60.75" customHeight="1" thickBot="1" x14ac:dyDescent="0.25">
      <c r="A11" s="1134"/>
      <c r="B11" s="2420"/>
      <c r="C11" s="2423"/>
      <c r="D11" s="2426"/>
      <c r="E11" s="2429"/>
      <c r="F11" s="1136"/>
      <c r="G11" s="2412"/>
      <c r="H11" s="2414"/>
      <c r="I11" s="373" t="s">
        <v>422</v>
      </c>
      <c r="J11" s="373" t="s">
        <v>534</v>
      </c>
      <c r="K11" s="373" t="s">
        <v>633</v>
      </c>
      <c r="L11" s="373" t="s">
        <v>888</v>
      </c>
      <c r="M11" s="373" t="s">
        <v>674</v>
      </c>
      <c r="N11" s="373" t="s">
        <v>675</v>
      </c>
      <c r="O11" s="2417"/>
      <c r="P11" s="374" t="s">
        <v>423</v>
      </c>
      <c r="Q11" s="375" t="s">
        <v>534</v>
      </c>
      <c r="R11" s="375" t="s">
        <v>633</v>
      </c>
      <c r="S11" s="375" t="s">
        <v>888</v>
      </c>
      <c r="T11" s="375" t="s">
        <v>674</v>
      </c>
      <c r="U11" s="375" t="s">
        <v>675</v>
      </c>
      <c r="V11" s="2410"/>
    </row>
    <row r="12" spans="1:22" s="304" customFormat="1" ht="33" customHeight="1" x14ac:dyDescent="0.35">
      <c r="A12" s="1137">
        <v>1</v>
      </c>
      <c r="B12" s="1138">
        <v>18</v>
      </c>
      <c r="C12" s="1139" t="s">
        <v>14</v>
      </c>
      <c r="D12" s="1140"/>
      <c r="E12" s="1141"/>
      <c r="F12" s="1142"/>
      <c r="G12" s="1143"/>
      <c r="H12" s="1144"/>
      <c r="I12" s="1145"/>
      <c r="J12" s="1145"/>
      <c r="K12" s="1145"/>
      <c r="L12" s="1145"/>
      <c r="M12" s="1145"/>
      <c r="N12" s="1145"/>
      <c r="O12" s="1146"/>
      <c r="P12" s="1143"/>
      <c r="Q12" s="1147"/>
      <c r="R12" s="1147"/>
      <c r="S12" s="1147"/>
      <c r="T12" s="1147"/>
      <c r="U12" s="1147"/>
      <c r="V12" s="1148"/>
    </row>
    <row r="13" spans="1:22" s="304" customFormat="1" ht="33" x14ac:dyDescent="0.2">
      <c r="A13" s="1149">
        <v>2</v>
      </c>
      <c r="B13" s="1150"/>
      <c r="C13" s="1151">
        <v>1</v>
      </c>
      <c r="D13" s="1152" t="s">
        <v>608</v>
      </c>
      <c r="E13" s="1153" t="s">
        <v>889</v>
      </c>
      <c r="F13" s="645"/>
      <c r="G13" s="1154">
        <f>+V13-O13-H13</f>
        <v>187554</v>
      </c>
      <c r="H13" s="1155"/>
      <c r="I13" s="1156"/>
      <c r="J13" s="1156"/>
      <c r="K13" s="1156"/>
      <c r="L13" s="1156">
        <v>917181</v>
      </c>
      <c r="M13" s="1156">
        <v>15000</v>
      </c>
      <c r="N13" s="1156"/>
      <c r="O13" s="1157">
        <f t="shared" ref="O13" si="0">SUM(I13:N13)</f>
        <v>932181</v>
      </c>
      <c r="P13" s="1154"/>
      <c r="Q13" s="1156"/>
      <c r="R13" s="1156"/>
      <c r="S13" s="1156">
        <v>237</v>
      </c>
      <c r="T13" s="1156">
        <v>1119498</v>
      </c>
      <c r="U13" s="1156"/>
      <c r="V13" s="1158">
        <f t="shared" ref="V13" si="1">SUM(P13:U13)</f>
        <v>1119735</v>
      </c>
    </row>
    <row r="14" spans="1:22" ht="33" customHeight="1" x14ac:dyDescent="0.3">
      <c r="A14" s="1137">
        <v>3</v>
      </c>
      <c r="B14" s="644"/>
      <c r="C14" s="1159">
        <v>2</v>
      </c>
      <c r="D14" s="1160" t="s">
        <v>506</v>
      </c>
      <c r="E14" s="1153" t="s">
        <v>890</v>
      </c>
      <c r="F14" s="306"/>
      <c r="G14" s="1161">
        <f t="shared" ref="G14:G40" si="2">+V14-O14-H14</f>
        <v>0</v>
      </c>
      <c r="H14" s="1162"/>
      <c r="I14" s="1156"/>
      <c r="J14" s="1156"/>
      <c r="K14" s="1156">
        <v>17017</v>
      </c>
      <c r="L14" s="1156">
        <v>8958</v>
      </c>
      <c r="M14" s="1939"/>
      <c r="N14" s="1156"/>
      <c r="O14" s="1157">
        <f t="shared" ref="O14:O27" si="3">SUM(I14:N14)</f>
        <v>25975</v>
      </c>
      <c r="P14" s="1163"/>
      <c r="Q14" s="1164"/>
      <c r="R14" s="1164">
        <v>12413</v>
      </c>
      <c r="S14" s="1164">
        <f>2345+10041</f>
        <v>12386</v>
      </c>
      <c r="T14" s="1164">
        <f>655+482+39</f>
        <v>1176</v>
      </c>
      <c r="U14" s="1156"/>
      <c r="V14" s="1158">
        <f t="shared" ref="V14:V40" si="4">SUM(P14:U14)</f>
        <v>25975</v>
      </c>
    </row>
    <row r="15" spans="1:22" ht="33" customHeight="1" x14ac:dyDescent="0.3">
      <c r="A15" s="1137">
        <v>4</v>
      </c>
      <c r="B15" s="644"/>
      <c r="C15" s="1159">
        <v>3</v>
      </c>
      <c r="D15" s="1152" t="s">
        <v>678</v>
      </c>
      <c r="E15" s="1153" t="s">
        <v>889</v>
      </c>
      <c r="F15" s="306"/>
      <c r="G15" s="1161">
        <f t="shared" si="2"/>
        <v>59476</v>
      </c>
      <c r="H15" s="1162"/>
      <c r="I15" s="1156"/>
      <c r="J15" s="1156"/>
      <c r="K15" s="1156"/>
      <c r="L15" s="1156"/>
      <c r="M15" s="1156">
        <v>223100</v>
      </c>
      <c r="N15" s="1156"/>
      <c r="O15" s="1157">
        <f t="shared" si="3"/>
        <v>223100</v>
      </c>
      <c r="P15" s="1163"/>
      <c r="Q15" s="1164">
        <v>6699</v>
      </c>
      <c r="R15" s="1164"/>
      <c r="S15" s="1164"/>
      <c r="T15" s="1164">
        <v>275877</v>
      </c>
      <c r="U15" s="1156"/>
      <c r="V15" s="1158">
        <f t="shared" si="4"/>
        <v>282576</v>
      </c>
    </row>
    <row r="16" spans="1:22" ht="33" customHeight="1" x14ac:dyDescent="0.3">
      <c r="A16" s="1149">
        <v>5</v>
      </c>
      <c r="B16" s="644"/>
      <c r="C16" s="1159">
        <v>4</v>
      </c>
      <c r="D16" s="1152" t="s">
        <v>679</v>
      </c>
      <c r="E16" s="1153" t="s">
        <v>890</v>
      </c>
      <c r="F16" s="306"/>
      <c r="G16" s="1161">
        <f t="shared" si="2"/>
        <v>5021</v>
      </c>
      <c r="H16" s="1162"/>
      <c r="I16" s="1156"/>
      <c r="J16" s="1156"/>
      <c r="K16" s="1156">
        <v>58534</v>
      </c>
      <c r="L16" s="1156"/>
      <c r="M16" s="1156">
        <v>3081</v>
      </c>
      <c r="N16" s="1156"/>
      <c r="O16" s="1157">
        <f t="shared" si="3"/>
        <v>61615</v>
      </c>
      <c r="P16" s="1163"/>
      <c r="Q16" s="1164"/>
      <c r="R16" s="1164">
        <v>143</v>
      </c>
      <c r="S16" s="1164">
        <v>64724</v>
      </c>
      <c r="T16" s="1164">
        <v>1769</v>
      </c>
      <c r="U16" s="1156"/>
      <c r="V16" s="1158">
        <f t="shared" si="4"/>
        <v>66636</v>
      </c>
    </row>
    <row r="17" spans="1:22" s="304" customFormat="1" ht="33" x14ac:dyDescent="0.3">
      <c r="A17" s="1137">
        <v>6</v>
      </c>
      <c r="B17" s="644"/>
      <c r="C17" s="1159">
        <v>5</v>
      </c>
      <c r="D17" s="423" t="s">
        <v>616</v>
      </c>
      <c r="E17" s="1153" t="s">
        <v>889</v>
      </c>
      <c r="F17" s="645"/>
      <c r="G17" s="1161">
        <f t="shared" si="2"/>
        <v>41474</v>
      </c>
      <c r="H17" s="1162"/>
      <c r="I17" s="1156"/>
      <c r="J17" s="1156"/>
      <c r="K17" s="1156"/>
      <c r="L17" s="1156">
        <v>134273</v>
      </c>
      <c r="M17" s="1156">
        <v>0</v>
      </c>
      <c r="N17" s="1156"/>
      <c r="O17" s="1157">
        <f t="shared" si="3"/>
        <v>134273</v>
      </c>
      <c r="P17" s="1154">
        <v>2921</v>
      </c>
      <c r="Q17" s="1156">
        <v>3620</v>
      </c>
      <c r="R17" s="1156"/>
      <c r="S17" s="1156"/>
      <c r="T17" s="1156">
        <f>165956+3250</f>
        <v>169206</v>
      </c>
      <c r="U17" s="1156"/>
      <c r="V17" s="1158">
        <f t="shared" si="4"/>
        <v>175747</v>
      </c>
    </row>
    <row r="18" spans="1:22" ht="33" customHeight="1" x14ac:dyDescent="0.3">
      <c r="A18" s="1137">
        <v>7</v>
      </c>
      <c r="B18" s="644"/>
      <c r="C18" s="1159">
        <v>6</v>
      </c>
      <c r="D18" s="1152" t="s">
        <v>681</v>
      </c>
      <c r="E18" s="1153" t="s">
        <v>891</v>
      </c>
      <c r="F18" s="306"/>
      <c r="G18" s="1161">
        <f t="shared" si="2"/>
        <v>14154</v>
      </c>
      <c r="H18" s="1162"/>
      <c r="I18" s="1156"/>
      <c r="J18" s="1156"/>
      <c r="K18" s="1156"/>
      <c r="L18" s="1156">
        <v>19069</v>
      </c>
      <c r="M18" s="1156">
        <f>20344-2775</f>
        <v>17569</v>
      </c>
      <c r="N18" s="1156"/>
      <c r="O18" s="1157">
        <f t="shared" si="3"/>
        <v>36638</v>
      </c>
      <c r="P18" s="1154"/>
      <c r="Q18" s="1156"/>
      <c r="R18" s="1156">
        <v>1956</v>
      </c>
      <c r="S18" s="1156"/>
      <c r="T18" s="1156">
        <v>48836</v>
      </c>
      <c r="U18" s="1156"/>
      <c r="V18" s="1158">
        <f t="shared" si="4"/>
        <v>50792</v>
      </c>
    </row>
    <row r="19" spans="1:22" ht="33" customHeight="1" x14ac:dyDescent="0.3">
      <c r="A19" s="1149">
        <v>8</v>
      </c>
      <c r="B19" s="644"/>
      <c r="C19" s="1159">
        <v>7</v>
      </c>
      <c r="D19" s="1152" t="s">
        <v>682</v>
      </c>
      <c r="E19" s="1153" t="s">
        <v>891</v>
      </c>
      <c r="F19" s="306"/>
      <c r="G19" s="1161">
        <f>+V19-O19-H19</f>
        <v>39517</v>
      </c>
      <c r="H19" s="1162"/>
      <c r="I19" s="1156"/>
      <c r="J19" s="1156"/>
      <c r="K19" s="1156"/>
      <c r="L19" s="1156">
        <v>27673</v>
      </c>
      <c r="M19" s="1156">
        <f>25819</f>
        <v>25819</v>
      </c>
      <c r="N19" s="1156"/>
      <c r="O19" s="1157">
        <f t="shared" si="3"/>
        <v>53492</v>
      </c>
      <c r="P19" s="1154"/>
      <c r="Q19" s="1156"/>
      <c r="R19" s="1156">
        <v>2459</v>
      </c>
      <c r="S19" s="1156"/>
      <c r="T19" s="1156">
        <f>90550</f>
        <v>90550</v>
      </c>
      <c r="U19" s="1156"/>
      <c r="V19" s="1158">
        <f t="shared" si="4"/>
        <v>93009</v>
      </c>
    </row>
    <row r="20" spans="1:22" ht="33" customHeight="1" x14ac:dyDescent="0.3">
      <c r="A20" s="1137">
        <v>9</v>
      </c>
      <c r="B20" s="644"/>
      <c r="C20" s="1159">
        <v>8</v>
      </c>
      <c r="D20" s="1152" t="s">
        <v>892</v>
      </c>
      <c r="E20" s="1153" t="s">
        <v>890</v>
      </c>
      <c r="F20" s="306"/>
      <c r="G20" s="1161">
        <f t="shared" si="2"/>
        <v>1320</v>
      </c>
      <c r="H20" s="1162"/>
      <c r="I20" s="1156"/>
      <c r="J20" s="1156"/>
      <c r="K20" s="1156">
        <v>71352</v>
      </c>
      <c r="L20" s="1156"/>
      <c r="M20" s="1156">
        <v>-45</v>
      </c>
      <c r="N20" s="1156"/>
      <c r="O20" s="1157">
        <f>SUM(I20:N20)</f>
        <v>71307</v>
      </c>
      <c r="P20" s="1163"/>
      <c r="Q20" s="1164"/>
      <c r="R20" s="1164">
        <v>4926</v>
      </c>
      <c r="S20" s="1164">
        <v>67701</v>
      </c>
      <c r="T20" s="1164"/>
      <c r="U20" s="1156"/>
      <c r="V20" s="1158">
        <f t="shared" si="4"/>
        <v>72627</v>
      </c>
    </row>
    <row r="21" spans="1:22" s="304" customFormat="1" ht="66" x14ac:dyDescent="0.2">
      <c r="A21" s="1137">
        <v>10</v>
      </c>
      <c r="B21" s="644"/>
      <c r="C21" s="1159">
        <v>9</v>
      </c>
      <c r="D21" s="1152" t="s">
        <v>617</v>
      </c>
      <c r="E21" s="1153" t="s">
        <v>889</v>
      </c>
      <c r="F21" s="645"/>
      <c r="G21" s="1161">
        <f>+V21-O21-H21</f>
        <v>3810</v>
      </c>
      <c r="H21" s="1162"/>
      <c r="I21" s="1156"/>
      <c r="J21" s="1156"/>
      <c r="K21" s="1156"/>
      <c r="L21" s="1156">
        <v>87086</v>
      </c>
      <c r="M21" s="1156">
        <v>-87086</v>
      </c>
      <c r="N21" s="1156"/>
      <c r="O21" s="1157">
        <f t="shared" si="3"/>
        <v>0</v>
      </c>
      <c r="P21" s="1154"/>
      <c r="Q21" s="1156"/>
      <c r="R21" s="1156">
        <f>4834-1024</f>
        <v>3810</v>
      </c>
      <c r="S21" s="1156">
        <f>40-40</f>
        <v>0</v>
      </c>
      <c r="T21" s="1156">
        <f>195772-195772</f>
        <v>0</v>
      </c>
      <c r="U21" s="1156"/>
      <c r="V21" s="1158">
        <f t="shared" si="4"/>
        <v>3810</v>
      </c>
    </row>
    <row r="22" spans="1:22" s="304" customFormat="1" ht="66" x14ac:dyDescent="0.3">
      <c r="A22" s="1149">
        <v>11</v>
      </c>
      <c r="B22" s="644"/>
      <c r="C22" s="1159">
        <v>10</v>
      </c>
      <c r="D22" s="423" t="s">
        <v>1052</v>
      </c>
      <c r="E22" s="1153" t="s">
        <v>1053</v>
      </c>
      <c r="F22" s="645"/>
      <c r="G22" s="1161">
        <f>+V22-O22-H22</f>
        <v>750</v>
      </c>
      <c r="H22" s="1162"/>
      <c r="I22" s="1156"/>
      <c r="J22" s="1156"/>
      <c r="K22" s="1156"/>
      <c r="L22" s="1156"/>
      <c r="M22" s="1156">
        <v>307086</v>
      </c>
      <c r="N22" s="1156"/>
      <c r="O22" s="1157">
        <f t="shared" si="3"/>
        <v>307086</v>
      </c>
      <c r="P22" s="1154"/>
      <c r="Q22" s="1156"/>
      <c r="R22" s="1156">
        <f>984+40</f>
        <v>1024</v>
      </c>
      <c r="S22" s="1156">
        <v>40</v>
      </c>
      <c r="T22" s="1156">
        <f>307086-1064+750</f>
        <v>306772</v>
      </c>
      <c r="U22" s="1156"/>
      <c r="V22" s="1158">
        <f t="shared" si="4"/>
        <v>307836</v>
      </c>
    </row>
    <row r="23" spans="1:22" ht="33" customHeight="1" x14ac:dyDescent="0.3">
      <c r="A23" s="1137">
        <v>12</v>
      </c>
      <c r="B23" s="644"/>
      <c r="C23" s="1159">
        <v>11</v>
      </c>
      <c r="D23" s="1152" t="s">
        <v>680</v>
      </c>
      <c r="E23" s="1153" t="s">
        <v>889</v>
      </c>
      <c r="F23" s="306"/>
      <c r="G23" s="1161">
        <f t="shared" si="2"/>
        <v>161006</v>
      </c>
      <c r="H23" s="1162"/>
      <c r="I23" s="1156"/>
      <c r="J23" s="1156"/>
      <c r="K23" s="1156"/>
      <c r="L23" s="1156">
        <v>173975</v>
      </c>
      <c r="M23" s="1156">
        <v>0</v>
      </c>
      <c r="N23" s="1156"/>
      <c r="O23" s="1157">
        <f t="shared" si="3"/>
        <v>173975</v>
      </c>
      <c r="P23" s="1154"/>
      <c r="Q23" s="1156"/>
      <c r="R23" s="1156">
        <v>6401</v>
      </c>
      <c r="S23" s="1156">
        <v>100</v>
      </c>
      <c r="T23" s="1156">
        <v>328480</v>
      </c>
      <c r="U23" s="1156"/>
      <c r="V23" s="1158">
        <f t="shared" si="4"/>
        <v>334981</v>
      </c>
    </row>
    <row r="24" spans="1:22" ht="33" customHeight="1" x14ac:dyDescent="0.3">
      <c r="A24" s="1137">
        <v>13</v>
      </c>
      <c r="B24" s="644"/>
      <c r="C24" s="1159">
        <v>12</v>
      </c>
      <c r="D24" s="1152" t="s">
        <v>683</v>
      </c>
      <c r="E24" s="1153" t="s">
        <v>893</v>
      </c>
      <c r="F24" s="306"/>
      <c r="G24" s="1161">
        <f t="shared" si="2"/>
        <v>397000</v>
      </c>
      <c r="H24" s="1162"/>
      <c r="I24" s="1156"/>
      <c r="J24" s="1156"/>
      <c r="K24" s="1156">
        <v>2092161</v>
      </c>
      <c r="L24" s="1156"/>
      <c r="M24" s="1156">
        <v>1107839</v>
      </c>
      <c r="N24" s="1156"/>
      <c r="O24" s="1157">
        <f t="shared" si="3"/>
        <v>3200000</v>
      </c>
      <c r="P24" s="1154">
        <v>40063</v>
      </c>
      <c r="Q24" s="1156">
        <v>83854</v>
      </c>
      <c r="R24" s="1156">
        <v>327034</v>
      </c>
      <c r="S24" s="1156">
        <v>1231269</v>
      </c>
      <c r="T24" s="1156">
        <v>1914780</v>
      </c>
      <c r="U24" s="1156"/>
      <c r="V24" s="1158">
        <f t="shared" si="4"/>
        <v>3597000</v>
      </c>
    </row>
    <row r="25" spans="1:22" ht="33" customHeight="1" x14ac:dyDescent="0.3">
      <c r="A25" s="1149">
        <v>14</v>
      </c>
      <c r="B25" s="644"/>
      <c r="C25" s="1159">
        <v>13</v>
      </c>
      <c r="D25" s="1152" t="s">
        <v>1040</v>
      </c>
      <c r="E25" s="1153" t="s">
        <v>894</v>
      </c>
      <c r="F25" s="306"/>
      <c r="G25" s="1161">
        <f t="shared" si="2"/>
        <v>0</v>
      </c>
      <c r="H25" s="1162"/>
      <c r="I25" s="1156"/>
      <c r="J25" s="1156"/>
      <c r="K25" s="1156">
        <v>19671</v>
      </c>
      <c r="L25" s="1156"/>
      <c r="M25" s="1156">
        <f>12000+208329</f>
        <v>220329</v>
      </c>
      <c r="N25" s="1156"/>
      <c r="O25" s="1157">
        <f t="shared" si="3"/>
        <v>240000</v>
      </c>
      <c r="P25" s="1154"/>
      <c r="Q25" s="1156"/>
      <c r="R25" s="1156">
        <v>9749</v>
      </c>
      <c r="S25" s="1156">
        <v>3835</v>
      </c>
      <c r="T25" s="1156">
        <f>220416+6000</f>
        <v>226416</v>
      </c>
      <c r="U25" s="1156"/>
      <c r="V25" s="1158">
        <f t="shared" si="4"/>
        <v>240000</v>
      </c>
    </row>
    <row r="26" spans="1:22" s="304" customFormat="1" ht="33" x14ac:dyDescent="0.2">
      <c r="A26" s="1137">
        <v>15</v>
      </c>
      <c r="B26" s="644"/>
      <c r="C26" s="1159">
        <v>14</v>
      </c>
      <c r="D26" s="1152" t="s">
        <v>684</v>
      </c>
      <c r="E26" s="1153" t="s">
        <v>895</v>
      </c>
      <c r="F26" s="645"/>
      <c r="G26" s="1161">
        <f t="shared" si="2"/>
        <v>0</v>
      </c>
      <c r="H26" s="1162"/>
      <c r="I26" s="1156"/>
      <c r="J26" s="1156"/>
      <c r="K26" s="1156"/>
      <c r="L26" s="1156">
        <v>480600</v>
      </c>
      <c r="M26" s="1156">
        <v>21000</v>
      </c>
      <c r="N26" s="1156"/>
      <c r="O26" s="1157">
        <f t="shared" si="3"/>
        <v>501600</v>
      </c>
      <c r="P26" s="1154"/>
      <c r="Q26" s="1156"/>
      <c r="R26" s="1156">
        <v>326</v>
      </c>
      <c r="S26" s="1156">
        <v>17127</v>
      </c>
      <c r="T26" s="1156">
        <f>472147+12000</f>
        <v>484147</v>
      </c>
      <c r="U26" s="1156"/>
      <c r="V26" s="1158">
        <f t="shared" si="4"/>
        <v>501600</v>
      </c>
    </row>
    <row r="27" spans="1:22" s="304" customFormat="1" ht="55.5" customHeight="1" x14ac:dyDescent="0.2">
      <c r="A27" s="1137">
        <v>16</v>
      </c>
      <c r="B27" s="644"/>
      <c r="C27" s="1159">
        <v>15</v>
      </c>
      <c r="D27" s="1152" t="s">
        <v>542</v>
      </c>
      <c r="E27" s="1153" t="s">
        <v>896</v>
      </c>
      <c r="F27" s="645"/>
      <c r="G27" s="1161">
        <f>+V27-O27-H27</f>
        <v>143176</v>
      </c>
      <c r="H27" s="1162"/>
      <c r="I27" s="1156">
        <v>977327</v>
      </c>
      <c r="J27" s="1156"/>
      <c r="K27" s="1156"/>
      <c r="L27" s="1156"/>
      <c r="M27" s="1156">
        <v>27091</v>
      </c>
      <c r="N27" s="1156"/>
      <c r="O27" s="1157">
        <f t="shared" si="3"/>
        <v>1004418</v>
      </c>
      <c r="P27" s="1154">
        <v>25062</v>
      </c>
      <c r="Q27" s="1156">
        <v>32060</v>
      </c>
      <c r="R27" s="1156">
        <v>393153</v>
      </c>
      <c r="S27" s="1156">
        <f>688437</f>
        <v>688437</v>
      </c>
      <c r="T27" s="1156">
        <f>8968-86</f>
        <v>8882</v>
      </c>
      <c r="U27" s="1156"/>
      <c r="V27" s="1158">
        <f>SUM(P27:U27)</f>
        <v>1147594</v>
      </c>
    </row>
    <row r="28" spans="1:22" ht="34.5" customHeight="1" x14ac:dyDescent="0.3">
      <c r="A28" s="1149">
        <v>17</v>
      </c>
      <c r="B28" s="644"/>
      <c r="C28" s="1159">
        <v>16</v>
      </c>
      <c r="D28" s="1152" t="s">
        <v>503</v>
      </c>
      <c r="E28" s="1153" t="s">
        <v>890</v>
      </c>
      <c r="F28" s="306"/>
      <c r="G28" s="1161">
        <f t="shared" si="2"/>
        <v>62406</v>
      </c>
      <c r="H28" s="1162"/>
      <c r="I28" s="1156"/>
      <c r="J28" s="1156"/>
      <c r="K28" s="1156">
        <v>227554</v>
      </c>
      <c r="L28" s="1156"/>
      <c r="M28" s="1156">
        <v>10916</v>
      </c>
      <c r="N28" s="1156"/>
      <c r="O28" s="1157">
        <f t="shared" ref="O28:O40" si="5">SUM(I28:N28)</f>
        <v>238470</v>
      </c>
      <c r="P28" s="1154"/>
      <c r="Q28" s="1156"/>
      <c r="R28" s="1156">
        <v>4460</v>
      </c>
      <c r="S28" s="1164">
        <v>267453</v>
      </c>
      <c r="T28" s="1164">
        <f>23001+5962</f>
        <v>28963</v>
      </c>
      <c r="U28" s="1156"/>
      <c r="V28" s="1158">
        <f t="shared" si="4"/>
        <v>300876</v>
      </c>
    </row>
    <row r="29" spans="1:22" s="304" customFormat="1" ht="33" x14ac:dyDescent="0.3">
      <c r="A29" s="1137">
        <v>18</v>
      </c>
      <c r="B29" s="644"/>
      <c r="C29" s="1159">
        <v>17</v>
      </c>
      <c r="D29" s="423" t="s">
        <v>615</v>
      </c>
      <c r="E29" s="1153" t="s">
        <v>889</v>
      </c>
      <c r="F29" s="645"/>
      <c r="G29" s="1161">
        <f t="shared" si="2"/>
        <v>33060</v>
      </c>
      <c r="H29" s="1162"/>
      <c r="I29" s="1156"/>
      <c r="J29" s="1156"/>
      <c r="K29" s="1156"/>
      <c r="L29" s="1156">
        <v>788115</v>
      </c>
      <c r="M29" s="1156">
        <f>41400-41400-788115</f>
        <v>-788115</v>
      </c>
      <c r="N29" s="1156"/>
      <c r="O29" s="1157">
        <f t="shared" si="5"/>
        <v>0</v>
      </c>
      <c r="P29" s="1154"/>
      <c r="Q29" s="1156"/>
      <c r="R29" s="1156">
        <v>6414</v>
      </c>
      <c r="S29" s="1156">
        <v>26646</v>
      </c>
      <c r="T29" s="1156">
        <f>782603+13852-13852-10750-771853</f>
        <v>0</v>
      </c>
      <c r="U29" s="1156"/>
      <c r="V29" s="1158">
        <f t="shared" si="4"/>
        <v>33060</v>
      </c>
    </row>
    <row r="30" spans="1:22" ht="33" customHeight="1" x14ac:dyDescent="0.3">
      <c r="A30" s="1137">
        <v>19</v>
      </c>
      <c r="B30" s="644"/>
      <c r="C30" s="1165">
        <v>18</v>
      </c>
      <c r="D30" s="1166" t="s">
        <v>646</v>
      </c>
      <c r="E30" s="1153" t="s">
        <v>897</v>
      </c>
      <c r="F30" s="306"/>
      <c r="G30" s="1161">
        <f t="shared" si="2"/>
        <v>96381</v>
      </c>
      <c r="H30" s="1162"/>
      <c r="I30" s="1156"/>
      <c r="J30" s="1156"/>
      <c r="K30" s="1156"/>
      <c r="L30" s="1156">
        <v>1544000</v>
      </c>
      <c r="M30" s="1156">
        <f>76000-76000-1544000</f>
        <v>-1544000</v>
      </c>
      <c r="N30" s="1156"/>
      <c r="O30" s="1157">
        <f t="shared" si="5"/>
        <v>0</v>
      </c>
      <c r="P30" s="1154"/>
      <c r="Q30" s="1156"/>
      <c r="R30" s="1156">
        <v>16599</v>
      </c>
      <c r="S30" s="1156">
        <v>79782</v>
      </c>
      <c r="T30" s="1156">
        <f>1561731+22278-1561731-22278</f>
        <v>0</v>
      </c>
      <c r="U30" s="1156"/>
      <c r="V30" s="1158">
        <f t="shared" si="4"/>
        <v>96381</v>
      </c>
    </row>
    <row r="31" spans="1:22" ht="33" customHeight="1" x14ac:dyDescent="0.3">
      <c r="A31" s="1149">
        <v>20</v>
      </c>
      <c r="B31" s="644"/>
      <c r="C31" s="1159">
        <v>19</v>
      </c>
      <c r="D31" s="1152" t="s">
        <v>584</v>
      </c>
      <c r="E31" s="1153" t="s">
        <v>895</v>
      </c>
      <c r="F31" s="306"/>
      <c r="G31" s="1167">
        <f>+V31-O31-H31</f>
        <v>0</v>
      </c>
      <c r="H31" s="1168">
        <v>277946</v>
      </c>
      <c r="I31" s="1156"/>
      <c r="J31" s="1156"/>
      <c r="K31" s="1156">
        <v>558299</v>
      </c>
      <c r="L31" s="1156"/>
      <c r="M31" s="1156">
        <v>793085</v>
      </c>
      <c r="N31" s="1156"/>
      <c r="O31" s="1157">
        <f>SUM(I31:N31)</f>
        <v>1351384</v>
      </c>
      <c r="P31" s="1163"/>
      <c r="Q31" s="1164"/>
      <c r="R31" s="1164">
        <v>28000</v>
      </c>
      <c r="S31" s="1164">
        <v>26441</v>
      </c>
      <c r="T31" s="1164">
        <v>1574889</v>
      </c>
      <c r="U31" s="1156"/>
      <c r="V31" s="1158">
        <f t="shared" si="4"/>
        <v>1629330</v>
      </c>
    </row>
    <row r="32" spans="1:22" ht="33" customHeight="1" x14ac:dyDescent="0.3">
      <c r="A32" s="1137">
        <v>21</v>
      </c>
      <c r="B32" s="644"/>
      <c r="C32" s="1159">
        <v>20</v>
      </c>
      <c r="D32" s="1152" t="s">
        <v>686</v>
      </c>
      <c r="E32" s="1255" t="s">
        <v>891</v>
      </c>
      <c r="F32" s="306"/>
      <c r="G32" s="1161">
        <f t="shared" si="2"/>
        <v>0</v>
      </c>
      <c r="H32" s="1162"/>
      <c r="I32" s="1156"/>
      <c r="J32" s="1156"/>
      <c r="K32" s="1156"/>
      <c r="L32" s="1164">
        <v>815</v>
      </c>
      <c r="M32" s="1164">
        <f>3977-3977</f>
        <v>0</v>
      </c>
      <c r="N32" s="1156"/>
      <c r="O32" s="1157">
        <f t="shared" si="5"/>
        <v>815</v>
      </c>
      <c r="P32" s="1163"/>
      <c r="Q32" s="1164"/>
      <c r="R32" s="1164"/>
      <c r="S32" s="1164"/>
      <c r="T32" s="1164">
        <f>4792-3977</f>
        <v>815</v>
      </c>
      <c r="U32" s="1156"/>
      <c r="V32" s="1158">
        <f t="shared" si="4"/>
        <v>815</v>
      </c>
    </row>
    <row r="33" spans="1:22" ht="49.5" x14ac:dyDescent="0.3">
      <c r="A33" s="1137">
        <v>22</v>
      </c>
      <c r="B33" s="644"/>
      <c r="C33" s="1159">
        <v>21</v>
      </c>
      <c r="D33" s="1169" t="s">
        <v>687</v>
      </c>
      <c r="E33" s="1153" t="s">
        <v>897</v>
      </c>
      <c r="F33" s="306"/>
      <c r="G33" s="1161">
        <f t="shared" si="2"/>
        <v>12126</v>
      </c>
      <c r="H33" s="1162"/>
      <c r="I33" s="1156"/>
      <c r="J33" s="1156"/>
      <c r="K33" s="1156"/>
      <c r="L33" s="1156">
        <v>243150</v>
      </c>
      <c r="M33" s="1156">
        <v>11850</v>
      </c>
      <c r="N33" s="1156"/>
      <c r="O33" s="1157">
        <f t="shared" si="5"/>
        <v>255000</v>
      </c>
      <c r="P33" s="1154"/>
      <c r="Q33" s="1156"/>
      <c r="R33" s="1156">
        <v>4379</v>
      </c>
      <c r="S33" s="1156">
        <v>12827</v>
      </c>
      <c r="T33" s="1156">
        <v>249920</v>
      </c>
      <c r="U33" s="1156"/>
      <c r="V33" s="1158">
        <f t="shared" si="4"/>
        <v>267126</v>
      </c>
    </row>
    <row r="34" spans="1:22" ht="33" customHeight="1" x14ac:dyDescent="0.3">
      <c r="A34" s="1149">
        <v>23</v>
      </c>
      <c r="B34" s="644"/>
      <c r="C34" s="1159">
        <v>22</v>
      </c>
      <c r="D34" s="1160" t="s">
        <v>852</v>
      </c>
      <c r="E34" s="1153" t="s">
        <v>898</v>
      </c>
      <c r="F34" s="306"/>
      <c r="G34" s="1161">
        <f t="shared" si="2"/>
        <v>0</v>
      </c>
      <c r="H34" s="1162"/>
      <c r="I34" s="1156"/>
      <c r="J34" s="1156"/>
      <c r="K34" s="1156"/>
      <c r="L34" s="1156">
        <f>23652+14397</f>
        <v>38049</v>
      </c>
      <c r="M34" s="1156">
        <f>31805+70955+43191</f>
        <v>145951</v>
      </c>
      <c r="N34" s="1156"/>
      <c r="O34" s="1157">
        <f t="shared" si="5"/>
        <v>184000</v>
      </c>
      <c r="P34" s="1154"/>
      <c r="Q34" s="1156"/>
      <c r="R34" s="1156">
        <v>9200</v>
      </c>
      <c r="S34" s="1156">
        <f>3350+5228+2097</f>
        <v>10675</v>
      </c>
      <c r="T34" s="1156">
        <f>19255+89379+55491</f>
        <v>164125</v>
      </c>
      <c r="U34" s="1156"/>
      <c r="V34" s="1158">
        <f t="shared" si="4"/>
        <v>184000</v>
      </c>
    </row>
    <row r="35" spans="1:22" ht="49.5" x14ac:dyDescent="0.3">
      <c r="A35" s="1137">
        <v>24</v>
      </c>
      <c r="B35" s="644"/>
      <c r="C35" s="1159">
        <v>23</v>
      </c>
      <c r="D35" s="1152" t="s">
        <v>540</v>
      </c>
      <c r="E35" s="1153" t="s">
        <v>895</v>
      </c>
      <c r="F35" s="306"/>
      <c r="G35" s="1161">
        <f t="shared" si="2"/>
        <v>695</v>
      </c>
      <c r="H35" s="1162"/>
      <c r="I35" s="1156"/>
      <c r="J35" s="1156"/>
      <c r="K35" s="1156">
        <v>24175</v>
      </c>
      <c r="L35" s="1156"/>
      <c r="M35" s="1156">
        <v>24175</v>
      </c>
      <c r="N35" s="1156"/>
      <c r="O35" s="1157">
        <f t="shared" si="5"/>
        <v>48350</v>
      </c>
      <c r="P35" s="1163"/>
      <c r="Q35" s="1164"/>
      <c r="R35" s="1164">
        <v>1176</v>
      </c>
      <c r="S35" s="1164">
        <v>23808</v>
      </c>
      <c r="T35" s="1164">
        <f>24004+62-5</f>
        <v>24061</v>
      </c>
      <c r="U35" s="1156"/>
      <c r="V35" s="1158">
        <f t="shared" si="4"/>
        <v>49045</v>
      </c>
    </row>
    <row r="36" spans="1:22" ht="33" customHeight="1" x14ac:dyDescent="0.3">
      <c r="A36" s="1137">
        <v>25</v>
      </c>
      <c r="B36" s="644"/>
      <c r="C36" s="1165">
        <v>24</v>
      </c>
      <c r="D36" s="1152" t="s">
        <v>677</v>
      </c>
      <c r="E36" s="1153" t="s">
        <v>890</v>
      </c>
      <c r="F36" s="306"/>
      <c r="G36" s="1161">
        <f t="shared" si="2"/>
        <v>0</v>
      </c>
      <c r="H36" s="1162"/>
      <c r="I36" s="1156"/>
      <c r="J36" s="1156"/>
      <c r="K36" s="1156">
        <v>9031</v>
      </c>
      <c r="L36" s="1156">
        <v>8</v>
      </c>
      <c r="M36" s="1156">
        <v>0</v>
      </c>
      <c r="N36" s="1156"/>
      <c r="O36" s="1157">
        <f t="shared" si="5"/>
        <v>9039</v>
      </c>
      <c r="P36" s="1154"/>
      <c r="Q36" s="1156"/>
      <c r="R36" s="1156">
        <v>7830</v>
      </c>
      <c r="S36" s="1156">
        <v>186</v>
      </c>
      <c r="T36" s="1156">
        <v>1023</v>
      </c>
      <c r="U36" s="1156"/>
      <c r="V36" s="1158">
        <f t="shared" si="4"/>
        <v>9039</v>
      </c>
    </row>
    <row r="37" spans="1:22" ht="33" customHeight="1" x14ac:dyDescent="0.3">
      <c r="A37" s="1149">
        <v>26</v>
      </c>
      <c r="B37" s="644"/>
      <c r="C37" s="1165">
        <v>25</v>
      </c>
      <c r="D37" s="1152" t="s">
        <v>899</v>
      </c>
      <c r="E37" s="1153" t="s">
        <v>897</v>
      </c>
      <c r="F37" s="306"/>
      <c r="G37" s="1161">
        <f t="shared" si="2"/>
        <v>11302</v>
      </c>
      <c r="H37" s="1162"/>
      <c r="I37" s="1156"/>
      <c r="J37" s="1156"/>
      <c r="K37" s="1156"/>
      <c r="L37" s="1156"/>
      <c r="M37" s="1156">
        <f>11175+5830</f>
        <v>17005</v>
      </c>
      <c r="N37" s="1156"/>
      <c r="O37" s="1157">
        <f t="shared" si="5"/>
        <v>17005</v>
      </c>
      <c r="P37" s="1154"/>
      <c r="Q37" s="1156"/>
      <c r="R37" s="1156"/>
      <c r="S37" s="1156">
        <v>8399</v>
      </c>
      <c r="T37" s="1156">
        <f>19581+327</f>
        <v>19908</v>
      </c>
      <c r="U37" s="1156"/>
      <c r="V37" s="1158">
        <f t="shared" si="4"/>
        <v>28307</v>
      </c>
    </row>
    <row r="38" spans="1:22" ht="49.5" x14ac:dyDescent="0.3">
      <c r="A38" s="1137">
        <v>27</v>
      </c>
      <c r="B38" s="644"/>
      <c r="C38" s="1159">
        <v>26</v>
      </c>
      <c r="D38" s="1152" t="s">
        <v>900</v>
      </c>
      <c r="E38" s="1153" t="s">
        <v>901</v>
      </c>
      <c r="F38" s="306"/>
      <c r="G38" s="1161">
        <f t="shared" si="2"/>
        <v>220</v>
      </c>
      <c r="H38" s="1162"/>
      <c r="I38" s="1156"/>
      <c r="J38" s="1156">
        <v>9000</v>
      </c>
      <c r="K38" s="1156">
        <v>-2700</v>
      </c>
      <c r="L38" s="1156"/>
      <c r="M38" s="1156">
        <v>-325</v>
      </c>
      <c r="N38" s="1156"/>
      <c r="O38" s="1157">
        <f t="shared" si="5"/>
        <v>5975</v>
      </c>
      <c r="P38" s="1154"/>
      <c r="Q38" s="1156"/>
      <c r="R38" s="1156">
        <v>1582</v>
      </c>
      <c r="S38" s="1156">
        <v>4613</v>
      </c>
      <c r="T38" s="1156">
        <f>239-239</f>
        <v>0</v>
      </c>
      <c r="U38" s="1156"/>
      <c r="V38" s="1158">
        <f t="shared" si="4"/>
        <v>6195</v>
      </c>
    </row>
    <row r="39" spans="1:22" ht="33" customHeight="1" x14ac:dyDescent="0.3">
      <c r="A39" s="1137">
        <v>28</v>
      </c>
      <c r="B39" s="1775"/>
      <c r="C39" s="1776">
        <v>27</v>
      </c>
      <c r="D39" s="1777" t="s">
        <v>692</v>
      </c>
      <c r="E39" s="1255" t="s">
        <v>897</v>
      </c>
      <c r="F39" s="1715"/>
      <c r="G39" s="1161">
        <f t="shared" si="2"/>
        <v>0</v>
      </c>
      <c r="H39" s="1156"/>
      <c r="I39" s="1156"/>
      <c r="J39" s="1156"/>
      <c r="K39" s="1156"/>
      <c r="L39" s="1156"/>
      <c r="M39" s="1156">
        <v>40000</v>
      </c>
      <c r="N39" s="1156"/>
      <c r="O39" s="1157">
        <f t="shared" si="5"/>
        <v>40000</v>
      </c>
      <c r="P39" s="1154"/>
      <c r="Q39" s="1156"/>
      <c r="R39" s="1156"/>
      <c r="S39" s="1156"/>
      <c r="T39" s="1156">
        <v>40000</v>
      </c>
      <c r="U39" s="1156"/>
      <c r="V39" s="1158">
        <f t="shared" si="4"/>
        <v>40000</v>
      </c>
    </row>
    <row r="40" spans="1:22" ht="53.25" customHeight="1" x14ac:dyDescent="0.3">
      <c r="A40" s="1149">
        <v>29</v>
      </c>
      <c r="B40" s="1775"/>
      <c r="C40" s="1993">
        <v>28</v>
      </c>
      <c r="D40" s="1031" t="s">
        <v>693</v>
      </c>
      <c r="E40" s="1255" t="s">
        <v>897</v>
      </c>
      <c r="F40" s="1994"/>
      <c r="G40" s="1161">
        <f t="shared" si="2"/>
        <v>0</v>
      </c>
      <c r="H40" s="1162"/>
      <c r="I40" s="1995"/>
      <c r="J40" s="1995"/>
      <c r="K40" s="1995"/>
      <c r="L40" s="1995"/>
      <c r="M40" s="1995">
        <v>19985</v>
      </c>
      <c r="N40" s="1995"/>
      <c r="O40" s="1157">
        <f t="shared" si="5"/>
        <v>19985</v>
      </c>
      <c r="P40" s="1161"/>
      <c r="Q40" s="1995"/>
      <c r="R40" s="1995"/>
      <c r="S40" s="1995"/>
      <c r="T40" s="1995">
        <v>19985</v>
      </c>
      <c r="U40" s="1995"/>
      <c r="V40" s="1158">
        <f t="shared" si="4"/>
        <v>19985</v>
      </c>
    </row>
    <row r="41" spans="1:22" s="304" customFormat="1" ht="33" customHeight="1" x14ac:dyDescent="0.35">
      <c r="A41" s="1137">
        <v>30</v>
      </c>
      <c r="B41" s="1138">
        <v>14</v>
      </c>
      <c r="C41" s="1139" t="s">
        <v>529</v>
      </c>
      <c r="D41" s="1140"/>
      <c r="E41" s="1992"/>
      <c r="F41" s="1142"/>
      <c r="G41" s="1173"/>
      <c r="H41" s="1170"/>
      <c r="I41" s="1171"/>
      <c r="J41" s="1171"/>
      <c r="K41" s="1171"/>
      <c r="L41" s="1171"/>
      <c r="M41" s="1171"/>
      <c r="N41" s="1171"/>
      <c r="O41" s="1172"/>
      <c r="P41" s="1173"/>
      <c r="Q41" s="1174"/>
      <c r="R41" s="1174"/>
      <c r="S41" s="1174"/>
      <c r="T41" s="1174"/>
      <c r="U41" s="1174"/>
      <c r="V41" s="1175"/>
    </row>
    <row r="42" spans="1:22" ht="33" customHeight="1" thickBot="1" x14ac:dyDescent="0.35">
      <c r="A42" s="1137">
        <v>31</v>
      </c>
      <c r="B42" s="644"/>
      <c r="C42" s="1176">
        <v>2</v>
      </c>
      <c r="D42" s="1177" t="s">
        <v>902</v>
      </c>
      <c r="E42" s="1178" t="s">
        <v>890</v>
      </c>
      <c r="F42" s="306"/>
      <c r="G42" s="1179">
        <f>+V42-O42-H42</f>
        <v>0</v>
      </c>
      <c r="H42" s="1180">
        <f>1926+228</f>
        <v>2154</v>
      </c>
      <c r="I42" s="1156"/>
      <c r="J42" s="1156"/>
      <c r="K42" s="1156">
        <v>27687</v>
      </c>
      <c r="L42" s="1156"/>
      <c r="M42" s="1156"/>
      <c r="N42" s="1156"/>
      <c r="O42" s="1157">
        <f>SUM(I42:N42)</f>
        <v>27687</v>
      </c>
      <c r="P42" s="1154"/>
      <c r="Q42" s="1156"/>
      <c r="R42" s="1156">
        <v>5105</v>
      </c>
      <c r="S42" s="1156">
        <v>19384</v>
      </c>
      <c r="T42" s="1156">
        <v>5352</v>
      </c>
      <c r="U42" s="1156"/>
      <c r="V42" s="1181">
        <f>SUM(P42:U42)</f>
        <v>29841</v>
      </c>
    </row>
    <row r="43" spans="1:22" ht="33" customHeight="1" thickBot="1" x14ac:dyDescent="0.35">
      <c r="A43" s="1149">
        <v>32</v>
      </c>
      <c r="B43" s="2433" t="s">
        <v>129</v>
      </c>
      <c r="C43" s="2434"/>
      <c r="D43" s="2434"/>
      <c r="E43" s="2434"/>
      <c r="F43" s="305"/>
      <c r="G43" s="1182">
        <f>SUM(G13:G42)</f>
        <v>1270448</v>
      </c>
      <c r="H43" s="1183"/>
      <c r="I43" s="1184">
        <f t="shared" ref="I43:V43" si="6">SUM(I13:I42)</f>
        <v>977327</v>
      </c>
      <c r="J43" s="1184">
        <f t="shared" si="6"/>
        <v>9000</v>
      </c>
      <c r="K43" s="1184">
        <f t="shared" si="6"/>
        <v>3102781</v>
      </c>
      <c r="L43" s="1184">
        <f t="shared" si="6"/>
        <v>4462952</v>
      </c>
      <c r="M43" s="1184">
        <f t="shared" si="6"/>
        <v>611310</v>
      </c>
      <c r="N43" s="1184">
        <f t="shared" si="6"/>
        <v>0</v>
      </c>
      <c r="O43" s="1185">
        <f t="shared" si="6"/>
        <v>9163370</v>
      </c>
      <c r="P43" s="1182">
        <f t="shared" si="6"/>
        <v>68046</v>
      </c>
      <c r="Q43" s="1184">
        <f t="shared" si="6"/>
        <v>126233</v>
      </c>
      <c r="R43" s="1184">
        <f t="shared" si="6"/>
        <v>848139</v>
      </c>
      <c r="S43" s="1184">
        <f t="shared" si="6"/>
        <v>2566070</v>
      </c>
      <c r="T43" s="1184">
        <f t="shared" si="6"/>
        <v>7105430</v>
      </c>
      <c r="U43" s="1184">
        <f t="shared" si="6"/>
        <v>0</v>
      </c>
      <c r="V43" s="1186">
        <f t="shared" si="6"/>
        <v>10713918</v>
      </c>
    </row>
    <row r="44" spans="1:22" ht="24.75" customHeight="1" x14ac:dyDescent="0.3">
      <c r="B44" s="2435" t="s">
        <v>903</v>
      </c>
      <c r="C44" s="2435"/>
      <c r="D44" s="2435"/>
      <c r="E44" s="2435"/>
      <c r="F44" s="2435"/>
      <c r="G44" s="2435"/>
      <c r="H44" s="2435"/>
      <c r="I44" s="2435"/>
      <c r="J44" s="2435"/>
      <c r="K44" s="2435"/>
      <c r="L44" s="2435"/>
      <c r="M44" s="2435"/>
      <c r="N44" s="2435"/>
      <c r="O44" s="2435"/>
      <c r="P44" s="2435"/>
      <c r="Q44" s="2435"/>
      <c r="R44" s="2435"/>
      <c r="S44" s="2435"/>
      <c r="T44" s="2435"/>
      <c r="U44" s="2435"/>
      <c r="V44" s="2435"/>
    </row>
    <row r="45" spans="1:22" ht="24.75" customHeight="1" x14ac:dyDescent="0.3">
      <c r="B45" s="2403" t="s">
        <v>543</v>
      </c>
      <c r="C45" s="2403"/>
      <c r="D45" s="2403"/>
      <c r="E45" s="2403"/>
      <c r="F45" s="2403"/>
      <c r="G45" s="2403"/>
      <c r="H45" s="2403"/>
      <c r="I45" s="2403"/>
      <c r="J45" s="2403"/>
      <c r="K45" s="2403"/>
      <c r="L45" s="2403"/>
      <c r="M45" s="2403"/>
      <c r="N45" s="2403"/>
      <c r="O45" s="2403"/>
      <c r="P45" s="2403"/>
      <c r="Q45" s="2403"/>
      <c r="R45" s="2403"/>
      <c r="S45" s="2403"/>
      <c r="T45" s="2403"/>
      <c r="U45" s="2403"/>
      <c r="V45" s="2403"/>
    </row>
    <row r="46" spans="1:22" ht="24.75" customHeight="1" x14ac:dyDescent="0.3">
      <c r="B46" s="2403" t="s">
        <v>997</v>
      </c>
      <c r="C46" s="2403"/>
      <c r="D46" s="2403"/>
      <c r="E46" s="2403"/>
      <c r="F46" s="2403"/>
      <c r="G46" s="2403"/>
      <c r="H46" s="2403"/>
      <c r="I46" s="2403"/>
      <c r="J46" s="2403"/>
      <c r="K46" s="2403"/>
      <c r="L46" s="2403"/>
      <c r="M46" s="2403"/>
      <c r="N46" s="2403"/>
      <c r="O46" s="2403"/>
      <c r="P46" s="2403"/>
      <c r="Q46" s="2403"/>
      <c r="R46" s="2403"/>
      <c r="S46" s="2403"/>
      <c r="T46" s="2403"/>
      <c r="U46" s="2403"/>
      <c r="V46" s="2403"/>
    </row>
    <row r="47" spans="1:22" ht="24.95" customHeight="1" x14ac:dyDescent="0.3"/>
    <row r="48" spans="1:22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</sheetData>
  <mergeCells count="21">
    <mergeCell ref="B1:V1"/>
    <mergeCell ref="B2:V2"/>
    <mergeCell ref="B43:E43"/>
    <mergeCell ref="B44:V44"/>
    <mergeCell ref="B45:V45"/>
    <mergeCell ref="B4:V4"/>
    <mergeCell ref="B5:V5"/>
    <mergeCell ref="B6:V6"/>
    <mergeCell ref="U7:V7"/>
    <mergeCell ref="B46:V46"/>
    <mergeCell ref="P9:U10"/>
    <mergeCell ref="V9:V11"/>
    <mergeCell ref="G10:G11"/>
    <mergeCell ref="H10:H11"/>
    <mergeCell ref="I10:N10"/>
    <mergeCell ref="O10:O11"/>
    <mergeCell ref="B9:B11"/>
    <mergeCell ref="C9:C11"/>
    <mergeCell ref="D9:D11"/>
    <mergeCell ref="E9:E11"/>
    <mergeCell ref="G9:O9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48" fitToHeight="0" orientation="landscape" r:id="rId1"/>
  <headerFooter>
    <oddFooter>&amp;C- &amp;P -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1"/>
  <sheetViews>
    <sheetView view="pageBreakPreview" zoomScaleNormal="100" zoomScaleSheetLayoutView="100" workbookViewId="0">
      <selection activeCell="B6" sqref="B6:C6"/>
    </sheetView>
  </sheetViews>
  <sheetFormatPr defaultColWidth="9.140625" defaultRowHeight="16.5" x14ac:dyDescent="0.3"/>
  <cols>
    <col min="1" max="1" width="3.7109375" style="248" customWidth="1"/>
    <col min="2" max="2" width="4.7109375" style="248" customWidth="1"/>
    <col min="3" max="3" width="51.7109375" style="41" customWidth="1"/>
    <col min="4" max="4" width="24.28515625" style="40" customWidth="1"/>
    <col min="5" max="16384" width="9.140625" style="41"/>
  </cols>
  <sheetData>
    <row r="1" spans="1:4" ht="18" customHeight="1" x14ac:dyDescent="0.3">
      <c r="A1" s="248" t="s">
        <v>380</v>
      </c>
      <c r="B1" s="2440" t="s">
        <v>909</v>
      </c>
      <c r="C1" s="2440"/>
    </row>
    <row r="2" spans="1:4" ht="18" customHeight="1" x14ac:dyDescent="0.3">
      <c r="B2" s="1050"/>
      <c r="C2" s="1050"/>
    </row>
    <row r="3" spans="1:4" s="44" customFormat="1" ht="24.75" customHeight="1" x14ac:dyDescent="0.35">
      <c r="A3" s="410"/>
      <c r="B3" s="2082" t="s">
        <v>122</v>
      </c>
      <c r="C3" s="2082"/>
      <c r="D3" s="2082"/>
    </row>
    <row r="4" spans="1:4" s="42" customFormat="1" ht="24.75" customHeight="1" x14ac:dyDescent="0.2">
      <c r="A4" s="411"/>
      <c r="B4" s="2084" t="s">
        <v>676</v>
      </c>
      <c r="C4" s="2084"/>
      <c r="D4" s="2084"/>
    </row>
    <row r="5" spans="1:4" s="238" customFormat="1" ht="24.75" customHeight="1" x14ac:dyDescent="0.2">
      <c r="A5" s="248"/>
      <c r="B5" s="2441" t="s">
        <v>381</v>
      </c>
      <c r="C5" s="2441"/>
      <c r="D5" s="2441"/>
    </row>
    <row r="6" spans="1:4" s="1021" customFormat="1" ht="18" customHeight="1" thickBot="1" x14ac:dyDescent="0.35">
      <c r="A6" s="129"/>
      <c r="B6" s="2442" t="s">
        <v>1</v>
      </c>
      <c r="C6" s="2442"/>
      <c r="D6" s="1020" t="s">
        <v>3</v>
      </c>
    </row>
    <row r="7" spans="1:4" ht="33" customHeight="1" thickBot="1" x14ac:dyDescent="0.35">
      <c r="B7" s="2443" t="s">
        <v>382</v>
      </c>
      <c r="C7" s="2444"/>
      <c r="D7" s="239" t="s">
        <v>383</v>
      </c>
    </row>
    <row r="8" spans="1:4" s="44" customFormat="1" ht="30" customHeight="1" x14ac:dyDescent="0.3">
      <c r="A8" s="410">
        <v>1</v>
      </c>
      <c r="B8" s="43" t="s">
        <v>130</v>
      </c>
      <c r="C8" s="240" t="s">
        <v>384</v>
      </c>
      <c r="D8" s="241"/>
    </row>
    <row r="9" spans="1:4" ht="24.75" customHeight="1" x14ac:dyDescent="0.3">
      <c r="A9" s="410">
        <v>2</v>
      </c>
      <c r="B9" s="45"/>
      <c r="C9" s="242" t="s">
        <v>131</v>
      </c>
      <c r="D9" s="1053">
        <v>150000</v>
      </c>
    </row>
    <row r="10" spans="1:4" ht="24.75" customHeight="1" x14ac:dyDescent="0.3">
      <c r="A10" s="410">
        <v>3</v>
      </c>
      <c r="B10" s="45"/>
      <c r="C10" s="242" t="s">
        <v>132</v>
      </c>
      <c r="D10" s="1053">
        <v>30000</v>
      </c>
    </row>
    <row r="11" spans="1:4" ht="24.75" customHeight="1" x14ac:dyDescent="0.3">
      <c r="A11" s="410">
        <v>4</v>
      </c>
      <c r="B11" s="45"/>
      <c r="C11" s="242" t="s">
        <v>133</v>
      </c>
      <c r="D11" s="1053">
        <v>150000</v>
      </c>
    </row>
    <row r="12" spans="1:4" ht="24.75" customHeight="1" x14ac:dyDescent="0.3">
      <c r="A12" s="410">
        <v>5</v>
      </c>
      <c r="B12" s="45"/>
      <c r="C12" s="242" t="s">
        <v>134</v>
      </c>
      <c r="D12" s="1053">
        <v>14000</v>
      </c>
    </row>
    <row r="13" spans="1:4" ht="24.75" customHeight="1" x14ac:dyDescent="0.3">
      <c r="A13" s="410">
        <v>6</v>
      </c>
      <c r="B13" s="45"/>
      <c r="C13" s="242" t="s">
        <v>135</v>
      </c>
      <c r="D13" s="1053">
        <v>42000</v>
      </c>
    </row>
    <row r="14" spans="1:4" ht="24.75" customHeight="1" x14ac:dyDescent="0.3">
      <c r="A14" s="410">
        <v>7</v>
      </c>
      <c r="B14" s="45"/>
      <c r="C14" s="242" t="s">
        <v>136</v>
      </c>
      <c r="D14" s="1054">
        <v>100000</v>
      </c>
    </row>
    <row r="15" spans="1:4" s="238" customFormat="1" ht="30" customHeight="1" x14ac:dyDescent="0.2">
      <c r="A15" s="248">
        <v>8</v>
      </c>
      <c r="B15" s="45"/>
      <c r="C15" s="243"/>
      <c r="D15" s="244">
        <f>SUM(D9:D14)</f>
        <v>486000</v>
      </c>
    </row>
    <row r="16" spans="1:4" s="42" customFormat="1" ht="49.5" customHeight="1" x14ac:dyDescent="0.2">
      <c r="A16" s="411">
        <v>9</v>
      </c>
      <c r="B16" s="46" t="s">
        <v>137</v>
      </c>
      <c r="C16" s="245" t="s">
        <v>385</v>
      </c>
      <c r="D16" s="1055">
        <v>113</v>
      </c>
    </row>
    <row r="17" spans="1:4" s="42" customFormat="1" ht="49.5" customHeight="1" x14ac:dyDescent="0.2">
      <c r="A17" s="411">
        <v>10</v>
      </c>
      <c r="B17" s="46" t="s">
        <v>138</v>
      </c>
      <c r="C17" s="245" t="s">
        <v>386</v>
      </c>
      <c r="D17" s="246"/>
    </row>
    <row r="18" spans="1:4" s="42" customFormat="1" ht="49.5" customHeight="1" x14ac:dyDescent="0.2">
      <c r="A18" s="411">
        <v>11</v>
      </c>
      <c r="B18" s="46" t="s">
        <v>139</v>
      </c>
      <c r="C18" s="245" t="s">
        <v>387</v>
      </c>
      <c r="D18" s="246">
        <v>1476</v>
      </c>
    </row>
    <row r="19" spans="1:4" s="42" customFormat="1" ht="49.5" customHeight="1" thickBot="1" x14ac:dyDescent="0.25">
      <c r="A19" s="411">
        <v>12</v>
      </c>
      <c r="B19" s="46" t="s">
        <v>140</v>
      </c>
      <c r="C19" s="245" t="s">
        <v>388</v>
      </c>
      <c r="D19" s="246"/>
    </row>
    <row r="20" spans="1:4" s="42" customFormat="1" ht="33" customHeight="1" thickBot="1" x14ac:dyDescent="0.25">
      <c r="A20" s="411">
        <v>13</v>
      </c>
      <c r="B20" s="2438" t="s">
        <v>141</v>
      </c>
      <c r="C20" s="2439"/>
      <c r="D20" s="247">
        <f>SUM(D15:D19)</f>
        <v>487589</v>
      </c>
    </row>
    <row r="21" spans="1:4" ht="16.5" customHeight="1" x14ac:dyDescent="0.3">
      <c r="C21" s="249"/>
      <c r="D21" s="47"/>
    </row>
    <row r="22" spans="1:4" ht="16.5" customHeight="1" x14ac:dyDescent="0.3">
      <c r="C22" s="249"/>
      <c r="D22" s="47"/>
    </row>
    <row r="23" spans="1:4" ht="16.5" customHeight="1" x14ac:dyDescent="0.3">
      <c r="C23" s="249"/>
      <c r="D23" s="47"/>
    </row>
    <row r="24" spans="1:4" ht="16.5" customHeight="1" x14ac:dyDescent="0.3">
      <c r="C24" s="249"/>
      <c r="D24" s="47"/>
    </row>
    <row r="25" spans="1:4" ht="16.5" customHeight="1" x14ac:dyDescent="0.3">
      <c r="C25" s="249"/>
      <c r="D25" s="47"/>
    </row>
    <row r="26" spans="1:4" ht="16.5" customHeight="1" x14ac:dyDescent="0.3">
      <c r="C26" s="249"/>
      <c r="D26" s="47"/>
    </row>
    <row r="27" spans="1:4" ht="16.5" customHeight="1" x14ac:dyDescent="0.3">
      <c r="C27" s="249"/>
      <c r="D27" s="47"/>
    </row>
    <row r="28" spans="1:4" ht="16.5" customHeight="1" x14ac:dyDescent="0.3">
      <c r="C28" s="249"/>
      <c r="D28" s="47"/>
    </row>
    <row r="29" spans="1:4" ht="16.5" customHeight="1" x14ac:dyDescent="0.3">
      <c r="C29" s="249"/>
      <c r="D29" s="47"/>
    </row>
    <row r="30" spans="1:4" ht="16.5" customHeight="1" x14ac:dyDescent="0.3">
      <c r="C30" s="249"/>
      <c r="D30" s="47"/>
    </row>
    <row r="31" spans="1:4" ht="16.5" customHeight="1" x14ac:dyDescent="0.3">
      <c r="C31" s="249"/>
      <c r="D31" s="47"/>
    </row>
    <row r="32" spans="1:4" x14ac:dyDescent="0.3">
      <c r="C32" s="249"/>
      <c r="D32" s="47"/>
    </row>
    <row r="33" spans="3:4" x14ac:dyDescent="0.3">
      <c r="C33" s="249"/>
      <c r="D33" s="47"/>
    </row>
    <row r="34" spans="3:4" x14ac:dyDescent="0.3">
      <c r="C34" s="249"/>
      <c r="D34" s="47"/>
    </row>
    <row r="35" spans="3:4" x14ac:dyDescent="0.3">
      <c r="C35" s="249"/>
      <c r="D35" s="47"/>
    </row>
    <row r="36" spans="3:4" x14ac:dyDescent="0.3">
      <c r="C36" s="249"/>
      <c r="D36" s="47"/>
    </row>
    <row r="37" spans="3:4" x14ac:dyDescent="0.3">
      <c r="C37" s="249"/>
      <c r="D37" s="47"/>
    </row>
    <row r="38" spans="3:4" x14ac:dyDescent="0.3">
      <c r="C38" s="249"/>
      <c r="D38" s="47"/>
    </row>
    <row r="39" spans="3:4" x14ac:dyDescent="0.3">
      <c r="C39" s="249"/>
      <c r="D39" s="47"/>
    </row>
    <row r="40" spans="3:4" x14ac:dyDescent="0.3">
      <c r="C40" s="249"/>
      <c r="D40" s="47"/>
    </row>
    <row r="41" spans="3:4" x14ac:dyDescent="0.3">
      <c r="C41" s="249"/>
      <c r="D41" s="47"/>
    </row>
    <row r="42" spans="3:4" x14ac:dyDescent="0.3">
      <c r="C42" s="249"/>
      <c r="D42" s="47"/>
    </row>
    <row r="43" spans="3:4" x14ac:dyDescent="0.3">
      <c r="C43" s="249"/>
      <c r="D43" s="47"/>
    </row>
    <row r="44" spans="3:4" x14ac:dyDescent="0.3">
      <c r="C44" s="249"/>
      <c r="D44" s="47"/>
    </row>
    <row r="45" spans="3:4" x14ac:dyDescent="0.3">
      <c r="C45" s="249"/>
      <c r="D45" s="47"/>
    </row>
    <row r="46" spans="3:4" x14ac:dyDescent="0.3">
      <c r="C46" s="249"/>
      <c r="D46" s="47"/>
    </row>
    <row r="47" spans="3:4" x14ac:dyDescent="0.3">
      <c r="C47" s="249"/>
      <c r="D47" s="47"/>
    </row>
    <row r="48" spans="3:4" x14ac:dyDescent="0.3">
      <c r="C48" s="249"/>
      <c r="D48" s="47"/>
    </row>
    <row r="49" spans="3:4" x14ac:dyDescent="0.3">
      <c r="C49" s="249"/>
      <c r="D49" s="47"/>
    </row>
    <row r="50" spans="3:4" x14ac:dyDescent="0.3">
      <c r="C50" s="249"/>
      <c r="D50" s="47"/>
    </row>
    <row r="51" spans="3:4" x14ac:dyDescent="0.3">
      <c r="C51" s="249"/>
      <c r="D51" s="47"/>
    </row>
  </sheetData>
  <mergeCells count="7">
    <mergeCell ref="B20:C20"/>
    <mergeCell ref="B1:C1"/>
    <mergeCell ref="B3:D3"/>
    <mergeCell ref="B4:D4"/>
    <mergeCell ref="B5:D5"/>
    <mergeCell ref="B6:C6"/>
    <mergeCell ref="B7:C7"/>
  </mergeCells>
  <printOptions horizontalCentered="1"/>
  <pageMargins left="0.19685039370078741" right="0.19685039370078741" top="0.59055118110236227" bottom="0.59055118110236227" header="0.51181102362204722" footer="0.51181102362204722"/>
  <pageSetup paperSize="9" fitToHeight="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Munkalapok</vt:lpstr>
      </vt:variant>
      <vt:variant>
        <vt:i4>23</vt:i4>
      </vt:variant>
      <vt:variant>
        <vt:lpstr>Diagramok</vt:lpstr>
      </vt:variant>
      <vt:variant>
        <vt:i4>5</vt:i4>
      </vt:variant>
      <vt:variant>
        <vt:lpstr>Névvel ellátott tartományok</vt:lpstr>
      </vt:variant>
      <vt:variant>
        <vt:i4>38</vt:i4>
      </vt:variant>
    </vt:vector>
  </HeadingPairs>
  <TitlesOfParts>
    <vt:vector size="66" baseType="lpstr">
      <vt:lpstr>Összefoglaló </vt:lpstr>
      <vt:lpstr>1.Onbe</vt:lpstr>
      <vt:lpstr>1.A Norm</vt:lpstr>
      <vt:lpstr>2.Onki</vt:lpstr>
      <vt:lpstr>3.Inbe </vt:lpstr>
      <vt:lpstr>3A Inbe</vt:lpstr>
      <vt:lpstr>4.Inki</vt:lpstr>
      <vt:lpstr>5.Infelhki</vt:lpstr>
      <vt:lpstr>6.Önk.műk.</vt:lpstr>
      <vt:lpstr>6.A Alapítv</vt:lpstr>
      <vt:lpstr>7.Beruh.</vt:lpstr>
      <vt:lpstr>8.Felúj.</vt:lpstr>
      <vt:lpstr>8.Projekt</vt:lpstr>
      <vt:lpstr>10.MVP és hazai</vt:lpstr>
      <vt:lpstr>9.EKF</vt:lpstr>
      <vt:lpstr>10.Mérleg</vt:lpstr>
      <vt:lpstr>13.Létszám</vt:lpstr>
      <vt:lpstr>14. Többéves</vt:lpstr>
      <vt:lpstr>15.Hitel</vt:lpstr>
      <vt:lpstr>15.A Beruh.hitel</vt:lpstr>
      <vt:lpstr>15.B Beruh.hitel</vt:lpstr>
      <vt:lpstr>11.EU</vt:lpstr>
      <vt:lpstr>17.Közv.tám.</vt:lpstr>
      <vt:lpstr>Diagram_bevetelek</vt:lpstr>
      <vt:lpstr>Diagram_kiadasok</vt:lpstr>
      <vt:lpstr>Diagram_kozponti</vt:lpstr>
      <vt:lpstr>Diagram_lefedettseg</vt:lpstr>
      <vt:lpstr>Diagram_mukodesi</vt:lpstr>
      <vt:lpstr>'1.Onbe'!Nyomtatási_cím</vt:lpstr>
      <vt:lpstr>'10.MVP és hazai'!Nyomtatási_cím</vt:lpstr>
      <vt:lpstr>'11.EU'!Nyomtatási_cím</vt:lpstr>
      <vt:lpstr>'13.Létszám'!Nyomtatási_cím</vt:lpstr>
      <vt:lpstr>'14. Többéves'!Nyomtatási_cím</vt:lpstr>
      <vt:lpstr>'2.Onki'!Nyomtatási_cím</vt:lpstr>
      <vt:lpstr>'3.Inbe '!Nyomtatási_cím</vt:lpstr>
      <vt:lpstr>'3A Inbe'!Nyomtatási_cím</vt:lpstr>
      <vt:lpstr>'4.Inki'!Nyomtatási_cím</vt:lpstr>
      <vt:lpstr>'5.Infelhki'!Nyomtatási_cím</vt:lpstr>
      <vt:lpstr>'6.A Alapítv'!Nyomtatási_cím</vt:lpstr>
      <vt:lpstr>'6.Önk.műk.'!Nyomtatási_cím</vt:lpstr>
      <vt:lpstr>'7.Beruh.'!Nyomtatási_cím</vt:lpstr>
      <vt:lpstr>'8.Felúj.'!Nyomtatási_cím</vt:lpstr>
      <vt:lpstr>'8.Projekt'!Nyomtatási_cím</vt:lpstr>
      <vt:lpstr>'9.EKF'!Nyomtatási_cím</vt:lpstr>
      <vt:lpstr>'Összefoglaló '!Nyomtatási_cím</vt:lpstr>
      <vt:lpstr>'1.A Norm'!Nyomtatási_terület</vt:lpstr>
      <vt:lpstr>'1.Onbe'!Nyomtatási_terület</vt:lpstr>
      <vt:lpstr>'10.Mérleg'!Nyomtatási_terület</vt:lpstr>
      <vt:lpstr>'10.MVP és hazai'!Nyomtatási_terület</vt:lpstr>
      <vt:lpstr>'13.Létszám'!Nyomtatási_terület</vt:lpstr>
      <vt:lpstr>'14. Többéves'!Nyomtatási_terület</vt:lpstr>
      <vt:lpstr>'15.A Beruh.hitel'!Nyomtatási_terület</vt:lpstr>
      <vt:lpstr>'15.B Beruh.hitel'!Nyomtatási_terület</vt:lpstr>
      <vt:lpstr>'15.Hitel'!Nyomtatási_terület</vt:lpstr>
      <vt:lpstr>'2.Onki'!Nyomtatási_terület</vt:lpstr>
      <vt:lpstr>'3.Inbe '!Nyomtatási_terület</vt:lpstr>
      <vt:lpstr>'3A Inbe'!Nyomtatási_terület</vt:lpstr>
      <vt:lpstr>'4.Inki'!Nyomtatási_terület</vt:lpstr>
      <vt:lpstr>'5.Infelhki'!Nyomtatási_terület</vt:lpstr>
      <vt:lpstr>'6.A Alapítv'!Nyomtatási_terület</vt:lpstr>
      <vt:lpstr>'6.Önk.műk.'!Nyomtatási_terület</vt:lpstr>
      <vt:lpstr>'7.Beruh.'!Nyomtatási_terület</vt:lpstr>
      <vt:lpstr>'8.Felúj.'!Nyomtatási_terület</vt:lpstr>
      <vt:lpstr>'8.Projekt'!Nyomtatási_terület</vt:lpstr>
      <vt:lpstr>'9.EKF'!Nyomtatási_terület</vt:lpstr>
      <vt:lpstr>'Összefoglaló 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Schumacher Judit</dc:creator>
  <cp:lastModifiedBy>Kicska Andrea</cp:lastModifiedBy>
  <cp:lastPrinted>2020-10-16T07:45:58Z</cp:lastPrinted>
  <dcterms:created xsi:type="dcterms:W3CDTF">2015-02-11T07:38:58Z</dcterms:created>
  <dcterms:modified xsi:type="dcterms:W3CDTF">2020-10-28T07:25:00Z</dcterms:modified>
</cp:coreProperties>
</file>